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codeName="EstaPasta_de_trabalho"/>
  <mc:AlternateContent xmlns:mc="http://schemas.openxmlformats.org/markup-compatibility/2006">
    <mc:Choice Requires="x15">
      <x15ac:absPath xmlns:x15ac="http://schemas.microsoft.com/office/spreadsheetml/2010/11/ac" url="C:\Users\lhzam\OneDrive\Área de Trabalho\PREFEITURA SARANDI\PAVIMENTA 2025 - AGUAS DO ANGICO-SANGA DO LEÃO\REV. 02\ORÇAMENTO\"/>
    </mc:Choice>
  </mc:AlternateContent>
  <xr:revisionPtr revIDLastSave="0" documentId="13_ncr:1_{9502969A-22BF-4A0A-959A-2B50089EAC4D}" xr6:coauthVersionLast="47" xr6:coauthVersionMax="47" xr10:uidLastSave="{00000000-0000-0000-0000-000000000000}"/>
  <workbookProtection workbookAlgorithmName="SHA-512" workbookHashValue="R1HaB9TlhTJu0+EC7cGrpTjouOvYDFI66pyMhMjyZ5H7VOqSLvLWyTV8VZ+Ex9f/6MCD6A+QhpdGEWbmTdV05A==" workbookSaltValue="bqe442KmnftnuggVQ3SL6Q==" workbookSpinCount="100000" lockStructure="1"/>
  <bookViews>
    <workbookView xWindow="-108" yWindow="-108" windowWidth="23256" windowHeight="12456" tabRatio="801"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BM!$C$15:$C$165</definedName>
    <definedName name="_xlnm._FilterDatabase" localSheetId="6" hidden="1">CÁLCULO!$C$15:$C$165</definedName>
    <definedName name="_xlnm._FilterDatabase" localSheetId="8" hidden="1">CRONO!$G$13:$G$112</definedName>
    <definedName name="_xlnm._FilterDatabase" localSheetId="7" hidden="1">CRONOPLE!$A$13:$A$79</definedName>
    <definedName name="_xlnm._FilterDatabase" localSheetId="5" hidden="1">EVENTOS!$A$13:$A$72</definedName>
    <definedName name="_xlnm._FilterDatabase" localSheetId="4" hidden="1">ORÇAMENTO!$L$15:$L$165</definedName>
    <definedName name="_xlnm._FilterDatabase" localSheetId="10" hidden="1">PLE!$A$13:$A$81</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BM!$D$1:$O$180</definedName>
    <definedName name="_xlnm.Print_Area" localSheetId="6">CÁLCULO!$E$6:$AI$173</definedName>
    <definedName name="_xlnm.Print_Area" localSheetId="8">CRONO!$I$1:$AG$112</definedName>
    <definedName name="_xlnm.Print_Area" localSheetId="5">EVENTOS!$C$2:$Z$72</definedName>
    <definedName name="_xlnm.Print_Area" localSheetId="1">MENU!$A$1:$I$25</definedName>
    <definedName name="_xlnm.Print_Area" localSheetId="13">OFÍCIO!$A$1:$G$56</definedName>
    <definedName name="_xlnm.Print_Area" localSheetId="4">ORÇAMENTO!$O$1:$Y$182</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BM!$C$15:$C$165</definedName>
    <definedName name="BM.firstrow" hidden="1">BM!$15:$15</definedName>
    <definedName name="BM.FormulaMed" hidden="1">BM!$AO$7</definedName>
    <definedName name="BM.lastrow" hidden="1">BM!$165:$165</definedName>
    <definedName name="BM.LinhaPadrão" hidden="1">BM!$14:$14</definedName>
    <definedName name="BM.MaxMed" hidden="1">IF(RegimeExecucao="Global",1,BM!$G1)</definedName>
    <definedName name="BM.MCAIXA.Filter" hidden="1">BM!$C$15:$Z$165</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CÁLCULO!$C$15:$C$165</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CÁLCULO!$AI:$AI</definedName>
    <definedName name="CÁLCULO.lastrow" hidden="1">CÁLCULO!$165:$165</definedName>
    <definedName name="CÁLCULO.LinhaPadrão" hidden="1">CÁLCULO!$14:$14</definedName>
    <definedName name="CÁLCULO.margemrow" hidden="1">CÁLCULO!$173:$173</definedName>
    <definedName name="CÁLCULO.MATRIZ1.ColunaPadrão" hidden="1">CÁLCULO!$AK:$AK</definedName>
    <definedName name="CÁLCULO.MATRIZ1.firstcol" hidden="1">CÁLCULO!$AI:$AI</definedName>
    <definedName name="CÁLCULO.MATRIZ1.lastcol" hidden="1">CÁLCULO!$BB:$BB</definedName>
    <definedName name="CÁLCULO.MATRIZ1.lastrow" hidden="1">CÁLCULO!$165:$165</definedName>
    <definedName name="CÁLCULO.MATRIZ2.ColunaPadrão" hidden="1">CÁLCULO!$BD:$BD</definedName>
    <definedName name="CÁLCULO.MATRIZ2.firstcol" hidden="1">CÁLCULO!$BB:$BB</definedName>
    <definedName name="CÁLCULO.MATRIZ2.lastcol" hidden="1">CÁLCULO!$BU:$BU</definedName>
    <definedName name="CÁLCULO.MATRIZ2.lastrow" hidden="1">CÁLCULO!$165:$165</definedName>
    <definedName name="CÁLCULO.MATRIZ3.ColunaPadrão" hidden="1">CÁLCULO!$BW:$BW</definedName>
    <definedName name="CÁLCULO.MATRIZ3.firstcol" hidden="1">CÁLCULO!$BU:$BU</definedName>
    <definedName name="CÁLCULO.MATRIZ3.lastcol" hidden="1">CÁLCULO!$CN:$CN</definedName>
    <definedName name="CÁLCULO.MATRIZ3.lastrow" hidden="1">CÁLCULO!$165:$165</definedName>
    <definedName name="CÁLCULO.nEvento" hidden="1">CÁLCULO!$M$12</definedName>
    <definedName name="CÁLCULO.NúmeroDeEventos" hidden="1">IF(AUTOEVENTO&lt;&gt;"manual",MAX(CÁLCULO!$M$15:$M$165),MAX(OFFSET(EVENTOS!$C$1:$C$65,1,0)))</definedName>
    <definedName name="CÁLCULO.NúmeroDeFrentes" hidden="1">COLUMN(CÁLCULO!$AI$15)-COLUMN(CÁLCULO!$Q$15)</definedName>
    <definedName name="CÁLCULO.Título" hidden="1">CÁLCULO!$F$6</definedName>
    <definedName name="CÁLCULO.TotalAdmLocal" hidden="1">IF(AUTOEVENTO="manual",SUMIF(CÁLCULO!$M$15:$M$165,1,ORÇAMENTO!$X$15:$X$165),0)</definedName>
    <definedName name="CRONO.ColAux" hidden="1">CRONO!$M:$R</definedName>
    <definedName name="CRONO.ColunaPadrão" hidden="1">CRONO!$E:$E</definedName>
    <definedName name="CRONO.Erro" hidden="1">CRONO!$K$10</definedName>
    <definedName name="CRONO.Filtro" hidden="1">CRONO!$G$13:$G$112</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CRONO!$95:$95</definedName>
    <definedName name="CRONO.lastrow2" hidden="1">CRONO!$107:$107</definedName>
    <definedName name="CRONO.LinhaPadrão" hidden="1">CRONO!$1:$3</definedName>
    <definedName name="CRONO.LinhasNecessarias" hidden="1">COUNTIF(QCI!$B$13:$B$24,"Manual")+COUNTIF(QCI!$B$13:$B$24,"SemiAuto")+COUNT(ORÇAMENTO.ListaCrono)</definedName>
    <definedName name="CRONO.Lista.AdmLocal" hidden="1">CRONO!$A$13:$A$95</definedName>
    <definedName name="CRONO.Lista.Níveis" hidden="1">CRONO!$A$9:$A$11</definedName>
    <definedName name="CRONO.margemrow" hidden="1">CRONO!$112:$112</definedName>
    <definedName name="CRONO.MaxParc" hidden="1">CRONO!$H1048576+CRONO!A1</definedName>
    <definedName name="CRONO.NivelExibicao" hidden="1">CRONO!$H$10</definedName>
    <definedName name="CRONO.Parcela1" hidden="1">CRONO!$U$12:$U$13</definedName>
    <definedName name="CRONO.ParcelaFinal" hidden="1">MATCH(100%,CRONO!$U$101:$AG$101,0)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SUMIF(CÁLCULO!$M$15:$M$165,CRONOPLE!$B1,OFFSET(CÁLCULO!$AI$15:$AI$165,0,CRONOPLE!A$12))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BM!$D$168</definedName>
    <definedName name="Import.BMAFAcumulado" hidden="1">OFFSET(BM!$R$15,1,0):OFFSET(BM!$R$165,-1,0)</definedName>
    <definedName name="Import.BMArred" hidden="1">BM!$A$9</definedName>
    <definedName name="Import.CNPJ" hidden="1">DADOS!$C$39</definedName>
    <definedName name="Import.Código" hidden="1">OFFSET(ORÇAMENTO!$Q$15,1,0):OFFSET(ORÇAMENTO!$Q$165,-1,0)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OFFSET(ORÇAMENTO!$U$15,1,0):OFFSET(ORÇAMENTO!$U$165,-1,0)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OFFSET(ORÇAMENTO!$R$15,1,0):OFFSET(ORÇAMENTO!$R$165,-1,0)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OFFSET(ORÇAMENTO!$P$15,1,0):OFFSET(ORÇAMENTO!$P$165,-1,0)</definedName>
    <definedName name="Import.FrenteDeObra" hidden="1">CÁLCULO!$Q$12:OFFSET(CÁLCULO!$AI$12,0,-1)</definedName>
    <definedName name="Import.MacrosserviçoAdmLocal" hidden="1">CRONO!$H$106</definedName>
    <definedName name="Import.Município" hidden="1">DADOS!$C$6</definedName>
    <definedName name="Import.Nível" hidden="1">OFFSET(ORÇAMENTO!$M$15,1,0):OFFSET(ORÇAMENTO!$M$165,-1,0)</definedName>
    <definedName name="Import.Ofício.Dest" hidden="1">OFÍCIO!$B$11</definedName>
    <definedName name="Import.Ofício.GIGOV" hidden="1">OFÍCIO!$C$11</definedName>
    <definedName name="Import.Ofício.Num" hidden="1">OFÍCIO!$C$6</definedName>
    <definedName name="Import.OpcaoBDI" hidden="1">OFFSET(ORÇAMENTO!$V$15,1,0):OFFSET(ORÇAMENTO!$V$165,-1,0)</definedName>
    <definedName name="Import.ORÇAMENTO.DivRecurso" hidden="1">OFFSET(ORÇAMENTO!$Y$15,1,0):OFFSET(ORÇAMENTO!$Y$165,-1,0)</definedName>
    <definedName name="Import.ORÇAMENTO.Obs" hidden="1">ORÇAMENTO!$O$171</definedName>
    <definedName name="Import.PLE" hidden="1">OFFSET(PLE!$G$15,1,1):OFFSET(PLE!$AG$65,-1,-1)</definedName>
    <definedName name="Import.PLE.Datas" hidden="1">PLE!$I$68:$AF$68</definedName>
    <definedName name="Import.PLQ" hidden="1">OFFSET(CÁLCULO!$P$15,1,1):OFFSET(CÁLCULO!$AI$165,-1,-1)</definedName>
    <definedName name="Import.PLQ.MemCalc" hidden="1">OFFSET(CÁLCULO!$I$15,1,0):OFFSET(CÁLCULO!$I$165,-1,0)</definedName>
    <definedName name="Import.PLQ.nAgrupEvent" hidden="1">OFFSET(CÁLCULO!$K$15,1,0):OFFSET(CÁLCULO!$K$165,-1,0)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OFFSET(ORÇAMENTO!$AJ$15,1,0):OFFSET(ORÇAMENTO!$AJ$165,-1,0)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OFFSET(ORÇAMENTO!$S$15,1,0):OFFSET(ORÇAMENTO!$S$165,-1,0)</definedName>
    <definedName name="Import.UnitarioLicitado" hidden="1">OFFSET(ORÇAMENTO!$AL$15,1,0):OFFSET(ORÇAMENTO!$AL$165,-1,0)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ORÇAMENTO!$L$15:$L$165</definedName>
    <definedName name="ORÇAMENTO.firstrow" hidden="1">ORÇAMENTO!$15:$15</definedName>
    <definedName name="ORÇAMENTO.Fonte" hidden="1">ORÇAMENTO!$P1</definedName>
    <definedName name="ORÇAMENTO.lastrow" hidden="1">ORÇAMENTO!$165:$165</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OFFSET(ORÇAMENTO!$AD$15,1,0):OFFSET(ORÇAMENTO!$AD$165,-1,0)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OFFSET(ORÇAMENTO!$P$15,1,0):OFFSET(ORÇAMENTO!$S$165,-1,0)</definedName>
    <definedName name="ORÇAMENTO.PasteFormat2" hidden="1">OFFSET(ORÇAMENTO!$U$15,1,0):OFFSET(ORÇAMENTO!$V$165,-1,0)</definedName>
    <definedName name="ORÇAMENTO.PrecoUnitarioLicitado" hidden="1">ORÇAMENTO!$AL1</definedName>
    <definedName name="ORÇAMENTO.QuantBM" hidden="1">ORÇAMENTO!$AJ1</definedName>
    <definedName name="ORÇAMENTO.RangeQuant" hidden="1">OFFSET(ORÇAMENTO!$T$15,1,0):OFFSET(ORÇAMENTO!$T$165,-1,0)</definedName>
    <definedName name="ORÇAMENTO.SumCPMANUAL" hidden="1">SUMIF(ORÇAMENTO!$Z$15:$Z$165,"CP",ORÇAMENTO!$AA$15:$AA$165)</definedName>
    <definedName name="ORÇAMENTO.SumINVMANUAL" hidden="1">SUMIF(ORÇAMENTO!$Z$15:$Z$165,"RP",ORÇAMENTO!$X$15:$X$165)+SUMIF(ORÇAMENTO!$Z$15:$Z$165,"CP",ORÇAMENTO!$X$15:$X$165)+SUMIF(ORÇAMENTO!$Z$15:$Z$165,"OU",ORÇAMENTO!$X$15:$X$165)</definedName>
    <definedName name="ORÇAMENTO.SumOUTROSMANUAL" hidden="1">SUMIF(ORÇAMENTO!$Z$15:$Z$165,"OU",ORÇAMENTO!$AB$15:$AB$165)</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SUMIF(CÁLCULO!$M$15:$M$165,PLE!$B1,OFFSET(CÁLCULO!$AI$15:$AI$165,0,PLE!A$12))</definedName>
    <definedName name="PO.ValoresBDI" hidden="1">OFFSET(ORÇAMENTO!$AH$15,1,0):OFFSET(ORÇAMENTO!$AH$165,-1,0)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3" i="8" l="1" a="1"/>
  <c r="G93" i="8" s="1"/>
  <c r="G90" i="8" a="1"/>
  <c r="G90" i="8" s="1"/>
  <c r="G87" i="8" a="1"/>
  <c r="G87" i="8" s="1"/>
  <c r="G84" i="8" a="1"/>
  <c r="G84" i="8" s="1"/>
  <c r="G81" i="8" a="1"/>
  <c r="G81" i="8" s="1"/>
  <c r="G78" i="8" a="1"/>
  <c r="G78" i="8" s="1"/>
  <c r="G75" i="8" a="1"/>
  <c r="G75" i="8" s="1"/>
  <c r="G72" i="8" a="1"/>
  <c r="G72" i="8" s="1"/>
  <c r="G69" i="8" a="1"/>
  <c r="G69" i="8" s="1"/>
  <c r="G66" i="8" a="1"/>
  <c r="G66" i="8" s="1"/>
  <c r="G63" i="8" a="1"/>
  <c r="G63" i="8" s="1"/>
  <c r="G60" i="8" a="1"/>
  <c r="G60" i="8" s="1"/>
  <c r="G57" i="8" a="1"/>
  <c r="G57" i="8" s="1"/>
  <c r="G54" i="8" a="1"/>
  <c r="G54" i="8" s="1"/>
  <c r="G51" i="8" a="1"/>
  <c r="G51" i="8" s="1"/>
  <c r="G48" i="8" a="1"/>
  <c r="G48" i="8" s="1"/>
  <c r="G45" i="8" a="1"/>
  <c r="G45" i="8" s="1"/>
  <c r="G42" i="8" a="1"/>
  <c r="G42" i="8" s="1"/>
  <c r="U123" i="6"/>
  <c r="U118" i="6"/>
  <c r="U119" i="6" s="1"/>
  <c r="V148" i="6"/>
  <c r="V155" i="6"/>
  <c r="U115" i="6"/>
  <c r="T73" i="6"/>
  <c r="T71" i="6"/>
  <c r="T70" i="6"/>
  <c r="U104" i="6"/>
  <c r="V147" i="6"/>
  <c r="V149" i="6"/>
  <c r="V152" i="6" s="1"/>
  <c r="V144" i="6"/>
  <c r="V145" i="6" s="1"/>
  <c r="V142" i="6"/>
  <c r="V143" i="6" s="1"/>
  <c r="A162" i="5"/>
  <c r="A161" i="5"/>
  <c r="A160" i="5"/>
  <c r="A159" i="5"/>
  <c r="A158" i="5"/>
  <c r="A157" i="5"/>
  <c r="A156" i="5"/>
  <c r="A155" i="5"/>
  <c r="A154" i="5"/>
  <c r="A153" i="5"/>
  <c r="A152" i="5"/>
  <c r="A151" i="5"/>
  <c r="A150" i="5"/>
  <c r="A149" i="5"/>
  <c r="A148" i="5"/>
  <c r="A147" i="5"/>
  <c r="A146" i="5"/>
  <c r="A145" i="5"/>
  <c r="A144" i="5"/>
  <c r="A143" i="5"/>
  <c r="V140" i="6"/>
  <c r="V135" i="6"/>
  <c r="V137" i="6" s="1"/>
  <c r="A124" i="5"/>
  <c r="A123" i="5"/>
  <c r="A122" i="5"/>
  <c r="A121" i="5"/>
  <c r="A120" i="5"/>
  <c r="A141" i="5"/>
  <c r="A140" i="5"/>
  <c r="A139" i="5"/>
  <c r="A138" i="5"/>
  <c r="A137" i="5"/>
  <c r="A136" i="5"/>
  <c r="A135" i="5"/>
  <c r="A134" i="5"/>
  <c r="A133" i="5"/>
  <c r="A132" i="5"/>
  <c r="A131" i="5"/>
  <c r="A130" i="5"/>
  <c r="A129" i="5"/>
  <c r="A128" i="5"/>
  <c r="A127" i="5"/>
  <c r="A126" i="5"/>
  <c r="A125" i="5"/>
  <c r="A119" i="5"/>
  <c r="A118" i="5"/>
  <c r="A117" i="5"/>
  <c r="U109" i="6"/>
  <c r="U112" i="6" s="1"/>
  <c r="U107" i="6"/>
  <c r="U108" i="6" s="1"/>
  <c r="A105" i="5"/>
  <c r="A103" i="5"/>
  <c r="U102" i="6"/>
  <c r="U103" i="6" s="1"/>
  <c r="A116" i="5"/>
  <c r="A115" i="5"/>
  <c r="A114" i="5"/>
  <c r="A113" i="5"/>
  <c r="A112" i="5"/>
  <c r="A111" i="5"/>
  <c r="A110" i="5"/>
  <c r="A109" i="5"/>
  <c r="A108" i="5"/>
  <c r="A107" i="5"/>
  <c r="U100" i="6"/>
  <c r="U95" i="6"/>
  <c r="U97" i="6" s="1"/>
  <c r="T78" i="6"/>
  <c r="V150" i="6" l="1"/>
  <c r="V151" i="6" s="1"/>
  <c r="V153" i="6"/>
  <c r="U121" i="6"/>
  <c r="U110" i="6"/>
  <c r="U111" i="6" s="1"/>
  <c r="U113" i="6"/>
  <c r="U105" i="6"/>
  <c r="T81" i="6" l="1"/>
  <c r="T79" i="6"/>
  <c r="A79" i="5"/>
  <c r="T77" i="6"/>
  <c r="T68" i="6"/>
  <c r="T69" i="6" s="1"/>
  <c r="A91" i="5"/>
  <c r="A90" i="5"/>
  <c r="A89" i="5"/>
  <c r="A88" i="5"/>
  <c r="A87" i="5"/>
  <c r="A86" i="5"/>
  <c r="A85" i="5"/>
  <c r="A84" i="5"/>
  <c r="A83" i="5"/>
  <c r="A82" i="5"/>
  <c r="A81" i="5"/>
  <c r="A80" i="5"/>
  <c r="A78" i="5"/>
  <c r="A77" i="5"/>
  <c r="A76" i="5"/>
  <c r="A75" i="5"/>
  <c r="A74" i="5"/>
  <c r="A73" i="5"/>
  <c r="A72" i="5"/>
  <c r="A71" i="5"/>
  <c r="A142" i="5"/>
  <c r="A106" i="5"/>
  <c r="A104" i="5"/>
  <c r="A102" i="5"/>
  <c r="A101" i="5"/>
  <c r="A100" i="5"/>
  <c r="A99" i="5"/>
  <c r="A98" i="5"/>
  <c r="A97" i="5"/>
  <c r="A96" i="5"/>
  <c r="A95" i="5"/>
  <c r="A94" i="5"/>
  <c r="A93" i="5"/>
  <c r="A92" i="5"/>
  <c r="A70" i="5"/>
  <c r="A69" i="5"/>
  <c r="A68" i="5"/>
  <c r="A67" i="5"/>
  <c r="A66" i="5"/>
  <c r="T61" i="6"/>
  <c r="T63" i="6" s="1"/>
  <c r="T64" i="6" s="1"/>
  <c r="A65" i="5" l="1"/>
  <c r="A64" i="5"/>
  <c r="A63" i="5"/>
  <c r="A62" i="5"/>
  <c r="A61" i="5"/>
  <c r="A60" i="5"/>
  <c r="A59" i="5"/>
  <c r="A58" i="5"/>
  <c r="A57" i="5"/>
  <c r="A56" i="5"/>
  <c r="A55" i="5"/>
  <c r="A54" i="5"/>
  <c r="A53" i="5"/>
  <c r="A52" i="5"/>
  <c r="A51" i="5"/>
  <c r="A50" i="5"/>
  <c r="A49" i="5"/>
  <c r="S46" i="6"/>
  <c r="S47" i="6" s="1"/>
  <c r="S43" i="6"/>
  <c r="S44" i="6" s="1"/>
  <c r="S39" i="6"/>
  <c r="S40" i="6" s="1"/>
  <c r="S37" i="6"/>
  <c r="S38" i="6" s="1"/>
  <c r="S35" i="6"/>
  <c r="S36" i="6" s="1"/>
  <c r="A48" i="5"/>
  <c r="A47" i="5"/>
  <c r="A46" i="5"/>
  <c r="A45" i="5"/>
  <c r="A44" i="5"/>
  <c r="A43" i="5"/>
  <c r="A42" i="5"/>
  <c r="A41" i="5"/>
  <c r="A40" i="5"/>
  <c r="A39" i="5"/>
  <c r="A38" i="5"/>
  <c r="A37" i="5"/>
  <c r="A36" i="5"/>
  <c r="A35" i="5"/>
  <c r="A34" i="5"/>
  <c r="A33" i="5"/>
  <c r="A32" i="5"/>
  <c r="A31" i="5"/>
  <c r="S24" i="6"/>
  <c r="S27" i="6" s="1"/>
  <c r="S28" i="6" s="1"/>
  <c r="A20" i="5" l="1"/>
  <c r="CM15" i="6" l="1"/>
  <c r="CL15" i="6"/>
  <c r="CK15" i="6"/>
  <c r="CJ15" i="6"/>
  <c r="CI15" i="6"/>
  <c r="CH15" i="6"/>
  <c r="CG15" i="6"/>
  <c r="CF15" i="6"/>
  <c r="BT15" i="6"/>
  <c r="BS15" i="6"/>
  <c r="BR15" i="6"/>
  <c r="BQ15" i="6"/>
  <c r="BP15" i="6"/>
  <c r="BO15" i="6"/>
  <c r="BN15" i="6"/>
  <c r="BM15" i="6"/>
  <c r="AB171" i="6" a="1"/>
  <c r="AB173" i="6" s="1"/>
  <c r="AC10" i="6"/>
  <c r="AA10" i="6"/>
  <c r="Q18" i="6"/>
  <c r="A22" i="5"/>
  <c r="A21" i="5"/>
  <c r="C165" i="3"/>
  <c r="H23" i="13"/>
  <c r="G23" i="13"/>
  <c r="H22" i="13"/>
  <c r="G22" i="13"/>
  <c r="H21" i="13"/>
  <c r="G21" i="13"/>
  <c r="H20" i="13"/>
  <c r="G20" i="13"/>
  <c r="E20" i="13"/>
  <c r="H19" i="13"/>
  <c r="G19" i="13"/>
  <c r="H18" i="13"/>
  <c r="G18" i="13"/>
  <c r="H17" i="13"/>
  <c r="G17" i="13"/>
  <c r="H16" i="13"/>
  <c r="G16" i="13"/>
  <c r="E16" i="13"/>
  <c r="H15" i="13"/>
  <c r="G15" i="13"/>
  <c r="H14" i="13"/>
  <c r="G14" i="13"/>
  <c r="S23" i="11"/>
  <c r="J23" i="11"/>
  <c r="I23" i="13" s="1"/>
  <c r="D23" i="11"/>
  <c r="S22" i="11"/>
  <c r="J22" i="11"/>
  <c r="I22" i="13" s="1"/>
  <c r="D22" i="11"/>
  <c r="E22" i="13" s="1"/>
  <c r="S21" i="11"/>
  <c r="J21" i="11"/>
  <c r="I21" i="13" s="1"/>
  <c r="D21" i="11"/>
  <c r="E21" i="13" s="1"/>
  <c r="S20" i="11"/>
  <c r="J20" i="11"/>
  <c r="I20" i="13" s="1"/>
  <c r="D20" i="11"/>
  <c r="A20" i="11" s="1"/>
  <c r="S19" i="11"/>
  <c r="J19" i="11"/>
  <c r="I19" i="13" s="1"/>
  <c r="D19" i="11"/>
  <c r="E19" i="13" s="1"/>
  <c r="A19" i="11"/>
  <c r="S18" i="11"/>
  <c r="J18" i="11"/>
  <c r="I18" i="13" s="1"/>
  <c r="D18" i="11"/>
  <c r="E18" i="13" s="1"/>
  <c r="A18" i="11"/>
  <c r="S17" i="11"/>
  <c r="J17" i="11"/>
  <c r="I17" i="13" s="1"/>
  <c r="D17" i="11"/>
  <c r="E17" i="13" s="1"/>
  <c r="A17" i="11"/>
  <c r="S16" i="11"/>
  <c r="J16" i="11"/>
  <c r="I16" i="13" s="1"/>
  <c r="D16" i="11"/>
  <c r="A16" i="11"/>
  <c r="S15" i="11"/>
  <c r="J15" i="11"/>
  <c r="I15" i="13" s="1"/>
  <c r="D15" i="11"/>
  <c r="E15" i="13" s="1"/>
  <c r="S14" i="11"/>
  <c r="J14" i="11"/>
  <c r="I14" i="13" s="1"/>
  <c r="D14" i="11"/>
  <c r="E14" i="13" s="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164" i="5"/>
  <c r="A163" i="5"/>
  <c r="A30" i="5"/>
  <c r="A29" i="5"/>
  <c r="A28" i="5"/>
  <c r="A27" i="5"/>
  <c r="A26" i="5"/>
  <c r="A25" i="5"/>
  <c r="A24" i="5"/>
  <c r="A23" i="5"/>
  <c r="A19" i="5"/>
  <c r="A18" i="5"/>
  <c r="A17" i="5"/>
  <c r="C16" i="5"/>
  <c r="F16" i="5" s="1"/>
  <c r="A16" i="5"/>
  <c r="G11" i="5" a="1"/>
  <c r="G11" i="5" s="1"/>
  <c r="F10" i="5"/>
  <c r="F11" i="5" a="1"/>
  <c r="AB171" i="6" l="1"/>
  <c r="AB172" i="6"/>
  <c r="AE16" i="5"/>
  <c r="A16" i="12"/>
  <c r="B16" i="6"/>
  <c r="C17" i="5"/>
  <c r="I16" i="5"/>
  <c r="H16" i="5"/>
  <c r="B16" i="5"/>
  <c r="N16" i="5"/>
  <c r="G16" i="5"/>
  <c r="W16" i="5"/>
  <c r="H16" i="12" s="1"/>
  <c r="B20" i="8"/>
  <c r="E23" i="13"/>
  <c r="A23" i="11"/>
  <c r="A15" i="11"/>
  <c r="A21" i="11"/>
  <c r="A22" i="11"/>
  <c r="F11" i="5"/>
  <c r="E16" i="5" l="1"/>
  <c r="B14" i="11" s="1"/>
  <c r="B23" i="8"/>
  <c r="E16" i="12"/>
  <c r="F16" i="6"/>
  <c r="A17" i="12"/>
  <c r="B17" i="6"/>
  <c r="AE17" i="5"/>
  <c r="B17" i="5"/>
  <c r="N17" i="5"/>
  <c r="W17" i="5"/>
  <c r="H17" i="12" s="1"/>
  <c r="F17" i="5"/>
  <c r="C18" i="5"/>
  <c r="I17" i="5"/>
  <c r="G17" i="5"/>
  <c r="H17" i="5"/>
  <c r="D16" i="6"/>
  <c r="AD16" i="5"/>
  <c r="C171" i="3"/>
  <c r="C170" i="3"/>
  <c r="C169" i="3"/>
  <c r="C166" i="3"/>
  <c r="C160" i="3"/>
  <c r="C159" i="3"/>
  <c r="E17" i="5" l="1"/>
  <c r="E18" i="5" s="1"/>
  <c r="A14" i="13"/>
  <c r="D17" i="6"/>
  <c r="B26" i="8"/>
  <c r="G14" i="11"/>
  <c r="F14" i="13" s="1"/>
  <c r="C14" i="13"/>
  <c r="K14" i="11"/>
  <c r="J14" i="13" s="1"/>
  <c r="AD17" i="5"/>
  <c r="H16" i="6" a="1"/>
  <c r="H16" i="6" s="1"/>
  <c r="T16" i="5" s="1"/>
  <c r="N16" i="6"/>
  <c r="M16" i="6"/>
  <c r="G16" i="6"/>
  <c r="E17" i="12"/>
  <c r="F17" i="6"/>
  <c r="A18" i="12"/>
  <c r="B18" i="6"/>
  <c r="H18" i="5"/>
  <c r="G18" i="5"/>
  <c r="F18" i="5"/>
  <c r="J18" i="5"/>
  <c r="D18" i="5"/>
  <c r="B18" i="12" s="1"/>
  <c r="K18" i="5"/>
  <c r="C19" i="5"/>
  <c r="C20" i="5" s="1"/>
  <c r="B18" i="5"/>
  <c r="AE18" i="5"/>
  <c r="AD18" i="5"/>
  <c r="N18" i="5"/>
  <c r="X9" i="5"/>
  <c r="W9" i="5"/>
  <c r="V9" i="5"/>
  <c r="U9" i="5"/>
  <c r="T9" i="5"/>
  <c r="AE20" i="5" l="1"/>
  <c r="AD20" i="5"/>
  <c r="N20" i="5"/>
  <c r="K20" i="5"/>
  <c r="B20" i="6"/>
  <c r="J20" i="5"/>
  <c r="A20" i="12"/>
  <c r="D20" i="5"/>
  <c r="B20" i="12" s="1"/>
  <c r="G16" i="12"/>
  <c r="D18" i="6"/>
  <c r="H17" i="6" a="1"/>
  <c r="H17" i="6" s="1"/>
  <c r="T17" i="5" s="1"/>
  <c r="G17" i="6"/>
  <c r="N17" i="6"/>
  <c r="M17" i="6"/>
  <c r="A19" i="12"/>
  <c r="B19" i="6"/>
  <c r="K19" i="5"/>
  <c r="J19" i="5"/>
  <c r="H19" i="5"/>
  <c r="H20" i="5" s="1"/>
  <c r="AD19" i="5"/>
  <c r="B19" i="5"/>
  <c r="B20" i="5" s="1"/>
  <c r="N19" i="5"/>
  <c r="E19" i="5"/>
  <c r="E20" i="5" s="1"/>
  <c r="D19" i="5"/>
  <c r="B19" i="12" s="1"/>
  <c r="AE19" i="5"/>
  <c r="G19" i="5"/>
  <c r="G20" i="5" s="1"/>
  <c r="F19" i="5"/>
  <c r="F20" i="5" s="1"/>
  <c r="B29" i="8"/>
  <c r="C177" i="3"/>
  <c r="C175" i="3"/>
  <c r="D20" i="6" l="1"/>
  <c r="C21" i="5"/>
  <c r="A21" i="12" s="1"/>
  <c r="G17" i="12"/>
  <c r="B32" i="8"/>
  <c r="D19" i="6"/>
  <c r="C157" i="3"/>
  <c r="C173" i="3"/>
  <c r="C167" i="3"/>
  <c r="C164" i="3"/>
  <c r="C163" i="3"/>
  <c r="C161" i="3"/>
  <c r="N21" i="5" l="1"/>
  <c r="D21" i="6" s="1"/>
  <c r="B21" i="5"/>
  <c r="G21" i="5"/>
  <c r="E21" i="5"/>
  <c r="F21" i="5"/>
  <c r="AD21" i="5"/>
  <c r="B21" i="6"/>
  <c r="H21" i="5"/>
  <c r="C22" i="5"/>
  <c r="N22" i="5" s="1"/>
  <c r="D22" i="6" s="1"/>
  <c r="AE21" i="5"/>
  <c r="B35" i="8"/>
  <c r="C153" i="3"/>
  <c r="C151" i="3"/>
  <c r="B22" i="6" l="1"/>
  <c r="H22" i="5"/>
  <c r="K22" i="5"/>
  <c r="D22" i="5"/>
  <c r="B22" i="12" s="1"/>
  <c r="AE22" i="5"/>
  <c r="J22" i="5"/>
  <c r="B22" i="5"/>
  <c r="G22" i="5"/>
  <c r="F22" i="5"/>
  <c r="E22" i="5"/>
  <c r="A22" i="12"/>
  <c r="AD22" i="5"/>
  <c r="B38" i="8"/>
  <c r="B41" i="8" s="1"/>
  <c r="A12" i="6"/>
  <c r="B44" i="8" l="1"/>
  <c r="C23" i="5"/>
  <c r="H23" i="5" s="1"/>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V64" i="7" a="1"/>
  <c r="V64" i="7" s="1"/>
  <c r="P64" i="7" a="1"/>
  <c r="P64" i="7" s="1"/>
  <c r="J64" i="7" a="1"/>
  <c r="J64" i="7" s="1"/>
  <c r="T63" i="7" a="1"/>
  <c r="T63" i="7" s="1"/>
  <c r="N63" i="7" a="1"/>
  <c r="N63" i="7" s="1"/>
  <c r="H63" i="7" a="1"/>
  <c r="H63" i="7" s="1"/>
  <c r="X62" i="7" a="1"/>
  <c r="X62" i="7" s="1"/>
  <c r="R62" i="7" a="1"/>
  <c r="R62" i="7" s="1"/>
  <c r="F64" i="7"/>
  <c r="O62" i="7" a="1"/>
  <c r="O62" i="7" s="1"/>
  <c r="O61" i="7" a="1"/>
  <c r="O61" i="7" s="1"/>
  <c r="R60" i="7" a="1"/>
  <c r="R60" i="7" s="1"/>
  <c r="H60" i="7" a="1"/>
  <c r="H60" i="7" s="1"/>
  <c r="M59" i="7" a="1"/>
  <c r="M59" i="7" s="1"/>
  <c r="K58" i="7" a="1"/>
  <c r="K58" i="7" s="1"/>
  <c r="Y57" i="7" a="1"/>
  <c r="Y57" i="7" s="1"/>
  <c r="R57" i="7" a="1"/>
  <c r="R57" i="7" s="1"/>
  <c r="K57" i="7" a="1"/>
  <c r="K57" i="7" s="1"/>
  <c r="Y56" i="7" a="1"/>
  <c r="Y56" i="7" s="1"/>
  <c r="R56" i="7" a="1"/>
  <c r="R56" i="7" s="1"/>
  <c r="K56" i="7" a="1"/>
  <c r="K56" i="7" s="1"/>
  <c r="S55" i="7" a="1"/>
  <c r="S55" i="7" s="1"/>
  <c r="K55" i="7" a="1"/>
  <c r="K55" i="7" s="1"/>
  <c r="S54" i="7" a="1"/>
  <c r="S54" i="7" s="1"/>
  <c r="L54" i="7" a="1"/>
  <c r="L54" i="7" s="1"/>
  <c r="S53" i="7" a="1"/>
  <c r="S53" i="7" s="1"/>
  <c r="L53" i="7" a="1"/>
  <c r="L53" i="7" s="1"/>
  <c r="T52" i="7" a="1"/>
  <c r="T52" i="7" s="1"/>
  <c r="M52" i="7" a="1"/>
  <c r="M52" i="7" s="1"/>
  <c r="T51" i="7" a="1"/>
  <c r="T51" i="7" s="1"/>
  <c r="T64" i="7" a="1"/>
  <c r="T64" i="7" s="1"/>
  <c r="M63" i="7" a="1"/>
  <c r="M63" i="7" s="1"/>
  <c r="L62" i="7" a="1"/>
  <c r="L62" i="7" s="1"/>
  <c r="V59" i="7" a="1"/>
  <c r="V59" i="7" s="1"/>
  <c r="L59" i="7" a="1"/>
  <c r="L59" i="7" s="1"/>
  <c r="S58" i="7" a="1"/>
  <c r="S58" i="7" s="1"/>
  <c r="J58" i="7" a="1"/>
  <c r="J58" i="7" s="1"/>
  <c r="J57" i="7" a="1"/>
  <c r="J57" i="7" s="1"/>
  <c r="R55" i="7" a="1"/>
  <c r="R55" i="7" s="1"/>
  <c r="L52" i="7" a="1"/>
  <c r="L52" i="7" s="1"/>
  <c r="M51" i="7" a="1"/>
  <c r="M51" i="7" s="1"/>
  <c r="F51" i="7"/>
  <c r="W50" i="7" a="1"/>
  <c r="W50" i="7" s="1"/>
  <c r="Q50" i="7" a="1"/>
  <c r="Q50" i="7" s="1"/>
  <c r="K50" i="7" a="1"/>
  <c r="K50" i="7" s="1"/>
  <c r="U49" i="7" a="1"/>
  <c r="U49" i="7" s="1"/>
  <c r="O49" i="7" a="1"/>
  <c r="O49" i="7" s="1"/>
  <c r="I49" i="7" a="1"/>
  <c r="I49" i="7" s="1"/>
  <c r="Y48" i="7" a="1"/>
  <c r="Y48" i="7" s="1"/>
  <c r="S48" i="7" a="1"/>
  <c r="S48" i="7" s="1"/>
  <c r="M48" i="7" a="1"/>
  <c r="M48" i="7" s="1"/>
  <c r="F48" i="7"/>
  <c r="W47" i="7" a="1"/>
  <c r="W47" i="7" s="1"/>
  <c r="Q47" i="7" a="1"/>
  <c r="Q47" i="7" s="1"/>
  <c r="K47" i="7" a="1"/>
  <c r="K47" i="7" s="1"/>
  <c r="U46" i="7" a="1"/>
  <c r="U46" i="7" s="1"/>
  <c r="O46" i="7" a="1"/>
  <c r="O46" i="7" s="1"/>
  <c r="I46" i="7" a="1"/>
  <c r="I46" i="7" s="1"/>
  <c r="Y45" i="7" a="1"/>
  <c r="Y45" i="7" s="1"/>
  <c r="S45" i="7" a="1"/>
  <c r="S45" i="7" s="1"/>
  <c r="M45" i="7" a="1"/>
  <c r="M45" i="7" s="1"/>
  <c r="F45" i="7"/>
  <c r="W44" i="7" a="1"/>
  <c r="W44" i="7" s="1"/>
  <c r="Q44" i="7" a="1"/>
  <c r="Q44" i="7" s="1"/>
  <c r="K44" i="7" a="1"/>
  <c r="K44" i="7" s="1"/>
  <c r="U43" i="7" a="1"/>
  <c r="U43" i="7" s="1"/>
  <c r="O43" i="7" a="1"/>
  <c r="O43" i="7" s="1"/>
  <c r="I43" i="7" a="1"/>
  <c r="I43" i="7" s="1"/>
  <c r="Y42" i="7" a="1"/>
  <c r="Y42" i="7" s="1"/>
  <c r="S42" i="7" a="1"/>
  <c r="S42" i="7" s="1"/>
  <c r="M42" i="7" a="1"/>
  <c r="M42" i="7" s="1"/>
  <c r="F42" i="7"/>
  <c r="W41" i="7" a="1"/>
  <c r="W41" i="7" s="1"/>
  <c r="Q41" i="7" a="1"/>
  <c r="Q41" i="7" s="1"/>
  <c r="K41" i="7" a="1"/>
  <c r="K41" i="7" s="1"/>
  <c r="U40" i="7" a="1"/>
  <c r="U40" i="7" s="1"/>
  <c r="O40" i="7" a="1"/>
  <c r="O40" i="7" s="1"/>
  <c r="I40" i="7" a="1"/>
  <c r="I40" i="7" s="1"/>
  <c r="Y39" i="7" a="1"/>
  <c r="Y39" i="7" s="1"/>
  <c r="S39" i="7" a="1"/>
  <c r="S39" i="7" s="1"/>
  <c r="M39" i="7" a="1"/>
  <c r="M39" i="7" s="1"/>
  <c r="F39" i="7"/>
  <c r="W38" i="7" a="1"/>
  <c r="W38" i="7" s="1"/>
  <c r="Q38" i="7" a="1"/>
  <c r="Q38" i="7" s="1"/>
  <c r="K38" i="7" a="1"/>
  <c r="K38" i="7" s="1"/>
  <c r="U37" i="7" a="1"/>
  <c r="U37" i="7" s="1"/>
  <c r="O37" i="7" a="1"/>
  <c r="O37" i="7" s="1"/>
  <c r="I37" i="7" a="1"/>
  <c r="I37" i="7" s="1"/>
  <c r="Y36" i="7" a="1"/>
  <c r="Y36" i="7" s="1"/>
  <c r="S36" i="7" a="1"/>
  <c r="S36" i="7" s="1"/>
  <c r="M36" i="7" a="1"/>
  <c r="M36" i="7" s="1"/>
  <c r="F36" i="7"/>
  <c r="W35" i="7" a="1"/>
  <c r="W35" i="7" s="1"/>
  <c r="Q35" i="7" a="1"/>
  <c r="Q35" i="7" s="1"/>
  <c r="K35" i="7" a="1"/>
  <c r="K35" i="7" s="1"/>
  <c r="U34" i="7" a="1"/>
  <c r="U34" i="7" s="1"/>
  <c r="O34" i="7" a="1"/>
  <c r="O34" i="7" s="1"/>
  <c r="S64" i="7" a="1"/>
  <c r="S64" i="7" s="1"/>
  <c r="W62" i="7" a="1"/>
  <c r="W62" i="7" s="1"/>
  <c r="Y61" i="7" a="1"/>
  <c r="Y61" i="7" s="1"/>
  <c r="N61" i="7" a="1"/>
  <c r="N61" i="7" s="1"/>
  <c r="Y60" i="7" a="1"/>
  <c r="Y60" i="7" s="1"/>
  <c r="Q60" i="7" a="1"/>
  <c r="Q60" i="7" s="1"/>
  <c r="F60" i="7"/>
  <c r="R58" i="7" a="1"/>
  <c r="R58" i="7" s="1"/>
  <c r="X57" i="7" a="1"/>
  <c r="X57" i="7" s="1"/>
  <c r="Q57" i="7" a="1"/>
  <c r="Q57" i="7" s="1"/>
  <c r="I57" i="7" a="1"/>
  <c r="I57" i="7" s="1"/>
  <c r="X56" i="7" a="1"/>
  <c r="X56" i="7" s="1"/>
  <c r="Q56" i="7" a="1"/>
  <c r="Q56" i="7" s="1"/>
  <c r="J56" i="7" a="1"/>
  <c r="J56" i="7" s="1"/>
  <c r="Y55" i="7" a="1"/>
  <c r="Y55" i="7" s="1"/>
  <c r="Q55" i="7" a="1"/>
  <c r="Q55" i="7" s="1"/>
  <c r="J55" i="7" a="1"/>
  <c r="J55" i="7" s="1"/>
  <c r="Y54" i="7" a="1"/>
  <c r="Y54" i="7" s="1"/>
  <c r="R54" i="7" a="1"/>
  <c r="R54" i="7" s="1"/>
  <c r="K54" i="7" a="1"/>
  <c r="K54" i="7" s="1"/>
  <c r="Y53" i="7" a="1"/>
  <c r="Y53" i="7" s="1"/>
  <c r="R53" i="7" a="1"/>
  <c r="R53" i="7" s="1"/>
  <c r="K53" i="7" a="1"/>
  <c r="K53" i="7" s="1"/>
  <c r="S52" i="7" a="1"/>
  <c r="S52" i="7" s="1"/>
  <c r="K52" i="7" a="1"/>
  <c r="K52" i="7" s="1"/>
  <c r="S51" i="7" a="1"/>
  <c r="S51" i="7" s="1"/>
  <c r="Y63" i="7" a="1"/>
  <c r="Y63" i="7" s="1"/>
  <c r="L63" i="7" a="1"/>
  <c r="L63" i="7" s="1"/>
  <c r="K62" i="7" a="1"/>
  <c r="K62" i="7" s="1"/>
  <c r="V61" i="7" a="1"/>
  <c r="V61" i="7" s="1"/>
  <c r="O60" i="7" a="1"/>
  <c r="O60" i="7" s="1"/>
  <c r="U59" i="7" a="1"/>
  <c r="U59" i="7" s="1"/>
  <c r="K59" i="7" a="1"/>
  <c r="K59" i="7" s="1"/>
  <c r="Q58" i="7" a="1"/>
  <c r="Q58" i="7" s="1"/>
  <c r="I58" i="7" a="1"/>
  <c r="I58" i="7" s="1"/>
  <c r="P57" i="7" a="1"/>
  <c r="P57" i="7" s="1"/>
  <c r="X55" i="7" a="1"/>
  <c r="X55" i="7" s="1"/>
  <c r="J54" i="7" a="1"/>
  <c r="J54" i="7" s="1"/>
  <c r="R52" i="7" a="1"/>
  <c r="R52" i="7" s="1"/>
  <c r="L51" i="7" a="1"/>
  <c r="L51" i="7" s="1"/>
  <c r="E51" i="7" a="1"/>
  <c r="E51" i="7" s="1"/>
  <c r="V50" i="7" a="1"/>
  <c r="V50" i="7" s="1"/>
  <c r="P50" i="7" a="1"/>
  <c r="P50" i="7" s="1"/>
  <c r="J50" i="7" a="1"/>
  <c r="J50" i="7" s="1"/>
  <c r="T49" i="7" a="1"/>
  <c r="T49" i="7" s="1"/>
  <c r="N49" i="7" a="1"/>
  <c r="N49" i="7" s="1"/>
  <c r="H49" i="7" a="1"/>
  <c r="H49" i="7" s="1"/>
  <c r="X48" i="7" a="1"/>
  <c r="X48" i="7" s="1"/>
  <c r="R48" i="7" a="1"/>
  <c r="R48" i="7" s="1"/>
  <c r="L48" i="7" a="1"/>
  <c r="L48" i="7" s="1"/>
  <c r="E48" i="7" a="1"/>
  <c r="E48" i="7" s="1"/>
  <c r="V47" i="7" a="1"/>
  <c r="V47" i="7" s="1"/>
  <c r="P47" i="7" a="1"/>
  <c r="P47" i="7" s="1"/>
  <c r="J47" i="7" a="1"/>
  <c r="J47" i="7" s="1"/>
  <c r="T46" i="7" a="1"/>
  <c r="T46" i="7" s="1"/>
  <c r="N46" i="7" a="1"/>
  <c r="N46" i="7" s="1"/>
  <c r="H46" i="7" a="1"/>
  <c r="H46" i="7" s="1"/>
  <c r="X45" i="7" a="1"/>
  <c r="X45" i="7" s="1"/>
  <c r="R45" i="7" a="1"/>
  <c r="R45" i="7" s="1"/>
  <c r="L45" i="7" a="1"/>
  <c r="L45" i="7" s="1"/>
  <c r="E45" i="7" a="1"/>
  <c r="E45" i="7" s="1"/>
  <c r="V44" i="7" a="1"/>
  <c r="V44" i="7" s="1"/>
  <c r="P44" i="7" a="1"/>
  <c r="P44" i="7" s="1"/>
  <c r="J44" i="7" a="1"/>
  <c r="J44" i="7" s="1"/>
  <c r="T43" i="7" a="1"/>
  <c r="T43" i="7" s="1"/>
  <c r="N43" i="7" a="1"/>
  <c r="N43" i="7" s="1"/>
  <c r="H43" i="7" a="1"/>
  <c r="H43" i="7" s="1"/>
  <c r="X42" i="7" a="1"/>
  <c r="X42" i="7" s="1"/>
  <c r="R42" i="7" a="1"/>
  <c r="R42" i="7" s="1"/>
  <c r="L42" i="7" a="1"/>
  <c r="L42" i="7" s="1"/>
  <c r="E42" i="7" a="1"/>
  <c r="E42" i="7" s="1"/>
  <c r="V41" i="7" a="1"/>
  <c r="V41" i="7" s="1"/>
  <c r="P41" i="7" a="1"/>
  <c r="P41" i="7" s="1"/>
  <c r="J41" i="7" a="1"/>
  <c r="J41" i="7" s="1"/>
  <c r="T40" i="7" a="1"/>
  <c r="T40" i="7" s="1"/>
  <c r="N40" i="7" a="1"/>
  <c r="N40" i="7" s="1"/>
  <c r="H40" i="7" a="1"/>
  <c r="H40" i="7" s="1"/>
  <c r="X39" i="7" a="1"/>
  <c r="X39" i="7" s="1"/>
  <c r="R39" i="7" a="1"/>
  <c r="R39" i="7" s="1"/>
  <c r="L39" i="7" a="1"/>
  <c r="L39" i="7" s="1"/>
  <c r="E39" i="7" a="1"/>
  <c r="E39" i="7" s="1"/>
  <c r="V38" i="7" a="1"/>
  <c r="V38" i="7" s="1"/>
  <c r="P38" i="7" a="1"/>
  <c r="P38" i="7" s="1"/>
  <c r="J38" i="7" a="1"/>
  <c r="J38" i="7" s="1"/>
  <c r="T37" i="7" a="1"/>
  <c r="T37" i="7" s="1"/>
  <c r="N37" i="7" a="1"/>
  <c r="N37" i="7" s="1"/>
  <c r="H37" i="7" a="1"/>
  <c r="H37" i="7" s="1"/>
  <c r="X36" i="7" a="1"/>
  <c r="X36" i="7" s="1"/>
  <c r="R36" i="7" a="1"/>
  <c r="R36" i="7" s="1"/>
  <c r="L36" i="7" a="1"/>
  <c r="L36" i="7" s="1"/>
  <c r="E36" i="7" a="1"/>
  <c r="E36" i="7" s="1"/>
  <c r="V35" i="7" a="1"/>
  <c r="V35" i="7" s="1"/>
  <c r="P35" i="7" a="1"/>
  <c r="P35" i="7" s="1"/>
  <c r="J35" i="7" a="1"/>
  <c r="J35" i="7" s="1"/>
  <c r="T34" i="7" a="1"/>
  <c r="T34" i="7" s="1"/>
  <c r="N34" i="7" a="1"/>
  <c r="N34" i="7" s="1"/>
  <c r="H34" i="7" a="1"/>
  <c r="H34" i="7" s="1"/>
  <c r="X33" i="7" a="1"/>
  <c r="X33" i="7" s="1"/>
  <c r="O64" i="7" a="1"/>
  <c r="O64" i="7" s="1"/>
  <c r="V62" i="7" a="1"/>
  <c r="V62" i="7" s="1"/>
  <c r="M61" i="7" a="1"/>
  <c r="M61" i="7" s="1"/>
  <c r="X60" i="7" a="1"/>
  <c r="X60" i="7" s="1"/>
  <c r="N60" i="7" a="1"/>
  <c r="N60" i="7" s="1"/>
  <c r="E60" i="7" a="1"/>
  <c r="E60" i="7" s="1"/>
  <c r="S59" i="7" a="1"/>
  <c r="S59" i="7" s="1"/>
  <c r="Y58" i="7" a="1"/>
  <c r="Y58" i="7" s="1"/>
  <c r="P58" i="7" a="1"/>
  <c r="P58" i="7" s="1"/>
  <c r="W57" i="7" a="1"/>
  <c r="W57" i="7" s="1"/>
  <c r="O57" i="7" a="1"/>
  <c r="O57" i="7" s="1"/>
  <c r="H57" i="7" a="1"/>
  <c r="H57" i="7" s="1"/>
  <c r="W56" i="7" a="1"/>
  <c r="W56" i="7" s="1"/>
  <c r="P56" i="7" a="1"/>
  <c r="P56" i="7" s="1"/>
  <c r="I56" i="7" a="1"/>
  <c r="I56" i="7" s="1"/>
  <c r="W55" i="7" a="1"/>
  <c r="W55" i="7" s="1"/>
  <c r="P55" i="7" a="1"/>
  <c r="P55" i="7" s="1"/>
  <c r="I55" i="7" a="1"/>
  <c r="I55" i="7" s="1"/>
  <c r="X54" i="7" a="1"/>
  <c r="X54" i="7" s="1"/>
  <c r="Q54" i="7" a="1"/>
  <c r="Q54" i="7" s="1"/>
  <c r="I54" i="7" a="1"/>
  <c r="I54" i="7" s="1"/>
  <c r="X53" i="7" a="1"/>
  <c r="X53" i="7" s="1"/>
  <c r="Q53" i="7" a="1"/>
  <c r="Q53" i="7" s="1"/>
  <c r="J53" i="7" a="1"/>
  <c r="J53" i="7" s="1"/>
  <c r="Y52" i="7" a="1"/>
  <c r="Y52" i="7" s="1"/>
  <c r="Q52" i="7" a="1"/>
  <c r="Q52" i="7" s="1"/>
  <c r="J52" i="7" a="1"/>
  <c r="J52" i="7" s="1"/>
  <c r="Y51" i="7" a="1"/>
  <c r="Y51" i="7" s="1"/>
  <c r="R51" i="7" a="1"/>
  <c r="R51" i="7" s="1"/>
  <c r="R63" i="7" a="1"/>
  <c r="R63" i="7" s="1"/>
  <c r="P62" i="7" a="1"/>
  <c r="P62" i="7" s="1"/>
  <c r="P61" i="7" a="1"/>
  <c r="P61" i="7" s="1"/>
  <c r="S60" i="7" a="1"/>
  <c r="S60" i="7" s="1"/>
  <c r="K60" i="7" a="1"/>
  <c r="K60" i="7" s="1"/>
  <c r="E59" i="7" a="1"/>
  <c r="E59" i="7" s="1"/>
  <c r="M58" i="7" a="1"/>
  <c r="M58" i="7" s="1"/>
  <c r="S57" i="7" a="1"/>
  <c r="S57" i="7" s="1"/>
  <c r="L57" i="7" a="1"/>
  <c r="L57" i="7" s="1"/>
  <c r="S56" i="7" a="1"/>
  <c r="S56" i="7" s="1"/>
  <c r="L56" i="7" a="1"/>
  <c r="L56" i="7" s="1"/>
  <c r="T55" i="7" a="1"/>
  <c r="T55" i="7" s="1"/>
  <c r="M55" i="7" a="1"/>
  <c r="M55" i="7" s="1"/>
  <c r="T54" i="7" a="1"/>
  <c r="T54" i="7" s="1"/>
  <c r="M54" i="7" a="1"/>
  <c r="M54" i="7" s="1"/>
  <c r="E54" i="7" a="1"/>
  <c r="E54" i="7" s="1"/>
  <c r="U53" i="7" a="1"/>
  <c r="U53" i="7" s="1"/>
  <c r="M53" i="7" a="1"/>
  <c r="M53" i="7" s="1"/>
  <c r="E53" i="7" a="1"/>
  <c r="E53" i="7" s="1"/>
  <c r="U52" i="7" a="1"/>
  <c r="U52" i="7" s="1"/>
  <c r="N52" i="7" a="1"/>
  <c r="N52" i="7" s="1"/>
  <c r="F52" i="7"/>
  <c r="U51" i="7" a="1"/>
  <c r="U51" i="7" s="1"/>
  <c r="U64" i="7" a="1"/>
  <c r="U64" i="7" s="1"/>
  <c r="H64" i="7" a="1"/>
  <c r="H64" i="7" s="1"/>
  <c r="Q63" i="7" a="1"/>
  <c r="Q63" i="7" s="1"/>
  <c r="F61" i="7"/>
  <c r="I60" i="7" a="1"/>
  <c r="I60" i="7" s="1"/>
  <c r="W59" i="7" a="1"/>
  <c r="W59" i="7" s="1"/>
  <c r="O59" i="7" a="1"/>
  <c r="O59" i="7" s="1"/>
  <c r="T58" i="7" a="1"/>
  <c r="T58" i="7" s="1"/>
  <c r="L58" i="7" a="1"/>
  <c r="L58" i="7" s="1"/>
  <c r="L55" i="7" a="1"/>
  <c r="L55" i="7" s="1"/>
  <c r="T53" i="7" a="1"/>
  <c r="T53" i="7" s="1"/>
  <c r="E52" i="7" a="1"/>
  <c r="E52"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63" i="7" a="1"/>
  <c r="X63" i="7" s="1"/>
  <c r="U62" i="7" a="1"/>
  <c r="U62" i="7" s="1"/>
  <c r="T61" i="7" a="1"/>
  <c r="T61" i="7" s="1"/>
  <c r="T60" i="7" a="1"/>
  <c r="T60" i="7" s="1"/>
  <c r="R59" i="7" a="1"/>
  <c r="R59" i="7" s="1"/>
  <c r="W58" i="7" a="1"/>
  <c r="W58" i="7" s="1"/>
  <c r="E58" i="7" a="1"/>
  <c r="E58" i="7" s="1"/>
  <c r="V55" i="7" a="1"/>
  <c r="V55" i="7" s="1"/>
  <c r="F55" i="7"/>
  <c r="W52" i="7" a="1"/>
  <c r="W52" i="7" s="1"/>
  <c r="H52" i="7" a="1"/>
  <c r="H52" i="7" s="1"/>
  <c r="O51" i="7" a="1"/>
  <c r="O51" i="7" s="1"/>
  <c r="Q49" i="7" a="1"/>
  <c r="Q49" i="7" s="1"/>
  <c r="W48" i="7" a="1"/>
  <c r="W48" i="7" s="1"/>
  <c r="J48" i="7" a="1"/>
  <c r="J48" i="7" s="1"/>
  <c r="R46" i="7" a="1"/>
  <c r="R46" i="7" s="1"/>
  <c r="E46" i="7" a="1"/>
  <c r="E46" i="7" s="1"/>
  <c r="P45" i="7" a="1"/>
  <c r="P45" i="7" s="1"/>
  <c r="N44" i="7" a="1"/>
  <c r="N44" i="7" s="1"/>
  <c r="S40" i="7" a="1"/>
  <c r="S40" i="7" s="1"/>
  <c r="F40" i="7"/>
  <c r="Q39" i="7" a="1"/>
  <c r="Q39" i="7" s="1"/>
  <c r="O38" i="7" a="1"/>
  <c r="O38" i="7" s="1"/>
  <c r="P37" i="7" a="1"/>
  <c r="P37" i="7" s="1"/>
  <c r="N36" i="7" a="1"/>
  <c r="N36" i="7" s="1"/>
  <c r="X35" i="7" a="1"/>
  <c r="X35" i="7" s="1"/>
  <c r="L35" i="7" a="1"/>
  <c r="L35" i="7" s="1"/>
  <c r="W34" i="7" a="1"/>
  <c r="W34" i="7" s="1"/>
  <c r="K34" i="7" a="1"/>
  <c r="K34" i="7" s="1"/>
  <c r="V33" i="7" a="1"/>
  <c r="V33" i="7" s="1"/>
  <c r="M33" i="7" a="1"/>
  <c r="M33" i="7" s="1"/>
  <c r="Q32" i="7" a="1"/>
  <c r="Q32" i="7" s="1"/>
  <c r="H32" i="7" a="1"/>
  <c r="H32" i="7" s="1"/>
  <c r="U31" i="7" a="1"/>
  <c r="U31" i="7" s="1"/>
  <c r="L31" i="7" a="1"/>
  <c r="L31" i="7" s="1"/>
  <c r="Y30" i="7" a="1"/>
  <c r="Y30" i="7" s="1"/>
  <c r="P30" i="7" a="1"/>
  <c r="P30" i="7" s="1"/>
  <c r="F30" i="7"/>
  <c r="T29" i="7" a="1"/>
  <c r="T29" i="7" s="1"/>
  <c r="K29" i="7" a="1"/>
  <c r="K29" i="7" s="1"/>
  <c r="X28" i="7" a="1"/>
  <c r="X28" i="7" s="1"/>
  <c r="O28" i="7" a="1"/>
  <c r="O28" i="7" s="1"/>
  <c r="E28" i="7" a="1"/>
  <c r="E28" i="7" s="1"/>
  <c r="S27" i="7" a="1"/>
  <c r="S27" i="7" s="1"/>
  <c r="J27" i="7" a="1"/>
  <c r="J27" i="7" s="1"/>
  <c r="W26" i="7" a="1"/>
  <c r="W26" i="7" s="1"/>
  <c r="N26" i="7" a="1"/>
  <c r="N26" i="7" s="1"/>
  <c r="R25" i="7" a="1"/>
  <c r="R25" i="7" s="1"/>
  <c r="I25" i="7" a="1"/>
  <c r="I25" i="7" s="1"/>
  <c r="V24" i="7" a="1"/>
  <c r="V24" i="7" s="1"/>
  <c r="M24" i="7" a="1"/>
  <c r="M24" i="7" s="1"/>
  <c r="Q23" i="7" a="1"/>
  <c r="Q23" i="7" s="1"/>
  <c r="W63" i="7" a="1"/>
  <c r="W63" i="7" s="1"/>
  <c r="V58" i="7" a="1"/>
  <c r="V58" i="7" s="1"/>
  <c r="O56" i="7" a="1"/>
  <c r="O56" i="7" s="1"/>
  <c r="E55" i="7" a="1"/>
  <c r="E55" i="7" s="1"/>
  <c r="P53" i="7" a="1"/>
  <c r="P53" i="7" s="1"/>
  <c r="K51" i="7" a="1"/>
  <c r="K51" i="7" s="1"/>
  <c r="T50" i="7" a="1"/>
  <c r="T50" i="7" s="1"/>
  <c r="F50" i="7"/>
  <c r="M49" i="7" a="1"/>
  <c r="M49" i="7" s="1"/>
  <c r="S47" i="7" a="1"/>
  <c r="S47" i="7" s="1"/>
  <c r="F47" i="7"/>
  <c r="X43" i="7" a="1"/>
  <c r="X43" i="7" s="1"/>
  <c r="L43" i="7" a="1"/>
  <c r="L43" i="7" s="1"/>
  <c r="V42" i="7" a="1"/>
  <c r="V42" i="7" s="1"/>
  <c r="J42" i="7" a="1"/>
  <c r="J42" i="7" s="1"/>
  <c r="T41" i="7" a="1"/>
  <c r="T41" i="7" s="1"/>
  <c r="H41" i="7" a="1"/>
  <c r="H41" i="7" s="1"/>
  <c r="Y37" i="7" a="1"/>
  <c r="Y37" i="7" s="1"/>
  <c r="M37" i="7" a="1"/>
  <c r="M37" i="7" s="1"/>
  <c r="W36" i="7" a="1"/>
  <c r="W36" i="7" s="1"/>
  <c r="K36" i="7" a="1"/>
  <c r="K36" i="7" s="1"/>
  <c r="U35" i="7" a="1"/>
  <c r="U35" i="7" s="1"/>
  <c r="I35" i="7" a="1"/>
  <c r="I35" i="7" s="1"/>
  <c r="V34" i="7" a="1"/>
  <c r="V34" i="7" s="1"/>
  <c r="J34" i="7" a="1"/>
  <c r="J34" i="7" s="1"/>
  <c r="L33" i="7" a="1"/>
  <c r="L33" i="7" s="1"/>
  <c r="P32" i="7" a="1"/>
  <c r="P32" i="7" s="1"/>
  <c r="T31" i="7" a="1"/>
  <c r="T31" i="7" s="1"/>
  <c r="X30" i="7" a="1"/>
  <c r="X30" i="7" s="1"/>
  <c r="E30" i="7" a="1"/>
  <c r="E30" i="7" s="1"/>
  <c r="J29" i="7" a="1"/>
  <c r="J29" i="7" s="1"/>
  <c r="N28" i="7" a="1"/>
  <c r="N28" i="7" s="1"/>
  <c r="R27" i="7" a="1"/>
  <c r="R27" i="7" s="1"/>
  <c r="V26" i="7" a="1"/>
  <c r="V26" i="7" s="1"/>
  <c r="H25" i="7" a="1"/>
  <c r="H25" i="7" s="1"/>
  <c r="L24" i="7" a="1"/>
  <c r="L24" i="7" s="1"/>
  <c r="P23" i="7" a="1"/>
  <c r="P23" i="7" s="1"/>
  <c r="H23" i="7" a="1"/>
  <c r="H23" i="7" s="1"/>
  <c r="X22" i="7" a="1"/>
  <c r="X22" i="7" s="1"/>
  <c r="R22" i="7" a="1"/>
  <c r="R22" i="7" s="1"/>
  <c r="L22" i="7" a="1"/>
  <c r="L22" i="7" s="1"/>
  <c r="E22" i="7" a="1"/>
  <c r="E22" i="7" s="1"/>
  <c r="V21" i="7" a="1"/>
  <c r="V21" i="7" s="1"/>
  <c r="P21" i="7" a="1"/>
  <c r="P21" i="7" s="1"/>
  <c r="J21" i="7" a="1"/>
  <c r="J21" i="7" s="1"/>
  <c r="T20" i="7" a="1"/>
  <c r="T20" i="7" s="1"/>
  <c r="N20" i="7" a="1"/>
  <c r="N20" i="7" s="1"/>
  <c r="H20" i="7" a="1"/>
  <c r="H20" i="7" s="1"/>
  <c r="X19" i="7" a="1"/>
  <c r="X19" i="7" s="1"/>
  <c r="R19" i="7" a="1"/>
  <c r="R19" i="7" s="1"/>
  <c r="L19" i="7" a="1"/>
  <c r="L19" i="7" s="1"/>
  <c r="E19" i="7" a="1"/>
  <c r="E19" i="7" s="1"/>
  <c r="V18" i="7" a="1"/>
  <c r="V18" i="7" s="1"/>
  <c r="P18" i="7" a="1"/>
  <c r="P18" i="7" s="1"/>
  <c r="J18" i="7" a="1"/>
  <c r="J18" i="7" s="1"/>
  <c r="T17" i="7" a="1"/>
  <c r="T17" i="7" s="1"/>
  <c r="N17" i="7" a="1"/>
  <c r="N17" i="7" s="1"/>
  <c r="H17" i="7" a="1"/>
  <c r="H17" i="7" s="1"/>
  <c r="X16" i="7" a="1"/>
  <c r="X16" i="7" s="1"/>
  <c r="R16" i="7" a="1"/>
  <c r="R16" i="7" s="1"/>
  <c r="L16" i="7" a="1"/>
  <c r="L16" i="7" s="1"/>
  <c r="E16" i="7" a="1"/>
  <c r="E16" i="7" s="1"/>
  <c r="Q62" i="7" a="1"/>
  <c r="Q62" i="7" s="1"/>
  <c r="S61" i="7" a="1"/>
  <c r="S61" i="7" s="1"/>
  <c r="Q59" i="7" a="1"/>
  <c r="Q59" i="7" s="1"/>
  <c r="F57" i="7"/>
  <c r="N56" i="7" a="1"/>
  <c r="N56" i="7" s="1"/>
  <c r="U55" i="7" a="1"/>
  <c r="U55" i="7" s="1"/>
  <c r="H54" i="7" a="1"/>
  <c r="H54" i="7" s="1"/>
  <c r="V52" i="7" a="1"/>
  <c r="V52" i="7" s="1"/>
  <c r="V48" i="7" a="1"/>
  <c r="V48" i="7" s="1"/>
  <c r="I48" i="7" a="1"/>
  <c r="I48" i="7" s="1"/>
  <c r="R47" i="7" a="1"/>
  <c r="R47" i="7" s="1"/>
  <c r="E47" i="7" a="1"/>
  <c r="E47" i="7" s="1"/>
  <c r="Q46" i="7" a="1"/>
  <c r="Q46" i="7" s="1"/>
  <c r="O45" i="7" a="1"/>
  <c r="O45" i="7" s="1"/>
  <c r="Y44" i="7" a="1"/>
  <c r="Y44" i="7" s="1"/>
  <c r="M44" i="7" a="1"/>
  <c r="M44" i="7" s="1"/>
  <c r="R40" i="7" a="1"/>
  <c r="R40" i="7" s="1"/>
  <c r="E40" i="7" a="1"/>
  <c r="E40" i="7" s="1"/>
  <c r="P39" i="7" a="1"/>
  <c r="P39" i="7" s="1"/>
  <c r="N38" i="7" a="1"/>
  <c r="N38" i="7" s="1"/>
  <c r="S34" i="7" a="1"/>
  <c r="S34" i="7" s="1"/>
  <c r="I34" i="7" a="1"/>
  <c r="I34" i="7" s="1"/>
  <c r="U33" i="7" a="1"/>
  <c r="U33" i="7" s="1"/>
  <c r="K33" i="7" a="1"/>
  <c r="K33" i="7" s="1"/>
  <c r="Y32" i="7" a="1"/>
  <c r="Y32" i="7" s="1"/>
  <c r="O32" i="7" a="1"/>
  <c r="O32" i="7" s="1"/>
  <c r="F32" i="7"/>
  <c r="S31" i="7" a="1"/>
  <c r="S31" i="7" s="1"/>
  <c r="K31" i="7" a="1"/>
  <c r="K31" i="7" s="1"/>
  <c r="W30" i="7" a="1"/>
  <c r="W30" i="7" s="1"/>
  <c r="O30" i="7" a="1"/>
  <c r="O30" i="7" s="1"/>
  <c r="S29" i="7" a="1"/>
  <c r="S29" i="7" s="1"/>
  <c r="I29" i="7" a="1"/>
  <c r="I29" i="7" s="1"/>
  <c r="W28" i="7" a="1"/>
  <c r="W28" i="7" s="1"/>
  <c r="M28" i="7" a="1"/>
  <c r="M28" i="7" s="1"/>
  <c r="Q27" i="7" a="1"/>
  <c r="Q27" i="7" s="1"/>
  <c r="I27" i="7" a="1"/>
  <c r="I27" i="7" s="1"/>
  <c r="U26" i="7" a="1"/>
  <c r="U26" i="7" s="1"/>
  <c r="M26" i="7" a="1"/>
  <c r="M26" i="7" s="1"/>
  <c r="Y25" i="7" a="1"/>
  <c r="Y25" i="7" s="1"/>
  <c r="Q25" i="7" a="1"/>
  <c r="Q25" i="7" s="1"/>
  <c r="F25" i="7"/>
  <c r="U24" i="7" a="1"/>
  <c r="U24" i="7" s="1"/>
  <c r="K24" i="7" a="1"/>
  <c r="K24" i="7" s="1"/>
  <c r="Y23" i="7" a="1"/>
  <c r="Y23" i="7" s="1"/>
  <c r="O23" i="7" a="1"/>
  <c r="O23" i="7" s="1"/>
  <c r="S63" i="7" a="1"/>
  <c r="S63" i="7" s="1"/>
  <c r="J61" i="7" a="1"/>
  <c r="J61" i="7" s="1"/>
  <c r="M60" i="7" a="1"/>
  <c r="M60" i="7" s="1"/>
  <c r="U58" i="7" a="1"/>
  <c r="U58" i="7" s="1"/>
  <c r="V57" i="7" a="1"/>
  <c r="V57" i="7" s="1"/>
  <c r="M56" i="7" a="1"/>
  <c r="M56" i="7" s="1"/>
  <c r="O53" i="7" a="1"/>
  <c r="O53" i="7" s="1"/>
  <c r="J51" i="7" a="1"/>
  <c r="J51" i="7" s="1"/>
  <c r="S50" i="7" a="1"/>
  <c r="S50" i="7" s="1"/>
  <c r="Y49" i="7" a="1"/>
  <c r="Y49" i="7" s="1"/>
  <c r="L49" i="7" a="1"/>
  <c r="L49" i="7" s="1"/>
  <c r="O47" i="7" a="1"/>
  <c r="O47" i="7" s="1"/>
  <c r="P46" i="7" a="1"/>
  <c r="P46" i="7" s="1"/>
  <c r="N45" i="7" a="1"/>
  <c r="N45" i="7" s="1"/>
  <c r="X44" i="7" a="1"/>
  <c r="X44" i="7" s="1"/>
  <c r="L44" i="7" a="1"/>
  <c r="L44" i="7" s="1"/>
  <c r="W43" i="7" a="1"/>
  <c r="W43" i="7" s="1"/>
  <c r="K43" i="7" a="1"/>
  <c r="K43" i="7" s="1"/>
  <c r="U42" i="7" a="1"/>
  <c r="U42" i="7" s="1"/>
  <c r="I42" i="7" a="1"/>
  <c r="I42" i="7" s="1"/>
  <c r="S41" i="7" a="1"/>
  <c r="S41" i="7" s="1"/>
  <c r="F41" i="7"/>
  <c r="X37" i="7" a="1"/>
  <c r="X37" i="7" s="1"/>
  <c r="L37" i="7" a="1"/>
  <c r="L37" i="7" s="1"/>
  <c r="V36" i="7" a="1"/>
  <c r="V36" i="7" s="1"/>
  <c r="J36" i="7" a="1"/>
  <c r="J36" i="7" s="1"/>
  <c r="T35" i="7" a="1"/>
  <c r="T35" i="7" s="1"/>
  <c r="H35" i="7" a="1"/>
  <c r="H35" i="7" s="1"/>
  <c r="F34" i="7"/>
  <c r="T33" i="7" a="1"/>
  <c r="T33" i="7" s="1"/>
  <c r="X32" i="7" a="1"/>
  <c r="X32" i="7" s="1"/>
  <c r="E32" i="7" a="1"/>
  <c r="E32" i="7" s="1"/>
  <c r="J31" i="7" a="1"/>
  <c r="J31" i="7" s="1"/>
  <c r="N30" i="7" a="1"/>
  <c r="N30" i="7" s="1"/>
  <c r="R29" i="7" a="1"/>
  <c r="R29" i="7" s="1"/>
  <c r="V28" i="7" a="1"/>
  <c r="V28" i="7" s="1"/>
  <c r="H27" i="7" a="1"/>
  <c r="H27" i="7" s="1"/>
  <c r="L26" i="7" a="1"/>
  <c r="L26" i="7" s="1"/>
  <c r="P25" i="7" a="1"/>
  <c r="P25" i="7" s="1"/>
  <c r="T24" i="7" a="1"/>
  <c r="T24" i="7" s="1"/>
  <c r="X23" i="7" a="1"/>
  <c r="X23" i="7" s="1"/>
  <c r="F23" i="7"/>
  <c r="W22" i="7" a="1"/>
  <c r="W22" i="7" s="1"/>
  <c r="Q22" i="7" a="1"/>
  <c r="Q22" i="7" s="1"/>
  <c r="K22" i="7" a="1"/>
  <c r="K22" i="7" s="1"/>
  <c r="U21" i="7" a="1"/>
  <c r="U21" i="7" s="1"/>
  <c r="O21" i="7" a="1"/>
  <c r="O21" i="7" s="1"/>
  <c r="I21" i="7" a="1"/>
  <c r="I21" i="7" s="1"/>
  <c r="Y20" i="7" a="1"/>
  <c r="Y20" i="7" s="1"/>
  <c r="S20" i="7" a="1"/>
  <c r="S20" i="7" s="1"/>
  <c r="M20" i="7" a="1"/>
  <c r="M20" i="7" s="1"/>
  <c r="F20" i="7"/>
  <c r="W19" i="7" a="1"/>
  <c r="W19" i="7" s="1"/>
  <c r="Q19" i="7" a="1"/>
  <c r="Q19" i="7" s="1"/>
  <c r="K19" i="7" a="1"/>
  <c r="K19" i="7" s="1"/>
  <c r="U18" i="7" a="1"/>
  <c r="U18" i="7" s="1"/>
  <c r="O18" i="7" a="1"/>
  <c r="O18" i="7" s="1"/>
  <c r="I18" i="7" a="1"/>
  <c r="I18" i="7" s="1"/>
  <c r="Y17" i="7" a="1"/>
  <c r="Y17" i="7" s="1"/>
  <c r="S17" i="7" a="1"/>
  <c r="S17" i="7" s="1"/>
  <c r="M17" i="7" a="1"/>
  <c r="M17" i="7" s="1"/>
  <c r="F17" i="7"/>
  <c r="W16" i="7" a="1"/>
  <c r="W16" i="7" s="1"/>
  <c r="Q16" i="7" a="1"/>
  <c r="Q16" i="7" s="1"/>
  <c r="K16" i="7" a="1"/>
  <c r="K16" i="7" s="1"/>
  <c r="J62" i="7" a="1"/>
  <c r="J62" i="7" s="1"/>
  <c r="P59" i="7" a="1"/>
  <c r="P59" i="7" s="1"/>
  <c r="U57" i="7" a="1"/>
  <c r="U57" i="7" s="1"/>
  <c r="E57" i="7" a="1"/>
  <c r="E57" i="7" s="1"/>
  <c r="W54" i="7" a="1"/>
  <c r="W54" i="7" s="1"/>
  <c r="F54" i="7"/>
  <c r="N53" i="7" a="1"/>
  <c r="N53" i="7" s="1"/>
  <c r="X51" i="7" a="1"/>
  <c r="X51" i="7" s="1"/>
  <c r="O50" i="7" a="1"/>
  <c r="O50" i="7" s="1"/>
  <c r="U48" i="7" a="1"/>
  <c r="U48" i="7" s="1"/>
  <c r="Y46" i="7" a="1"/>
  <c r="Y46" i="7" s="1"/>
  <c r="M46" i="7" a="1"/>
  <c r="M46" i="7" s="1"/>
  <c r="W45" i="7" a="1"/>
  <c r="W45" i="7" s="1"/>
  <c r="K45" i="7" a="1"/>
  <c r="K45" i="7" s="1"/>
  <c r="U44" i="7" a="1"/>
  <c r="U44" i="7" s="1"/>
  <c r="I44" i="7" a="1"/>
  <c r="I44" i="7" s="1"/>
  <c r="V43" i="7" a="1"/>
  <c r="V43" i="7" s="1"/>
  <c r="J43" i="7" a="1"/>
  <c r="J43" i="7" s="1"/>
  <c r="T42" i="7" a="1"/>
  <c r="T42" i="7" s="1"/>
  <c r="H42" i="7" a="1"/>
  <c r="H42" i="7" s="1"/>
  <c r="R41" i="7" a="1"/>
  <c r="R41" i="7" s="1"/>
  <c r="E41" i="7" a="1"/>
  <c r="E41" i="7" s="1"/>
  <c r="Q40" i="7" a="1"/>
  <c r="Q40" i="7" s="1"/>
  <c r="O39" i="7" a="1"/>
  <c r="O39" i="7" s="1"/>
  <c r="Y38" i="7" a="1"/>
  <c r="Y38" i="7" s="1"/>
  <c r="M38" i="7" a="1"/>
  <c r="M38" i="7" s="1"/>
  <c r="R34" i="7" a="1"/>
  <c r="R34" i="7" s="1"/>
  <c r="S33" i="7" a="1"/>
  <c r="S33" i="7" s="1"/>
  <c r="J33" i="7" a="1"/>
  <c r="J33" i="7" s="1"/>
  <c r="W32" i="7" a="1"/>
  <c r="W32" i="7" s="1"/>
  <c r="N32" i="7" a="1"/>
  <c r="N32" i="7" s="1"/>
  <c r="R31" i="7" a="1"/>
  <c r="R31" i="7" s="1"/>
  <c r="I31" i="7" a="1"/>
  <c r="I31" i="7" s="1"/>
  <c r="V30" i="7" a="1"/>
  <c r="V30" i="7" s="1"/>
  <c r="M30" i="7" a="1"/>
  <c r="M30" i="7" s="1"/>
  <c r="Q29" i="7" a="1"/>
  <c r="Q29" i="7" s="1"/>
  <c r="H29" i="7" a="1"/>
  <c r="H29" i="7" s="1"/>
  <c r="U28" i="7" a="1"/>
  <c r="U28" i="7" s="1"/>
  <c r="L28" i="7" a="1"/>
  <c r="L28" i="7" s="1"/>
  <c r="Y27" i="7" a="1"/>
  <c r="Y27" i="7" s="1"/>
  <c r="P27" i="7" a="1"/>
  <c r="P27" i="7" s="1"/>
  <c r="F27" i="7"/>
  <c r="T26" i="7" a="1"/>
  <c r="T26" i="7" s="1"/>
  <c r="K26" i="7" a="1"/>
  <c r="K26" i="7" s="1"/>
  <c r="X25" i="7" a="1"/>
  <c r="X25" i="7" s="1"/>
  <c r="O25" i="7" a="1"/>
  <c r="O25" i="7" s="1"/>
  <c r="E25" i="7" a="1"/>
  <c r="E25" i="7" s="1"/>
  <c r="S24" i="7" a="1"/>
  <c r="S24" i="7" s="1"/>
  <c r="J24" i="7" a="1"/>
  <c r="J24" i="7" s="1"/>
  <c r="W23" i="7" a="1"/>
  <c r="W23" i="7" s="1"/>
  <c r="N23" i="7" a="1"/>
  <c r="N23" i="7" s="1"/>
  <c r="I64" i="7" a="1"/>
  <c r="I64" i="7" s="1"/>
  <c r="U61" i="7" a="1"/>
  <c r="U61" i="7" s="1"/>
  <c r="W60" i="7" a="1"/>
  <c r="W60" i="7" s="1"/>
  <c r="Y59" i="7" a="1"/>
  <c r="Y59" i="7" s="1"/>
  <c r="U56" i="7" a="1"/>
  <c r="U56" i="7" s="1"/>
  <c r="H55" i="7" a="1"/>
  <c r="H55" i="7" s="1"/>
  <c r="V53" i="7" a="1"/>
  <c r="V53" i="7" s="1"/>
  <c r="I52" i="7" a="1"/>
  <c r="I52" i="7" s="1"/>
  <c r="P51" i="7" a="1"/>
  <c r="P51" i="7" s="1"/>
  <c r="Y50" i="7" a="1"/>
  <c r="Y50" i="7" s="1"/>
  <c r="R49" i="7" a="1"/>
  <c r="R49" i="7" s="1"/>
  <c r="K48" i="7" a="1"/>
  <c r="K48" i="7" s="1"/>
  <c r="S46" i="7" a="1"/>
  <c r="S46" i="7" s="1"/>
  <c r="F46" i="7"/>
  <c r="Q45" i="7" a="1"/>
  <c r="Q45" i="7" s="1"/>
  <c r="O44" i="7" a="1"/>
  <c r="O44" i="7" s="1"/>
  <c r="P43" i="7" a="1"/>
  <c r="P43" i="7" s="1"/>
  <c r="N42" i="7" a="1"/>
  <c r="N42" i="7" s="1"/>
  <c r="X41" i="7" a="1"/>
  <c r="X41" i="7" s="1"/>
  <c r="L41" i="7" a="1"/>
  <c r="L41" i="7" s="1"/>
  <c r="W40" i="7" a="1"/>
  <c r="W40" i="7" s="1"/>
  <c r="K40" i="7" a="1"/>
  <c r="K40" i="7" s="1"/>
  <c r="U39" i="7" a="1"/>
  <c r="U39" i="7" s="1"/>
  <c r="I39" i="7" a="1"/>
  <c r="I39" i="7" s="1"/>
  <c r="S38" i="7" a="1"/>
  <c r="S38" i="7" s="1"/>
  <c r="F38" i="7"/>
  <c r="X34" i="7" a="1"/>
  <c r="X34" i="7" s="1"/>
  <c r="L34" i="7" a="1"/>
  <c r="L34" i="7" s="1"/>
  <c r="W33" i="7" a="1"/>
  <c r="W33" i="7" s="1"/>
  <c r="O33" i="7" a="1"/>
  <c r="O33" i="7" s="1"/>
  <c r="S32" i="7" a="1"/>
  <c r="S32" i="7" s="1"/>
  <c r="I32" i="7" a="1"/>
  <c r="I32" i="7" s="1"/>
  <c r="W31" i="7" a="1"/>
  <c r="W31" i="7" s="1"/>
  <c r="M31" i="7" a="1"/>
  <c r="M31" i="7" s="1"/>
  <c r="Q30" i="7" a="1"/>
  <c r="Q30" i="7" s="1"/>
  <c r="I30" i="7" a="1"/>
  <c r="I30" i="7" s="1"/>
  <c r="U29" i="7" a="1"/>
  <c r="U29" i="7" s="1"/>
  <c r="M29" i="7" a="1"/>
  <c r="M29" i="7" s="1"/>
  <c r="Y28" i="7" a="1"/>
  <c r="Y28" i="7" s="1"/>
  <c r="Q28" i="7" a="1"/>
  <c r="Q28" i="7" s="1"/>
  <c r="F28" i="7"/>
  <c r="U27" i="7" a="1"/>
  <c r="U27" i="7" s="1"/>
  <c r="K27" i="7" a="1"/>
  <c r="K27" i="7" s="1"/>
  <c r="Y26" i="7" a="1"/>
  <c r="Y26" i="7" s="1"/>
  <c r="O26" i="7" a="1"/>
  <c r="O26" i="7" s="1"/>
  <c r="F26" i="7"/>
  <c r="S25" i="7" a="1"/>
  <c r="S25" i="7" s="1"/>
  <c r="K25" i="7" a="1"/>
  <c r="K25" i="7" s="1"/>
  <c r="W24" i="7" a="1"/>
  <c r="W24" i="7" s="1"/>
  <c r="O24" i="7" a="1"/>
  <c r="O24" i="7" s="1"/>
  <c r="S23" i="7" a="1"/>
  <c r="S23" i="7" s="1"/>
  <c r="U60" i="7" a="1"/>
  <c r="U60" i="7" s="1"/>
  <c r="X59" i="7" a="1"/>
  <c r="X59" i="7" s="1"/>
  <c r="X58" i="7" a="1"/>
  <c r="X58" i="7" s="1"/>
  <c r="F58" i="7"/>
  <c r="M57" i="7" a="1"/>
  <c r="M57" i="7" s="1"/>
  <c r="T56" i="7" a="1"/>
  <c r="T56" i="7" s="1"/>
  <c r="N54" i="7" a="1"/>
  <c r="N54" i="7" s="1"/>
  <c r="X52" i="7" a="1"/>
  <c r="X52" i="7" s="1"/>
  <c r="U50" i="7" a="1"/>
  <c r="U50" i="7" s="1"/>
  <c r="H50" i="7" a="1"/>
  <c r="H50" i="7" s="1"/>
  <c r="T47" i="7" a="1"/>
  <c r="T47" i="7" s="1"/>
  <c r="H47" i="7" a="1"/>
  <c r="H47" i="7" s="1"/>
  <c r="Y43" i="7" a="1"/>
  <c r="Y43" i="7" s="1"/>
  <c r="M43" i="7" a="1"/>
  <c r="M43" i="7" s="1"/>
  <c r="W42" i="7" a="1"/>
  <c r="W42" i="7" s="1"/>
  <c r="K42" i="7" a="1"/>
  <c r="K42" i="7" s="1"/>
  <c r="U41" i="7" a="1"/>
  <c r="U41" i="7" s="1"/>
  <c r="I41" i="7" a="1"/>
  <c r="I41" i="7" s="1"/>
  <c r="V40" i="7" a="1"/>
  <c r="V40" i="7" s="1"/>
  <c r="J40" i="7" a="1"/>
  <c r="J40" i="7" s="1"/>
  <c r="T39" i="7" a="1"/>
  <c r="T39" i="7" s="1"/>
  <c r="H39" i="7" a="1"/>
  <c r="H39" i="7" s="1"/>
  <c r="R38" i="7" a="1"/>
  <c r="R38" i="7" s="1"/>
  <c r="E38" i="7" a="1"/>
  <c r="E38" i="7" s="1"/>
  <c r="Q37" i="7" a="1"/>
  <c r="Q37" i="7" s="1"/>
  <c r="O36" i="7" a="1"/>
  <c r="O36" i="7" s="1"/>
  <c r="Y35" i="7" a="1"/>
  <c r="Y35" i="7" s="1"/>
  <c r="M35" i="7" a="1"/>
  <c r="M35" i="7" s="1"/>
  <c r="N33" i="7" a="1"/>
  <c r="N33" i="7" s="1"/>
  <c r="R32" i="7" a="1"/>
  <c r="R32" i="7" s="1"/>
  <c r="V31" i="7" a="1"/>
  <c r="V31" i="7" s="1"/>
  <c r="H30" i="7" a="1"/>
  <c r="H30" i="7" s="1"/>
  <c r="L29" i="7" a="1"/>
  <c r="L29" i="7" s="1"/>
  <c r="P28" i="7" a="1"/>
  <c r="P28" i="7" s="1"/>
  <c r="T27" i="7" a="1"/>
  <c r="T27" i="7" s="1"/>
  <c r="X26" i="7" a="1"/>
  <c r="X26" i="7" s="1"/>
  <c r="E26" i="7" a="1"/>
  <c r="E26" i="7" s="1"/>
  <c r="J25" i="7" a="1"/>
  <c r="J25" i="7" s="1"/>
  <c r="N24" i="7" a="1"/>
  <c r="N24" i="7" s="1"/>
  <c r="R23" i="7" a="1"/>
  <c r="R23" i="7" s="1"/>
  <c r="I23" i="7" a="1"/>
  <c r="I23" i="7" s="1"/>
  <c r="Y22" i="7" a="1"/>
  <c r="Y22" i="7" s="1"/>
  <c r="S22" i="7" a="1"/>
  <c r="S22" i="7" s="1"/>
  <c r="M22" i="7" a="1"/>
  <c r="M22" i="7" s="1"/>
  <c r="F22" i="7"/>
  <c r="W21" i="7" a="1"/>
  <c r="W21" i="7" s="1"/>
  <c r="Q21" i="7" a="1"/>
  <c r="Q21" i="7" s="1"/>
  <c r="K21" i="7" a="1"/>
  <c r="K21" i="7" s="1"/>
  <c r="U20" i="7" a="1"/>
  <c r="U20" i="7" s="1"/>
  <c r="O20" i="7" a="1"/>
  <c r="O20" i="7" s="1"/>
  <c r="I20" i="7" a="1"/>
  <c r="I20" i="7" s="1"/>
  <c r="Y19" i="7" a="1"/>
  <c r="Y19" i="7" s="1"/>
  <c r="S19" i="7" a="1"/>
  <c r="S19" i="7" s="1"/>
  <c r="M19" i="7" a="1"/>
  <c r="M19" i="7" s="1"/>
  <c r="F19" i="7"/>
  <c r="W18" i="7" a="1"/>
  <c r="W18" i="7" s="1"/>
  <c r="Q18" i="7" a="1"/>
  <c r="Q18" i="7" s="1"/>
  <c r="K18" i="7" a="1"/>
  <c r="K18" i="7" s="1"/>
  <c r="U17" i="7" a="1"/>
  <c r="U17" i="7" s="1"/>
  <c r="O17" i="7" a="1"/>
  <c r="O17" i="7" s="1"/>
  <c r="I17" i="7" a="1"/>
  <c r="I17" i="7" s="1"/>
  <c r="Y16" i="7" a="1"/>
  <c r="Y16" i="7" s="1"/>
  <c r="S16" i="7" a="1"/>
  <c r="S16" i="7" s="1"/>
  <c r="M16" i="7" a="1"/>
  <c r="M16" i="7" s="1"/>
  <c r="F16" i="7"/>
  <c r="T57" i="7" a="1"/>
  <c r="T57" i="7" s="1"/>
  <c r="E56" i="7" a="1"/>
  <c r="E56" i="7" s="1"/>
  <c r="P54" i="7" a="1"/>
  <c r="P54" i="7" s="1"/>
  <c r="I51" i="7" a="1"/>
  <c r="I51" i="7" s="1"/>
  <c r="P48" i="7" a="1"/>
  <c r="P48" i="7" s="1"/>
  <c r="I47" i="7" a="1"/>
  <c r="I47" i="7" s="1"/>
  <c r="P42" i="7" a="1"/>
  <c r="P42" i="7" s="1"/>
  <c r="M41" i="7" a="1"/>
  <c r="M41" i="7" s="1"/>
  <c r="W39" i="7" a="1"/>
  <c r="W39" i="7" s="1"/>
  <c r="P36" i="7" a="1"/>
  <c r="P36" i="7" s="1"/>
  <c r="E35" i="7" a="1"/>
  <c r="E35" i="7" s="1"/>
  <c r="Y31" i="7" a="1"/>
  <c r="Y31" i="7" s="1"/>
  <c r="E31" i="7" a="1"/>
  <c r="E31" i="7" s="1"/>
  <c r="J28" i="7" a="1"/>
  <c r="J28" i="7" s="1"/>
  <c r="M27" i="7" a="1"/>
  <c r="M27" i="7" s="1"/>
  <c r="J26" i="7" a="1"/>
  <c r="J26" i="7" s="1"/>
  <c r="M25" i="7" a="1"/>
  <c r="M25" i="7" s="1"/>
  <c r="P24" i="7" a="1"/>
  <c r="P24" i="7" s="1"/>
  <c r="N21" i="7" a="1"/>
  <c r="N21" i="7" s="1"/>
  <c r="P19" i="7" a="1"/>
  <c r="P19" i="7" s="1"/>
  <c r="Y18" i="7" a="1"/>
  <c r="Y18" i="7" s="1"/>
  <c r="L18" i="7" a="1"/>
  <c r="L18" i="7" s="1"/>
  <c r="R17" i="7" a="1"/>
  <c r="R17" i="7" s="1"/>
  <c r="N16" i="7" a="1"/>
  <c r="N16" i="7" s="1"/>
  <c r="I61" i="7" a="1"/>
  <c r="I61" i="7" s="1"/>
  <c r="I59" i="7" a="1"/>
  <c r="I59" i="7" s="1"/>
  <c r="O54" i="7" a="1"/>
  <c r="O54" i="7" s="1"/>
  <c r="P52" i="7" a="1"/>
  <c r="P52" i="7" s="1"/>
  <c r="W49" i="7" a="1"/>
  <c r="W49" i="7" s="1"/>
  <c r="T44" i="7" a="1"/>
  <c r="T44" i="7" s="1"/>
  <c r="R43" i="7" a="1"/>
  <c r="R43" i="7" s="1"/>
  <c r="T38" i="7" a="1"/>
  <c r="T38" i="7" s="1"/>
  <c r="R37" i="7" a="1"/>
  <c r="R37" i="7" s="1"/>
  <c r="I36" i="7" a="1"/>
  <c r="I36" i="7" s="1"/>
  <c r="Y33" i="7" a="1"/>
  <c r="Y33" i="7" s="1"/>
  <c r="V32" i="7" a="1"/>
  <c r="V32" i="7" s="1"/>
  <c r="F29" i="7"/>
  <c r="I28" i="7" a="1"/>
  <c r="I28" i="7" s="1"/>
  <c r="L27" i="7" a="1"/>
  <c r="L27" i="7" s="1"/>
  <c r="I26" i="7" a="1"/>
  <c r="I26" i="7" s="1"/>
  <c r="U22" i="7" a="1"/>
  <c r="U22" i="7" s="1"/>
  <c r="H22" i="7" a="1"/>
  <c r="H22" i="7" s="1"/>
  <c r="W20" i="7" a="1"/>
  <c r="W20" i="7" s="1"/>
  <c r="J20" i="7" a="1"/>
  <c r="J20" i="7" s="1"/>
  <c r="H18" i="7" a="1"/>
  <c r="H18" i="7" s="1"/>
  <c r="J16" i="7" a="1"/>
  <c r="J16" i="7" s="1"/>
  <c r="K63" i="7" a="1"/>
  <c r="K63" i="7" s="1"/>
  <c r="H59" i="7" a="1"/>
  <c r="H59" i="7" s="1"/>
  <c r="S49" i="7" a="1"/>
  <c r="S49" i="7" s="1"/>
  <c r="O48" i="7" a="1"/>
  <c r="O48" i="7" s="1"/>
  <c r="V45" i="7" a="1"/>
  <c r="V45" i="7" s="1"/>
  <c r="O42" i="7" a="1"/>
  <c r="O42" i="7" s="1"/>
  <c r="Y40" i="7" a="1"/>
  <c r="Y40" i="7" s="1"/>
  <c r="V39" i="7" a="1"/>
  <c r="V39" i="7" s="1"/>
  <c r="K37" i="7" a="1"/>
  <c r="K37" i="7" s="1"/>
  <c r="H36" i="7" a="1"/>
  <c r="H36" i="7" s="1"/>
  <c r="Y34" i="7" a="1"/>
  <c r="Y34" i="7" s="1"/>
  <c r="R33" i="7" a="1"/>
  <c r="R33" i="7" s="1"/>
  <c r="U32" i="7" a="1"/>
  <c r="U32" i="7" s="1"/>
  <c r="X31" i="7" a="1"/>
  <c r="X31" i="7" s="1"/>
  <c r="E29" i="7" a="1"/>
  <c r="E29" i="7" s="1"/>
  <c r="H28" i="7" a="1"/>
  <c r="H28" i="7" s="1"/>
  <c r="E27" i="7" a="1"/>
  <c r="E27" i="7" s="1"/>
  <c r="L25" i="7" a="1"/>
  <c r="L25" i="7" s="1"/>
  <c r="M23" i="7" a="1"/>
  <c r="M23" i="7" s="1"/>
  <c r="M21" i="7" a="1"/>
  <c r="M21" i="7" s="1"/>
  <c r="E20" i="7" a="1"/>
  <c r="E20" i="7" s="1"/>
  <c r="O19" i="7" a="1"/>
  <c r="O19" i="7" s="1"/>
  <c r="X18" i="7" a="1"/>
  <c r="X18" i="7" s="1"/>
  <c r="Q17" i="7" a="1"/>
  <c r="Q17" i="7" s="1"/>
  <c r="H61" i="7" a="1"/>
  <c r="H61" i="7" s="1"/>
  <c r="F59" i="7"/>
  <c r="N57" i="7" a="1"/>
  <c r="N57" i="7" s="1"/>
  <c r="O55" i="7" a="1"/>
  <c r="O55" i="7" s="1"/>
  <c r="O52" i="7" a="1"/>
  <c r="O52" i="7" s="1"/>
  <c r="X46" i="7" a="1"/>
  <c r="X46" i="7" s="1"/>
  <c r="S44" i="7" a="1"/>
  <c r="S44" i="7" s="1"/>
  <c r="Q43" i="7" a="1"/>
  <c r="Q43" i="7" s="1"/>
  <c r="L38" i="7" a="1"/>
  <c r="L38" i="7" s="1"/>
  <c r="J37" i="7" a="1"/>
  <c r="J37" i="7" s="1"/>
  <c r="Q33" i="7" a="1"/>
  <c r="Q33" i="7" s="1"/>
  <c r="Y29" i="7" a="1"/>
  <c r="Y29" i="7" s="1"/>
  <c r="H26" i="7" a="1"/>
  <c r="H26" i="7" s="1"/>
  <c r="I24" i="7" a="1"/>
  <c r="I24" i="7" s="1"/>
  <c r="L23" i="7" a="1"/>
  <c r="L23" i="7" s="1"/>
  <c r="T22" i="7" a="1"/>
  <c r="T22" i="7" s="1"/>
  <c r="V20" i="7" a="1"/>
  <c r="V20" i="7" s="1"/>
  <c r="T18" i="7" a="1"/>
  <c r="T18" i="7" s="1"/>
  <c r="F18" i="7"/>
  <c r="V16" i="7" a="1"/>
  <c r="V16" i="7" s="1"/>
  <c r="I16" i="7" a="1"/>
  <c r="I16" i="7" s="1"/>
  <c r="F63" i="7"/>
  <c r="K49" i="7" a="1"/>
  <c r="K49" i="7" s="1"/>
  <c r="U45" i="7" a="1"/>
  <c r="U45" i="7" s="1"/>
  <c r="R44" i="7" a="1"/>
  <c r="R44" i="7" s="1"/>
  <c r="F43" i="7"/>
  <c r="X40" i="7" a="1"/>
  <c r="X40" i="7" s="1"/>
  <c r="N39" i="7" a="1"/>
  <c r="N39" i="7" s="1"/>
  <c r="I38" i="7" a="1"/>
  <c r="I38" i="7" s="1"/>
  <c r="F37" i="7"/>
  <c r="T32" i="7" a="1"/>
  <c r="T32" i="7" s="1"/>
  <c r="U30" i="7" a="1"/>
  <c r="U30" i="7" s="1"/>
  <c r="X29" i="7" a="1"/>
  <c r="X29" i="7" s="1"/>
  <c r="X27" i="7" a="1"/>
  <c r="X27" i="7" s="1"/>
  <c r="H24" i="7" a="1"/>
  <c r="H24" i="7" s="1"/>
  <c r="K23" i="7" a="1"/>
  <c r="K23" i="7" s="1"/>
  <c r="P22" i="7" a="1"/>
  <c r="P22" i="7" s="1"/>
  <c r="Y21" i="7" a="1"/>
  <c r="Y21" i="7" s="1"/>
  <c r="L21" i="7" a="1"/>
  <c r="L21" i="7" s="1"/>
  <c r="R20" i="7" a="1"/>
  <c r="R20" i="7" s="1"/>
  <c r="N19" i="7" a="1"/>
  <c r="N19" i="7" s="1"/>
  <c r="P17" i="7" a="1"/>
  <c r="P17" i="7" s="1"/>
  <c r="N64" i="7" a="1"/>
  <c r="N64" i="7" s="1"/>
  <c r="E62" i="7" a="1"/>
  <c r="E62" i="7" s="1"/>
  <c r="F56" i="7"/>
  <c r="U54" i="7" a="1"/>
  <c r="U54" i="7" s="1"/>
  <c r="F53" i="7"/>
  <c r="Q48" i="7" a="1"/>
  <c r="Q48" i="7" s="1"/>
  <c r="M47" i="7" a="1"/>
  <c r="M47" i="7" s="1"/>
  <c r="K46" i="7" a="1"/>
  <c r="K46" i="7" s="1"/>
  <c r="H45" i="7" a="1"/>
  <c r="H45" i="7" s="1"/>
  <c r="Q42" i="7" a="1"/>
  <c r="Q42" i="7" s="1"/>
  <c r="N41" i="7" a="1"/>
  <c r="N41" i="7" s="1"/>
  <c r="X38" i="7" a="1"/>
  <c r="X38" i="7" s="1"/>
  <c r="V37" i="7" a="1"/>
  <c r="V37" i="7" s="1"/>
  <c r="Q36" i="7" a="1"/>
  <c r="Q36" i="7" s="1"/>
  <c r="N35" i="7" a="1"/>
  <c r="N35" i="7" s="1"/>
  <c r="F33" i="7"/>
  <c r="J32" i="7" a="1"/>
  <c r="J32" i="7" s="1"/>
  <c r="F31" i="7"/>
  <c r="N29" i="7" a="1"/>
  <c r="N29" i="7" s="1"/>
  <c r="O27" i="7" a="1"/>
  <c r="O27" i="7" s="1"/>
  <c r="Q26" i="7" a="1"/>
  <c r="Q26" i="7" s="1"/>
  <c r="T25" i="7" a="1"/>
  <c r="T25" i="7" s="1"/>
  <c r="Q24" i="7" a="1"/>
  <c r="Q24" i="7" s="1"/>
  <c r="M18" i="7" a="1"/>
  <c r="M18" i="7" s="1"/>
  <c r="E17" i="7" a="1"/>
  <c r="E17" i="7" s="1"/>
  <c r="O16" i="7" a="1"/>
  <c r="O16" i="7" s="1"/>
  <c r="M64" i="7" a="1"/>
  <c r="M64" i="7" s="1"/>
  <c r="J59" i="7" a="1"/>
  <c r="J59" i="7" s="1"/>
  <c r="Q51" i="7" a="1"/>
  <c r="Q51" i="7" s="1"/>
  <c r="X49" i="7" a="1"/>
  <c r="X49" i="7" s="1"/>
  <c r="L47" i="7" a="1"/>
  <c r="L47" i="7" s="1"/>
  <c r="J46" i="7" a="1"/>
  <c r="J46" i="7" s="1"/>
  <c r="S43" i="7" a="1"/>
  <c r="S43" i="7" s="1"/>
  <c r="U38" i="7" a="1"/>
  <c r="U38" i="7" s="1"/>
  <c r="S37" i="7" a="1"/>
  <c r="S37" i="7" s="1"/>
  <c r="F35" i="7"/>
  <c r="E33" i="7" a="1"/>
  <c r="E33" i="7" s="1"/>
  <c r="J30" i="7" a="1"/>
  <c r="J30" i="7" s="1"/>
  <c r="K28" i="7" a="1"/>
  <c r="K28" i="7" s="1"/>
  <c r="N27" i="7" a="1"/>
  <c r="N27" i="7" s="1"/>
  <c r="P26" i="7" a="1"/>
  <c r="P26" i="7" s="1"/>
  <c r="N25" i="7" a="1"/>
  <c r="N25" i="7" s="1"/>
  <c r="T23" i="7" a="1"/>
  <c r="T23" i="7" s="1"/>
  <c r="V22" i="7" a="1"/>
  <c r="V22" i="7" s="1"/>
  <c r="I22" i="7" a="1"/>
  <c r="I22" i="7" s="1"/>
  <c r="R21" i="7" a="1"/>
  <c r="R21" i="7" s="1"/>
  <c r="X20" i="7" a="1"/>
  <c r="X20" i="7" s="1"/>
  <c r="K20" i="7" a="1"/>
  <c r="K20" i="7" s="1"/>
  <c r="T19" i="7" a="1"/>
  <c r="T19" i="7" s="1"/>
  <c r="V17" i="7" a="1"/>
  <c r="V17" i="7" s="1"/>
  <c r="V46" i="7" a="1"/>
  <c r="V46" i="7" s="1"/>
  <c r="H44" i="7" a="1"/>
  <c r="H44" i="7" s="1"/>
  <c r="Y41" i="7" a="1"/>
  <c r="Y41" i="7" s="1"/>
  <c r="J39" i="7" a="1"/>
  <c r="J39" i="7" s="1"/>
  <c r="T36" i="7" a="1"/>
  <c r="T36" i="7" s="1"/>
  <c r="V23" i="7" a="1"/>
  <c r="V23" i="7" s="1"/>
  <c r="J22" i="7" a="1"/>
  <c r="J22" i="7" s="1"/>
  <c r="X17" i="7" a="1"/>
  <c r="X17" i="7" s="1"/>
  <c r="P16" i="7" a="1"/>
  <c r="P16" i="7" s="1"/>
  <c r="I62" i="7" a="1"/>
  <c r="I62" i="7" s="1"/>
  <c r="N58" i="7" a="1"/>
  <c r="N58" i="7" s="1"/>
  <c r="E49" i="7" a="1"/>
  <c r="E49" i="7" s="1"/>
  <c r="O41" i="7" a="1"/>
  <c r="O41" i="7" s="1"/>
  <c r="P33" i="7" a="1"/>
  <c r="P33" i="7" s="1"/>
  <c r="Q31" i="7" a="1"/>
  <c r="Q31" i="7" s="1"/>
  <c r="W29" i="7" a="1"/>
  <c r="W29" i="7" s="1"/>
  <c r="W27" i="7" a="1"/>
  <c r="W27" i="7" s="1"/>
  <c r="W25" i="7" a="1"/>
  <c r="W25" i="7" s="1"/>
  <c r="U23" i="7" a="1"/>
  <c r="U23" i="7" s="1"/>
  <c r="I19" i="7" a="1"/>
  <c r="I19" i="7" s="1"/>
  <c r="W51" i="7" a="1"/>
  <c r="W51" i="7" s="1"/>
  <c r="L46" i="7" a="1"/>
  <c r="L46" i="7" s="1"/>
  <c r="F44" i="7"/>
  <c r="S35" i="7" a="1"/>
  <c r="S35" i="7" s="1"/>
  <c r="P31" i="7" a="1"/>
  <c r="P31" i="7" s="1"/>
  <c r="V29" i="7" a="1"/>
  <c r="V29" i="7" s="1"/>
  <c r="V25" i="7" a="1"/>
  <c r="V25" i="7" s="1"/>
  <c r="J23" i="7" a="1"/>
  <c r="J23" i="7" s="1"/>
  <c r="Q20" i="7" a="1"/>
  <c r="Q20" i="7" s="1"/>
  <c r="W17" i="7" a="1"/>
  <c r="W17" i="7" s="1"/>
  <c r="H16" i="7" a="1"/>
  <c r="H16" i="7" s="1"/>
  <c r="H58" i="7" a="1"/>
  <c r="H58" i="7" s="1"/>
  <c r="V54" i="7" a="1"/>
  <c r="V54" i="7" s="1"/>
  <c r="V51" i="7" a="1"/>
  <c r="V51" i="7" s="1"/>
  <c r="E44" i="7" a="1"/>
  <c r="E44" i="7" s="1"/>
  <c r="R35" i="7" a="1"/>
  <c r="R35" i="7" s="1"/>
  <c r="O31" i="7" a="1"/>
  <c r="O31" i="7" s="1"/>
  <c r="P29" i="7" a="1"/>
  <c r="P29" i="7" s="1"/>
  <c r="V27" i="7" a="1"/>
  <c r="V27" i="7" s="1"/>
  <c r="U25" i="7" a="1"/>
  <c r="U25" i="7" s="1"/>
  <c r="E23" i="7" a="1"/>
  <c r="E23" i="7" s="1"/>
  <c r="X21" i="7" a="1"/>
  <c r="X21" i="7" s="1"/>
  <c r="H19" i="7" a="1"/>
  <c r="H19" i="7" s="1"/>
  <c r="L17" i="7" a="1"/>
  <c r="L17" i="7" s="1"/>
  <c r="E63" i="7" a="1"/>
  <c r="E63" i="7" s="1"/>
  <c r="K39" i="7" a="1"/>
  <c r="K39" i="7" s="1"/>
  <c r="L32" i="7" a="1"/>
  <c r="L32" i="7" s="1"/>
  <c r="L30" i="7" a="1"/>
  <c r="L30" i="7" s="1"/>
  <c r="R28" i="7" a="1"/>
  <c r="R28" i="7" s="1"/>
  <c r="R26" i="7" a="1"/>
  <c r="R26" i="7" s="1"/>
  <c r="E24" i="7" a="1"/>
  <c r="E24" i="7" s="1"/>
  <c r="U19" i="7" a="1"/>
  <c r="U19" i="7" s="1"/>
  <c r="E18" i="7" a="1"/>
  <c r="E18" i="7" s="1"/>
  <c r="O58" i="7" a="1"/>
  <c r="O58" i="7" s="1"/>
  <c r="N55" i="7" a="1"/>
  <c r="N55" i="7" s="1"/>
  <c r="F49" i="7"/>
  <c r="W46" i="7" a="1"/>
  <c r="W46" i="7" s="1"/>
  <c r="U36" i="7" a="1"/>
  <c r="U36" i="7" s="1"/>
  <c r="E34" i="7" a="1"/>
  <c r="E34" i="7" s="1"/>
  <c r="K32" i="7" a="1"/>
  <c r="K32" i="7" s="1"/>
  <c r="K30" i="7" a="1"/>
  <c r="K30" i="7" s="1"/>
  <c r="N22" i="7" a="1"/>
  <c r="N22" i="7" s="1"/>
  <c r="E21" i="7" a="1"/>
  <c r="E21" i="7" s="1"/>
  <c r="J19" i="7" a="1"/>
  <c r="J19" i="7" s="1"/>
  <c r="T16" i="7" a="1"/>
  <c r="T16" i="7" s="1"/>
  <c r="S30" i="7" a="1"/>
  <c r="S30" i="7" s="1"/>
  <c r="F21" i="7"/>
  <c r="N18" i="7" a="1"/>
  <c r="N18" i="7" s="1"/>
  <c r="M50" i="7" a="1"/>
  <c r="M50" i="7" s="1"/>
  <c r="T45" i="7" a="1"/>
  <c r="T45" i="7" s="1"/>
  <c r="W37" i="7" a="1"/>
  <c r="W37" i="7" s="1"/>
  <c r="I33" i="7" a="1"/>
  <c r="I33" i="7" s="1"/>
  <c r="R30" i="7" a="1"/>
  <c r="R30" i="7" s="1"/>
  <c r="W53" i="7" a="1"/>
  <c r="W53" i="7" s="1"/>
  <c r="I50" i="7" a="1"/>
  <c r="I50" i="7" s="1"/>
  <c r="H33" i="7" a="1"/>
  <c r="H33" i="7" s="1"/>
  <c r="P20" i="7" a="1"/>
  <c r="P20" i="7" s="1"/>
  <c r="Y64" i="7" a="1"/>
  <c r="Y64" i="7" s="1"/>
  <c r="J45" i="7" a="1"/>
  <c r="J45" i="7" s="1"/>
  <c r="E37" i="7" a="1"/>
  <c r="E37" i="7" s="1"/>
  <c r="O29" i="7" a="1"/>
  <c r="O29" i="7" s="1"/>
  <c r="S26" i="7" a="1"/>
  <c r="S26" i="7" s="1"/>
  <c r="L20" i="7" a="1"/>
  <c r="L20" i="7" s="1"/>
  <c r="H56" i="7" a="1"/>
  <c r="H56" i="7" s="1"/>
  <c r="H38" i="7" a="1"/>
  <c r="H38" i="7" s="1"/>
  <c r="P34" i="7" a="1"/>
  <c r="P34" i="7" s="1"/>
  <c r="F24" i="7"/>
  <c r="H21" i="7" a="1"/>
  <c r="H21" i="7" s="1"/>
  <c r="L60" i="7" a="1"/>
  <c r="L60" i="7" s="1"/>
  <c r="N50" i="7" a="1"/>
  <c r="N50" i="7" s="1"/>
  <c r="M34" i="7" a="1"/>
  <c r="M34" i="7" s="1"/>
  <c r="T30" i="7" a="1"/>
  <c r="T30" i="7" s="1"/>
  <c r="R18" i="7" a="1"/>
  <c r="R18" i="7" s="1"/>
  <c r="I53" i="7" a="1"/>
  <c r="I53" i="7" s="1"/>
  <c r="M40" i="7" a="1"/>
  <c r="M40" i="7" s="1"/>
  <c r="T28" i="7" a="1"/>
  <c r="T28" i="7" s="1"/>
  <c r="H53" i="7" a="1"/>
  <c r="H53" i="7" s="1"/>
  <c r="S28" i="7" a="1"/>
  <c r="S28" i="7" s="1"/>
  <c r="S18" i="7" a="1"/>
  <c r="S18" i="7" s="1"/>
  <c r="L40" i="7" a="1"/>
  <c r="L40" i="7" s="1"/>
  <c r="O22" i="7" a="1"/>
  <c r="O22" i="7" s="1"/>
  <c r="I45" i="7" a="1"/>
  <c r="I45" i="7" s="1"/>
  <c r="K17" i="7" a="1"/>
  <c r="K17" i="7" s="1"/>
  <c r="U47" i="7" a="1"/>
  <c r="U47" i="7" s="1"/>
  <c r="R24" i="7" a="1"/>
  <c r="R24" i="7" s="1"/>
  <c r="V19" i="7" a="1"/>
  <c r="V19" i="7" s="1"/>
  <c r="N47" i="7" a="1"/>
  <c r="N47" i="7" s="1"/>
  <c r="P40" i="7" a="1"/>
  <c r="P40" i="7" s="1"/>
  <c r="Q34" i="7" a="1"/>
  <c r="Q34" i="7" s="1"/>
  <c r="X24" i="7" a="1"/>
  <c r="X24" i="7" s="1"/>
  <c r="N31" i="7" a="1"/>
  <c r="N31" i="7" s="1"/>
  <c r="J17" i="7" a="1"/>
  <c r="J17" i="7" s="1"/>
  <c r="Y47" i="7" a="1"/>
  <c r="Y47" i="7" s="1"/>
  <c r="H31" i="7" a="1"/>
  <c r="H31" i="7" s="1"/>
  <c r="V56" i="7" a="1"/>
  <c r="V56" i="7" s="1"/>
  <c r="X47" i="7" a="1"/>
  <c r="X47" i="7" s="1"/>
  <c r="U16" i="7" a="1"/>
  <c r="U16" i="7" s="1"/>
  <c r="T21" i="7" a="1"/>
  <c r="T21" i="7" s="1"/>
  <c r="M32" i="7" a="1"/>
  <c r="M32" i="7" s="1"/>
  <c r="Y24" i="7" a="1"/>
  <c r="Y24" i="7" s="1"/>
  <c r="E43" i="7" a="1"/>
  <c r="E43" i="7" s="1"/>
  <c r="S21" i="7" a="1"/>
  <c r="S21" i="7" s="1"/>
  <c r="O35" i="7" a="1"/>
  <c r="O35" i="7" s="1"/>
  <c r="A17" i="6"/>
  <c r="A18" i="6" s="1"/>
  <c r="A16" i="6"/>
  <c r="A11" i="6"/>
  <c r="C147" i="3"/>
  <c r="C149" i="3"/>
  <c r="C145" i="3"/>
  <c r="C143" i="3"/>
  <c r="C141" i="3"/>
  <c r="U11" i="4"/>
  <c r="U10" i="4"/>
  <c r="Y26" i="4"/>
  <c r="Z26" i="4" s="1"/>
  <c r="Y106" i="4"/>
  <c r="Z106" i="4" s="1"/>
  <c r="Y66" i="4"/>
  <c r="Z66" i="4" s="1"/>
  <c r="R64" i="4"/>
  <c r="R63" i="4"/>
  <c r="R23" i="4"/>
  <c r="R24" i="4"/>
  <c r="C133" i="3"/>
  <c r="B47" i="8" l="1"/>
  <c r="F23" i="5"/>
  <c r="K21" i="5" s="1"/>
  <c r="E23" i="5"/>
  <c r="A23" i="12"/>
  <c r="B23" i="6"/>
  <c r="AD23" i="5"/>
  <c r="AE23" i="5"/>
  <c r="G23" i="5"/>
  <c r="N23" i="5"/>
  <c r="D23" i="6" s="1"/>
  <c r="C24" i="5"/>
  <c r="D24" i="5" s="1"/>
  <c r="B24" i="12" s="1"/>
  <c r="B23" i="5"/>
  <c r="A19" i="6"/>
  <c r="N18" i="6"/>
  <c r="X26" i="4"/>
  <c r="X106" i="4"/>
  <c r="X66" i="4"/>
  <c r="C137" i="3"/>
  <c r="C135" i="3"/>
  <c r="C132" i="3"/>
  <c r="B50" i="8" l="1"/>
  <c r="F24" i="5"/>
  <c r="AE24" i="5"/>
  <c r="A24" i="12"/>
  <c r="AD24" i="5"/>
  <c r="N24" i="5"/>
  <c r="D24" i="6" s="1"/>
  <c r="K24" i="5"/>
  <c r="G24" i="5"/>
  <c r="J24" i="5"/>
  <c r="B24" i="5"/>
  <c r="H24" i="5"/>
  <c r="A21" i="6"/>
  <c r="A22" i="6" s="1"/>
  <c r="A20" i="6"/>
  <c r="B24" i="6"/>
  <c r="E24" i="5"/>
  <c r="C25" i="5"/>
  <c r="D25" i="5" s="1"/>
  <c r="B25" i="12" s="1"/>
  <c r="N21" i="6"/>
  <c r="N19" i="6"/>
  <c r="A23"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53" i="8" l="1"/>
  <c r="H25" i="5"/>
  <c r="N25" i="5"/>
  <c r="D25" i="6" s="1"/>
  <c r="B25" i="5"/>
  <c r="B25" i="6"/>
  <c r="G25" i="5"/>
  <c r="J25" i="5"/>
  <c r="A25" i="12"/>
  <c r="AE25" i="5"/>
  <c r="C26" i="5"/>
  <c r="N26" i="5" s="1"/>
  <c r="D26" i="6" s="1"/>
  <c r="AD25" i="5"/>
  <c r="E25" i="5"/>
  <c r="F25" i="5"/>
  <c r="K25" i="5"/>
  <c r="N20" i="6"/>
  <c r="N23" i="6"/>
  <c r="A24" i="6"/>
  <c r="J4" i="15"/>
  <c r="AB13" i="12" a="1"/>
  <c r="AB13" i="12" s="1"/>
  <c r="I69" i="10"/>
  <c r="B56" i="8" l="1"/>
  <c r="B26" i="5"/>
  <c r="B26" i="6"/>
  <c r="E26" i="5"/>
  <c r="AE26" i="5"/>
  <c r="A26" i="12"/>
  <c r="K26" i="5"/>
  <c r="C27" i="5"/>
  <c r="A27" i="12" s="1"/>
  <c r="G26" i="5"/>
  <c r="H26" i="5"/>
  <c r="F26" i="5"/>
  <c r="AD26" i="5"/>
  <c r="J26" i="5"/>
  <c r="D26" i="5"/>
  <c r="B26" i="12" s="1"/>
  <c r="AO23" i="13"/>
  <c r="AL22" i="13"/>
  <c r="AO19" i="13"/>
  <c r="AL18" i="13"/>
  <c r="AO15" i="13"/>
  <c r="AL14" i="13"/>
  <c r="AN23" i="13"/>
  <c r="AK22" i="13"/>
  <c r="AN19" i="13"/>
  <c r="AK18" i="13"/>
  <c r="AN15" i="13"/>
  <c r="AK14" i="13"/>
  <c r="AM23" i="13"/>
  <c r="AJ22" i="13"/>
  <c r="AM19" i="13"/>
  <c r="AJ18" i="13"/>
  <c r="AM15" i="13"/>
  <c r="AJ14" i="13"/>
  <c r="AL23" i="13"/>
  <c r="AO20" i="13"/>
  <c r="AL19" i="13"/>
  <c r="AO16" i="13"/>
  <c r="AL15" i="13"/>
  <c r="AK23" i="13"/>
  <c r="AN20" i="13"/>
  <c r="AK19" i="13"/>
  <c r="AN16" i="13"/>
  <c r="AK15" i="13"/>
  <c r="AJ23" i="13"/>
  <c r="AM20" i="13"/>
  <c r="AJ19" i="13"/>
  <c r="AM16" i="13"/>
  <c r="AJ15" i="13"/>
  <c r="AO21" i="13"/>
  <c r="AL20" i="13"/>
  <c r="AO17" i="13"/>
  <c r="AL16" i="13"/>
  <c r="AN22" i="13"/>
  <c r="AK21" i="13"/>
  <c r="AN18" i="13"/>
  <c r="AK17" i="13"/>
  <c r="AN14" i="13"/>
  <c r="AM22" i="13"/>
  <c r="AJ21" i="13"/>
  <c r="AM18" i="13"/>
  <c r="AJ17" i="13"/>
  <c r="AM14" i="13"/>
  <c r="AL17" i="13"/>
  <c r="AO18" i="13"/>
  <c r="AK20" i="13"/>
  <c r="AO14" i="13"/>
  <c r="AO22" i="13"/>
  <c r="AN17" i="13"/>
  <c r="AM17" i="13"/>
  <c r="AJ16" i="13"/>
  <c r="AJ20" i="13"/>
  <c r="AL21" i="13"/>
  <c r="AN21" i="13"/>
  <c r="AM21" i="13"/>
  <c r="AK16" i="13"/>
  <c r="P7" i="13"/>
  <c r="K14" i="13"/>
  <c r="A25" i="6"/>
  <c r="F8" i="7"/>
  <c r="F10" i="12" a="1"/>
  <c r="F10" i="12" s="1"/>
  <c r="M8" i="12" a="1"/>
  <c r="M8" i="12" s="1"/>
  <c r="H107" i="8" a="1"/>
  <c r="H107" i="8" s="1"/>
  <c r="H105" i="8" a="1"/>
  <c r="H105" i="8" s="1"/>
  <c r="F7" i="6" a="1"/>
  <c r="F7" i="6" s="1"/>
  <c r="F6" i="6" a="1"/>
  <c r="F6" i="6" s="1"/>
  <c r="Q1" i="6" a="1"/>
  <c r="Q1" i="6" s="1"/>
  <c r="O1" i="6" a="1"/>
  <c r="O1" i="6" s="1"/>
  <c r="C11" i="7" a="1"/>
  <c r="C11" i="7" s="1"/>
  <c r="G22" i="15" a="1"/>
  <c r="G22" i="15" s="1"/>
  <c r="C22" i="15" a="1"/>
  <c r="C22" i="15" s="1"/>
  <c r="C122" i="3"/>
  <c r="C120" i="3"/>
  <c r="B59" i="8" l="1"/>
  <c r="AD27" i="5"/>
  <c r="AE27" i="5"/>
  <c r="G27" i="5"/>
  <c r="D27" i="5"/>
  <c r="B27" i="12" s="1"/>
  <c r="J27" i="5"/>
  <c r="N27" i="5"/>
  <c r="D27" i="6" s="1"/>
  <c r="F27" i="5"/>
  <c r="H27" i="5"/>
  <c r="B27" i="6"/>
  <c r="C28" i="5"/>
  <c r="D28" i="5" s="1"/>
  <c r="B28" i="12" s="1"/>
  <c r="E27" i="5"/>
  <c r="B27" i="5"/>
  <c r="K27" i="5"/>
  <c r="A26" i="6"/>
  <c r="R1" i="6" a="1"/>
  <c r="R1" i="6" s="1"/>
  <c r="S67" i="4"/>
  <c r="U67" i="4" s="1"/>
  <c r="S107" i="4"/>
  <c r="U107" i="4" s="1"/>
  <c r="S27" i="4"/>
  <c r="U27" i="4" s="1"/>
  <c r="C124" i="3"/>
  <c r="B62" i="8" l="1"/>
  <c r="N28" i="5"/>
  <c r="D28" i="6" s="1"/>
  <c r="E28" i="5"/>
  <c r="B28" i="6"/>
  <c r="AE28" i="5"/>
  <c r="K28" i="5"/>
  <c r="F28" i="5"/>
  <c r="C29" i="5"/>
  <c r="N29" i="5" s="1"/>
  <c r="D29" i="6" s="1"/>
  <c r="J28" i="5"/>
  <c r="AD28" i="5"/>
  <c r="H28" i="5"/>
  <c r="A28" i="12"/>
  <c r="G28" i="5"/>
  <c r="B28" i="5"/>
  <c r="A27" i="6"/>
  <c r="S1" i="6" a="1"/>
  <c r="S1" i="6" s="1"/>
  <c r="H67" i="9"/>
  <c r="B65" i="8" l="1"/>
  <c r="K29" i="5"/>
  <c r="E29" i="5"/>
  <c r="J29" i="5"/>
  <c r="H29" i="5"/>
  <c r="F29" i="5"/>
  <c r="D29" i="5"/>
  <c r="B29" i="12" s="1"/>
  <c r="AE29" i="5"/>
  <c r="AD29" i="5"/>
  <c r="B29" i="6"/>
  <c r="B29" i="5"/>
  <c r="G29" i="5"/>
  <c r="A29" i="12"/>
  <c r="C30" i="5"/>
  <c r="A28" i="6"/>
  <c r="T1" i="6" a="1"/>
  <c r="T1" i="6" s="1"/>
  <c r="C94" i="3"/>
  <c r="C92" i="3"/>
  <c r="B68" i="8" l="1"/>
  <c r="N30" i="5"/>
  <c r="D30" i="6" s="1"/>
  <c r="C31" i="5"/>
  <c r="J30" i="5"/>
  <c r="AD30" i="5"/>
  <c r="K30" i="5"/>
  <c r="F30" i="5"/>
  <c r="AE30" i="5"/>
  <c r="E30" i="5"/>
  <c r="A30" i="12"/>
  <c r="B30" i="6"/>
  <c r="G30" i="5"/>
  <c r="H30" i="5"/>
  <c r="D30" i="5"/>
  <c r="B30" i="12" s="1"/>
  <c r="B30" i="5"/>
  <c r="A29" i="6"/>
  <c r="U1" i="6" a="1"/>
  <c r="U1" i="6" s="1"/>
  <c r="C98" i="3"/>
  <c r="B71" i="8" l="1"/>
  <c r="B31" i="6"/>
  <c r="AE31" i="5"/>
  <c r="AD31" i="5"/>
  <c r="B31" i="5"/>
  <c r="N31" i="5"/>
  <c r="H31" i="5"/>
  <c r="D31" i="5"/>
  <c r="B31" i="12" s="1"/>
  <c r="C32" i="5"/>
  <c r="K31" i="5"/>
  <c r="J31" i="5"/>
  <c r="A31" i="12"/>
  <c r="G31" i="5"/>
  <c r="F31" i="5"/>
  <c r="E31" i="5"/>
  <c r="A30" i="6"/>
  <c r="V1" i="6" a="1"/>
  <c r="V1" i="6" s="1"/>
  <c r="C5" i="14"/>
  <c r="E2" i="12"/>
  <c r="B74" i="8" l="1"/>
  <c r="J32" i="5"/>
  <c r="G32" i="5"/>
  <c r="F32" i="5"/>
  <c r="E32" i="5"/>
  <c r="B32" i="6"/>
  <c r="H32" i="5"/>
  <c r="D32" i="5"/>
  <c r="B32" i="12" s="1"/>
  <c r="N32" i="5"/>
  <c r="AE32" i="5"/>
  <c r="AD32" i="5"/>
  <c r="B32" i="5"/>
  <c r="A32" i="12"/>
  <c r="K32" i="5"/>
  <c r="D31" i="6"/>
  <c r="W1" i="6" a="1"/>
  <c r="W1" i="6" s="1"/>
  <c r="S12" i="11"/>
  <c r="B77" i="8" l="1"/>
  <c r="C33" i="5"/>
  <c r="D32" i="6"/>
  <c r="A31" i="6"/>
  <c r="X1" i="6" a="1"/>
  <c r="X1" i="6" s="1"/>
  <c r="C1" i="7" a="1"/>
  <c r="C1" i="7" s="1"/>
  <c r="D40" i="2"/>
  <c r="D39" i="2"/>
  <c r="D41" i="2"/>
  <c r="D37" i="2"/>
  <c r="D38" i="2"/>
  <c r="D36" i="2"/>
  <c r="B80" i="8" l="1"/>
  <c r="A33" i="12"/>
  <c r="B33" i="6"/>
  <c r="AD33" i="5"/>
  <c r="E33" i="5"/>
  <c r="N33" i="5"/>
  <c r="D33" i="6" s="1"/>
  <c r="F33" i="5"/>
  <c r="AE33" i="5"/>
  <c r="B33" i="5"/>
  <c r="G33" i="5"/>
  <c r="H33" i="5"/>
  <c r="A32"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B83" i="8" l="1"/>
  <c r="A33" i="6"/>
  <c r="Z1" i="6" a="1"/>
  <c r="Z1" i="6" s="1"/>
  <c r="D27" i="2"/>
  <c r="D15" i="2"/>
  <c r="D35" i="2"/>
  <c r="D3" i="2"/>
  <c r="B86" i="8" l="1"/>
  <c r="AA1" i="6" a="1"/>
  <c r="AA1" i="6" s="1"/>
  <c r="AB1" i="6" s="1" a="1"/>
  <c r="AB1" i="6" s="1"/>
  <c r="H21" i="6" a="1"/>
  <c r="H21" i="6" s="1"/>
  <c r="T21" i="5" s="1"/>
  <c r="G21" i="12" s="1"/>
  <c r="H23" i="6" a="1"/>
  <c r="H23" i="6" s="1"/>
  <c r="T23" i="5" s="1"/>
  <c r="G23" i="12" s="1"/>
  <c r="H10" i="7"/>
  <c r="B89" i="8" l="1"/>
  <c r="C34" i="5"/>
  <c r="AC1" i="6" a="1"/>
  <c r="AC1" i="6" s="1"/>
  <c r="AG107" i="8"/>
  <c r="B92" i="8" l="1"/>
  <c r="C35" i="5"/>
  <c r="K34" i="5"/>
  <c r="E34" i="5"/>
  <c r="N34" i="5"/>
  <c r="D34" i="6" s="1"/>
  <c r="J34" i="5"/>
  <c r="H34" i="5"/>
  <c r="A34" i="12"/>
  <c r="F34" i="5"/>
  <c r="D34" i="5"/>
  <c r="B34" i="12" s="1"/>
  <c r="AD34" i="5"/>
  <c r="G34" i="5"/>
  <c r="B34" i="6"/>
  <c r="AE34" i="5"/>
  <c r="B34" i="5"/>
  <c r="AD1" i="6" a="1"/>
  <c r="AD1" i="6" s="1"/>
  <c r="C103" i="3"/>
  <c r="C100" i="3"/>
  <c r="C96" i="3"/>
  <c r="A34" i="6" l="1"/>
  <c r="F35" i="5"/>
  <c r="J35" i="5"/>
  <c r="D35" i="5"/>
  <c r="B35" i="12" s="1"/>
  <c r="AE35" i="5"/>
  <c r="K35" i="5"/>
  <c r="G35" i="5"/>
  <c r="C36" i="5"/>
  <c r="B35" i="6"/>
  <c r="AD35" i="5"/>
  <c r="B35" i="5"/>
  <c r="N35" i="5"/>
  <c r="D35" i="6" s="1"/>
  <c r="E35" i="5"/>
  <c r="H35" i="5"/>
  <c r="A35" i="12"/>
  <c r="AE1" i="6" a="1"/>
  <c r="AE1" i="6" s="1"/>
  <c r="C93" i="3"/>
  <c r="A35" i="6" l="1"/>
  <c r="G36" i="5"/>
  <c r="B36" i="5"/>
  <c r="F36" i="5"/>
  <c r="B36" i="6"/>
  <c r="H36" i="5"/>
  <c r="E36" i="5"/>
  <c r="D36" i="5"/>
  <c r="B36" i="12" s="1"/>
  <c r="AE36" i="5"/>
  <c r="C37" i="5"/>
  <c r="J36" i="5"/>
  <c r="A36" i="12"/>
  <c r="AD36" i="5"/>
  <c r="N36" i="5"/>
  <c r="D36" i="6" s="1"/>
  <c r="K36" i="5"/>
  <c r="AF1" i="6" a="1"/>
  <c r="AF1" i="6" s="1"/>
  <c r="C112" i="3"/>
  <c r="C108" i="3"/>
  <c r="C70" i="3"/>
  <c r="L35" i="13"/>
  <c r="L34" i="13" s="1"/>
  <c r="C84" i="3"/>
  <c r="A36" i="6" l="1"/>
  <c r="K37" i="5"/>
  <c r="J37" i="5"/>
  <c r="A37" i="12"/>
  <c r="G37" i="5"/>
  <c r="F37" i="5"/>
  <c r="D37" i="5"/>
  <c r="B37" i="12" s="1"/>
  <c r="AE37" i="5"/>
  <c r="AD37" i="5"/>
  <c r="C38" i="5"/>
  <c r="H37" i="5"/>
  <c r="B37" i="6"/>
  <c r="E37" i="5"/>
  <c r="B37" i="5"/>
  <c r="N37" i="5"/>
  <c r="D37" i="6" s="1"/>
  <c r="AG1" i="6" a="1"/>
  <c r="AG1" i="6" s="1"/>
  <c r="C56" i="3"/>
  <c r="A37" i="6" l="1"/>
  <c r="D38" i="5"/>
  <c r="B38" i="12" s="1"/>
  <c r="AE38" i="5"/>
  <c r="AD38" i="5"/>
  <c r="G38" i="5"/>
  <c r="N38" i="5"/>
  <c r="D38" i="6" s="1"/>
  <c r="A38" i="12"/>
  <c r="C39" i="5"/>
  <c r="B38" i="6"/>
  <c r="B38" i="5"/>
  <c r="J38" i="5"/>
  <c r="K38" i="5"/>
  <c r="H38" i="5"/>
  <c r="F38" i="5"/>
  <c r="E38" i="5"/>
  <c r="AH1" i="6" a="1"/>
  <c r="AH1" i="6" s="1"/>
  <c r="Q13" i="6"/>
  <c r="A1" i="7"/>
  <c r="V70" i="7" a="1"/>
  <c r="V70" i="7" s="1"/>
  <c r="Y5" i="7"/>
  <c r="X5" i="7"/>
  <c r="P5" i="7"/>
  <c r="C60" i="3"/>
  <c r="S4" i="8"/>
  <c r="F5" i="7"/>
  <c r="A38" i="6" l="1"/>
  <c r="H38" i="6" a="1"/>
  <c r="H38" i="6" s="1"/>
  <c r="T38" i="5" s="1"/>
  <c r="G38" i="12" s="1"/>
  <c r="G39" i="5"/>
  <c r="E39" i="5"/>
  <c r="F39" i="5"/>
  <c r="A39" i="12"/>
  <c r="D39" i="5"/>
  <c r="B39" i="12" s="1"/>
  <c r="AD39" i="5"/>
  <c r="B39" i="5"/>
  <c r="N39" i="5"/>
  <c r="D39" i="6" s="1"/>
  <c r="K39" i="5"/>
  <c r="J39" i="5"/>
  <c r="H39" i="5"/>
  <c r="AE39" i="5"/>
  <c r="C40" i="5"/>
  <c r="B39" i="6"/>
  <c r="H33" i="6" a="1"/>
  <c r="H33" i="6" s="1"/>
  <c r="T33" i="5" s="1"/>
  <c r="G33" i="12" s="1"/>
  <c r="H34" i="6" a="1"/>
  <c r="H34" i="6" s="1"/>
  <c r="T34" i="5" s="1"/>
  <c r="G34" i="12" s="1"/>
  <c r="H37" i="6" a="1"/>
  <c r="H37" i="6" s="1"/>
  <c r="T37" i="5" s="1"/>
  <c r="G37" i="12" s="1"/>
  <c r="H36" i="6" a="1"/>
  <c r="H36" i="6" s="1"/>
  <c r="T36" i="5" s="1"/>
  <c r="G36" i="12" s="1"/>
  <c r="H35" i="6" a="1"/>
  <c r="H35" i="6" s="1"/>
  <c r="T35" i="5" s="1"/>
  <c r="G35" i="12" s="1"/>
  <c r="H25" i="6" a="1"/>
  <c r="H25" i="6" s="1"/>
  <c r="T25" i="5" s="1"/>
  <c r="G25" i="12" s="1"/>
  <c r="H31" i="6" a="1"/>
  <c r="H31" i="6" s="1"/>
  <c r="T31" i="5" s="1"/>
  <c r="G31" i="12" s="1"/>
  <c r="H32" i="6" a="1"/>
  <c r="H32" i="6" s="1"/>
  <c r="T32" i="5" s="1"/>
  <c r="G32" i="12" s="1"/>
  <c r="H30" i="6" a="1"/>
  <c r="H30" i="6" s="1"/>
  <c r="T30" i="5" s="1"/>
  <c r="G30" i="12" s="1"/>
  <c r="H27" i="6" a="1"/>
  <c r="H27" i="6" s="1"/>
  <c r="T27" i="5" s="1"/>
  <c r="G27" i="12" s="1"/>
  <c r="H28" i="6" a="1"/>
  <c r="H28" i="6" s="1"/>
  <c r="T28" i="5" s="1"/>
  <c r="G28" i="12" s="1"/>
  <c r="H29" i="6" a="1"/>
  <c r="H29" i="6" s="1"/>
  <c r="T29" i="5" s="1"/>
  <c r="G29" i="12" s="1"/>
  <c r="H19" i="6" a="1"/>
  <c r="H19" i="6" s="1"/>
  <c r="T19" i="5" s="1"/>
  <c r="G19" i="12" s="1"/>
  <c r="H20" i="6" a="1"/>
  <c r="H20" i="6" s="1"/>
  <c r="T20" i="5" s="1"/>
  <c r="G20" i="12" s="1"/>
  <c r="H26" i="6" a="1"/>
  <c r="H26" i="6" s="1"/>
  <c r="T26" i="5" s="1"/>
  <c r="G26" i="12" s="1"/>
  <c r="H24" i="6" a="1"/>
  <c r="H24" i="6" s="1"/>
  <c r="T24" i="5" s="1"/>
  <c r="G24" i="12" s="1"/>
  <c r="H18" i="6" a="1"/>
  <c r="H18" i="6" s="1"/>
  <c r="T18" i="5" s="1"/>
  <c r="G18" i="12" s="1"/>
  <c r="H22" i="6" a="1"/>
  <c r="H22" i="6" s="1"/>
  <c r="T22" i="5" s="1"/>
  <c r="G22" i="12" s="1"/>
  <c r="R13" i="6"/>
  <c r="S13" i="6" s="1"/>
  <c r="V71" i="7"/>
  <c r="V72" i="7"/>
  <c r="N5" i="7"/>
  <c r="O5" i="7"/>
  <c r="A39" i="6" l="1"/>
  <c r="H39" i="6" a="1"/>
  <c r="H39" i="6" s="1"/>
  <c r="T39" i="5" s="1"/>
  <c r="G39" i="12" s="1"/>
  <c r="K40" i="5"/>
  <c r="G40" i="5"/>
  <c r="J40" i="5"/>
  <c r="B40" i="6"/>
  <c r="A40" i="12"/>
  <c r="H40" i="5"/>
  <c r="F40" i="5"/>
  <c r="AE40" i="5"/>
  <c r="AD40" i="5"/>
  <c r="E40" i="5"/>
  <c r="D40" i="5"/>
  <c r="B40" i="12" s="1"/>
  <c r="N40" i="5"/>
  <c r="D40" i="6" s="1"/>
  <c r="H40" i="6" s="1" a="1"/>
  <c r="H40" i="6" s="1"/>
  <c r="T40" i="5" s="1"/>
  <c r="G40" i="12" s="1"/>
  <c r="B40" i="5"/>
  <c r="C41" i="5" s="1"/>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40" i="6" l="1"/>
  <c r="A41" i="12"/>
  <c r="C42" i="5"/>
  <c r="B41" i="6"/>
  <c r="H41" i="5"/>
  <c r="B41" i="5"/>
  <c r="G41" i="5"/>
  <c r="F41" i="5"/>
  <c r="E41" i="5"/>
  <c r="AD41" i="5"/>
  <c r="N41" i="5"/>
  <c r="D41" i="6" s="1"/>
  <c r="H41" i="6" s="1" a="1"/>
  <c r="H41" i="6" s="1"/>
  <c r="T41" i="5" s="1"/>
  <c r="G41" i="12" s="1"/>
  <c r="AE41" i="5"/>
  <c r="U13" i="6"/>
  <c r="V77" i="9"/>
  <c r="V78" i="9"/>
  <c r="L70" i="7" a="1"/>
  <c r="L72" i="7" s="1"/>
  <c r="D68" i="7"/>
  <c r="C5" i="7"/>
  <c r="A41" i="6" l="1"/>
  <c r="G42" i="5"/>
  <c r="F42" i="5"/>
  <c r="E42" i="5"/>
  <c r="A42" i="12"/>
  <c r="B42" i="6"/>
  <c r="B42" i="5"/>
  <c r="D42" i="5"/>
  <c r="B42" i="12" s="1"/>
  <c r="AD42" i="5"/>
  <c r="N42" i="5"/>
  <c r="D42" i="6" s="1"/>
  <c r="H42" i="6" s="1" a="1"/>
  <c r="H42" i="6" s="1"/>
  <c r="T42" i="5" s="1"/>
  <c r="G42" i="12" s="1"/>
  <c r="H42" i="5"/>
  <c r="C43" i="5"/>
  <c r="AE42" i="5"/>
  <c r="K42" i="5"/>
  <c r="J42" i="5"/>
  <c r="V13" i="6"/>
  <c r="L70" i="7"/>
  <c r="L71" i="7"/>
  <c r="C69" i="3"/>
  <c r="C86" i="3"/>
  <c r="C81" i="3"/>
  <c r="C80" i="3"/>
  <c r="C79" i="3"/>
  <c r="C76" i="3"/>
  <c r="C75" i="3"/>
  <c r="C74" i="3"/>
  <c r="C67" i="3"/>
  <c r="C65" i="3"/>
  <c r="C64" i="3"/>
  <c r="C61" i="3"/>
  <c r="C62" i="3"/>
  <c r="C59" i="3"/>
  <c r="C58" i="3"/>
  <c r="C72" i="3"/>
  <c r="S108" i="4" a="1"/>
  <c r="S108" i="4" s="1"/>
  <c r="S68" i="4" a="1"/>
  <c r="S68" i="4" s="1"/>
  <c r="S28" i="4" a="1"/>
  <c r="S28" i="4" s="1"/>
  <c r="A42" i="6" l="1"/>
  <c r="K43" i="5"/>
  <c r="A43" i="12"/>
  <c r="F43" i="5"/>
  <c r="E43" i="5"/>
  <c r="AD43" i="5"/>
  <c r="J43" i="5"/>
  <c r="H43" i="5"/>
  <c r="G43" i="5"/>
  <c r="B43" i="5"/>
  <c r="B43" i="6"/>
  <c r="D43" i="5"/>
  <c r="B43" i="12" s="1"/>
  <c r="AE43" i="5"/>
  <c r="N43" i="5"/>
  <c r="D43" i="6" s="1"/>
  <c r="H43" i="6" s="1" a="1"/>
  <c r="H43" i="6" s="1"/>
  <c r="T43" i="5" s="1"/>
  <c r="G43" i="12" s="1"/>
  <c r="C44" i="5"/>
  <c r="X108" i="4"/>
  <c r="Y28" i="4"/>
  <c r="X68" i="4"/>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BV13" i="6"/>
  <c r="BV12" i="6" s="1"/>
  <c r="AJ13" i="6"/>
  <c r="AJ12" i="6" s="1"/>
  <c r="BC13" i="6"/>
  <c r="BC12" i="6" s="1"/>
  <c r="H12" i="10"/>
  <c r="H11" i="10" s="1"/>
  <c r="CE15" i="6"/>
  <c r="CD15" i="6"/>
  <c r="CC15" i="6"/>
  <c r="CB15" i="6"/>
  <c r="CA15" i="6"/>
  <c r="BZ15" i="6"/>
  <c r="BY15" i="6"/>
  <c r="BX15" i="6"/>
  <c r="BW15" i="6"/>
  <c r="BV15" i="6"/>
  <c r="G12" i="9"/>
  <c r="C20" i="3"/>
  <c r="C22" i="3"/>
  <c r="C24" i="3"/>
  <c r="C26" i="3"/>
  <c r="C28" i="3"/>
  <c r="C19" i="3"/>
  <c r="C15" i="3"/>
  <c r="C14" i="3"/>
  <c r="C12" i="3"/>
  <c r="I36" i="11"/>
  <c r="I35" i="11"/>
  <c r="AA110" i="8" a="1"/>
  <c r="T171" i="6" a="1"/>
  <c r="T173" i="6" s="1"/>
  <c r="I171" i="6" a="1"/>
  <c r="I172" i="6" s="1"/>
  <c r="C2" i="4"/>
  <c r="Z7" i="11"/>
  <c r="V12" i="8"/>
  <c r="E12" i="8"/>
  <c r="A14" i="5"/>
  <c r="C14" i="5" s="1"/>
  <c r="BL15" i="6"/>
  <c r="BK15" i="6"/>
  <c r="BJ15" i="6"/>
  <c r="BI15" i="6"/>
  <c r="BH15" i="6"/>
  <c r="BG15" i="6"/>
  <c r="BF15" i="6"/>
  <c r="BE15" i="6"/>
  <c r="BD15" i="6"/>
  <c r="BC15" i="6"/>
  <c r="D12" i="11"/>
  <c r="A12" i="11" s="1"/>
  <c r="L39" i="13"/>
  <c r="C8" i="4"/>
  <c r="C9" i="4"/>
  <c r="C10" i="4"/>
  <c r="C11" i="4"/>
  <c r="C12" i="4"/>
  <c r="C13" i="4"/>
  <c r="L46"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5" i="4"/>
  <c r="R65" i="4"/>
  <c r="N75" i="4"/>
  <c r="J78" i="4"/>
  <c r="J80" i="4"/>
  <c r="J85" i="4"/>
  <c r="K90" i="4" a="1"/>
  <c r="K92" i="4" s="1"/>
  <c r="J101" i="4"/>
  <c r="R101" i="4"/>
  <c r="J102" i="4"/>
  <c r="R102" i="4"/>
  <c r="R103"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174" i="12"/>
  <c r="E175" i="12"/>
  <c r="K177" i="12" a="1"/>
  <c r="K179" i="12" s="1"/>
  <c r="E10" i="6"/>
  <c r="I10" i="6"/>
  <c r="K10" i="6"/>
  <c r="S10" i="6"/>
  <c r="U10" i="6"/>
  <c r="O13" i="6"/>
  <c r="O15" i="6" s="1"/>
  <c r="O11" i="6" s="1"/>
  <c r="B15" i="6"/>
  <c r="C15" i="6"/>
  <c r="D15" i="6"/>
  <c r="E15" i="6"/>
  <c r="B165" i="6"/>
  <c r="C165" i="6"/>
  <c r="F169" i="6"/>
  <c r="S5" i="8"/>
  <c r="Z7" i="8"/>
  <c r="AF7" i="8"/>
  <c r="I8" i="8"/>
  <c r="L8" i="8"/>
  <c r="U8" i="8"/>
  <c r="Z8" i="8"/>
  <c r="AF8" i="8"/>
  <c r="E13" i="8"/>
  <c r="V13" i="8"/>
  <c r="W13" i="8" s="1"/>
  <c r="X13" i="8" s="1"/>
  <c r="Y13" i="8" s="1"/>
  <c r="Z13" i="8" s="1"/>
  <c r="AA13" i="8" s="1"/>
  <c r="AB13" i="8" s="1"/>
  <c r="AC13" i="8" s="1"/>
  <c r="AD13" i="8" s="1"/>
  <c r="AE13" i="8" s="1"/>
  <c r="AF13" i="8" s="1"/>
  <c r="T97" i="8"/>
  <c r="T102" i="8"/>
  <c r="I108"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175" i="5"/>
  <c r="M15" i="5"/>
  <c r="N15" i="5"/>
  <c r="O15" i="5"/>
  <c r="O178" i="5"/>
  <c r="T180" i="5" a="1"/>
  <c r="T180" i="5" s="1"/>
  <c r="B1" i="10"/>
  <c r="H4" i="10"/>
  <c r="V6" i="10"/>
  <c r="AE6" i="10"/>
  <c r="B7" i="10"/>
  <c r="H7" i="10"/>
  <c r="O7" i="10"/>
  <c r="V7" i="10"/>
  <c r="AE7" i="10"/>
  <c r="F12" i="10"/>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172" i="12"/>
  <c r="O8" i="5"/>
  <c r="A43" i="6" l="1"/>
  <c r="D44" i="5"/>
  <c r="B44" i="12" s="1"/>
  <c r="C45" i="5"/>
  <c r="J44" i="5"/>
  <c r="H44" i="5"/>
  <c r="F44" i="5"/>
  <c r="AE44" i="5"/>
  <c r="AD44" i="5"/>
  <c r="K44" i="5"/>
  <c r="G44" i="5"/>
  <c r="B44" i="5"/>
  <c r="N44" i="5"/>
  <c r="D44" i="6" s="1"/>
  <c r="H44" i="6" s="1" a="1"/>
  <c r="H44" i="6" s="1"/>
  <c r="T44" i="5" s="1"/>
  <c r="G44" i="12" s="1"/>
  <c r="A44" i="12"/>
  <c r="E44" i="5"/>
  <c r="B44" i="6"/>
  <c r="K130" i="4"/>
  <c r="U108" i="4"/>
  <c r="U68" i="4"/>
  <c r="U28" i="4"/>
  <c r="A15" i="6" a="1"/>
  <c r="A15" i="6" s="1"/>
  <c r="B14" i="6"/>
  <c r="S109" i="4"/>
  <c r="S69" i="4"/>
  <c r="S29" i="4"/>
  <c r="C34" i="4"/>
  <c r="C45" i="4"/>
  <c r="BW13" i="6"/>
  <c r="BW12" i="6" s="1"/>
  <c r="K50" i="4"/>
  <c r="N9" i="10"/>
  <c r="C33" i="4"/>
  <c r="C48" i="4"/>
  <c r="C27" i="4"/>
  <c r="A16" i="4"/>
  <c r="W12" i="8"/>
  <c r="X13" i="6"/>
  <c r="O7" i="11"/>
  <c r="AC13" i="12"/>
  <c r="K69" i="10"/>
  <c r="W82" i="10"/>
  <c r="E12" i="13"/>
  <c r="C47" i="4"/>
  <c r="C23" i="4"/>
  <c r="A30" i="4"/>
  <c r="A31" i="4" s="1"/>
  <c r="C31" i="4" s="1"/>
  <c r="C46" i="4"/>
  <c r="C28" i="4"/>
  <c r="K180" i="12"/>
  <c r="C21" i="4"/>
  <c r="C22" i="4"/>
  <c r="K132" i="4"/>
  <c r="B39" i="14"/>
  <c r="W81" i="10"/>
  <c r="K177" i="12"/>
  <c r="T182" i="5"/>
  <c r="B37" i="14"/>
  <c r="C14" i="14"/>
  <c r="O7" i="13"/>
  <c r="T172" i="6"/>
  <c r="P125" i="4"/>
  <c r="I111" i="8"/>
  <c r="I173" i="6"/>
  <c r="I171" i="6"/>
  <c r="AK13" i="6"/>
  <c r="AK12" i="6" s="1"/>
  <c r="BD13" i="6"/>
  <c r="BD12" i="6" s="1"/>
  <c r="B14" i="5"/>
  <c r="F14" i="5"/>
  <c r="G15" i="9"/>
  <c r="H15" i="10"/>
  <c r="S110" i="4"/>
  <c r="I12" i="10"/>
  <c r="H12" i="9"/>
  <c r="S30" i="4"/>
  <c r="A36" i="4"/>
  <c r="C35" i="4"/>
  <c r="C24" i="4"/>
  <c r="AA111" i="8"/>
  <c r="AA112" i="8"/>
  <c r="AA110" i="8"/>
  <c r="P45" i="4"/>
  <c r="K14" i="5"/>
  <c r="J14" i="5"/>
  <c r="H14" i="5"/>
  <c r="A14" i="12"/>
  <c r="D14" i="5"/>
  <c r="B14" i="12" s="1"/>
  <c r="AD14" i="5"/>
  <c r="E14" i="5"/>
  <c r="G14" i="5"/>
  <c r="AE14" i="5"/>
  <c r="N14" i="5"/>
  <c r="E178" i="12"/>
  <c r="B80" i="10"/>
  <c r="F172" i="6"/>
  <c r="O181" i="5"/>
  <c r="D36" i="11"/>
  <c r="W79" i="10"/>
  <c r="A4" i="4"/>
  <c r="K51" i="4"/>
  <c r="K178" i="12"/>
  <c r="S70" i="4"/>
  <c r="K91" i="4"/>
  <c r="T171" i="6"/>
  <c r="K90" i="4"/>
  <c r="T181" i="5"/>
  <c r="A44" i="6" l="1"/>
  <c r="H45" i="5"/>
  <c r="G45" i="5"/>
  <c r="F45" i="5"/>
  <c r="A45" i="12"/>
  <c r="E45" i="5"/>
  <c r="B45" i="6"/>
  <c r="D45" i="5"/>
  <c r="B45" i="12" s="1"/>
  <c r="K45" i="5"/>
  <c r="AD45" i="5"/>
  <c r="B45" i="5"/>
  <c r="N45" i="5"/>
  <c r="D45" i="6" s="1"/>
  <c r="H45" i="6" s="1" a="1"/>
  <c r="H45" i="6" s="1"/>
  <c r="T45" i="5" s="1"/>
  <c r="G45" i="12" s="1"/>
  <c r="AE45" i="5"/>
  <c r="J45" i="5"/>
  <c r="BP16" i="6"/>
  <c r="BM16" i="6"/>
  <c r="BP17" i="6"/>
  <c r="BT17" i="6"/>
  <c r="BT16" i="6"/>
  <c r="CH17" i="6"/>
  <c r="CK17" i="6"/>
  <c r="CK16" i="6"/>
  <c r="BN17" i="6"/>
  <c r="BS17" i="6"/>
  <c r="BQ16" i="6"/>
  <c r="CG17" i="6"/>
  <c r="BO17" i="6"/>
  <c r="CJ16" i="6"/>
  <c r="CJ17" i="6"/>
  <c r="BQ17" i="6"/>
  <c r="CI16" i="6"/>
  <c r="CF17" i="6"/>
  <c r="CH16" i="6"/>
  <c r="BM17" i="6"/>
  <c r="CF16" i="6"/>
  <c r="CG16" i="6"/>
  <c r="CM17" i="6"/>
  <c r="CM16" i="6"/>
  <c r="BO16" i="6"/>
  <c r="CL17" i="6"/>
  <c r="BR16" i="6"/>
  <c r="BS16" i="6"/>
  <c r="BN16" i="6"/>
  <c r="CI17" i="6"/>
  <c r="CL16" i="6"/>
  <c r="BR17" i="6"/>
  <c r="AJ16" i="6"/>
  <c r="AJ17" i="6"/>
  <c r="BH16" i="6"/>
  <c r="BZ17" i="6"/>
  <c r="BE17" i="6"/>
  <c r="CC16" i="6"/>
  <c r="CD16" i="6"/>
  <c r="BV16" i="6"/>
  <c r="CE17" i="6"/>
  <c r="CA17" i="6"/>
  <c r="BX16" i="6"/>
  <c r="BD16" i="6"/>
  <c r="BJ17" i="6"/>
  <c r="BC17" i="6"/>
  <c r="BI16" i="6"/>
  <c r="CE16" i="6"/>
  <c r="CB17" i="6"/>
  <c r="BI17" i="6"/>
  <c r="BJ16" i="6"/>
  <c r="BE16" i="6"/>
  <c r="BC16" i="6"/>
  <c r="BW17" i="6"/>
  <c r="BK17" i="6"/>
  <c r="BY16" i="6"/>
  <c r="BL17" i="6"/>
  <c r="BY17" i="6"/>
  <c r="BK16" i="6"/>
  <c r="BW16" i="6"/>
  <c r="CA16" i="6"/>
  <c r="BG17" i="6"/>
  <c r="CD17" i="6"/>
  <c r="BV17" i="6"/>
  <c r="BL16" i="6"/>
  <c r="BZ16" i="6"/>
  <c r="BD17" i="6"/>
  <c r="BH17" i="6"/>
  <c r="BF17" i="6"/>
  <c r="BF16" i="6"/>
  <c r="CC17" i="6"/>
  <c r="BX17" i="6"/>
  <c r="CB16" i="6"/>
  <c r="BG16" i="6"/>
  <c r="M18" i="6"/>
  <c r="M20" i="6" s="1"/>
  <c r="AK16" i="6"/>
  <c r="AK17" i="6"/>
  <c r="U97" i="4"/>
  <c r="U57" i="4"/>
  <c r="C15" i="7" a="1"/>
  <c r="C15" i="7" s="1"/>
  <c r="B10" i="9"/>
  <c r="M69" i="10"/>
  <c r="M74" i="10" s="1" a="1"/>
  <c r="M7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BX13" i="6"/>
  <c r="BX12" i="6" s="1"/>
  <c r="C30" i="4"/>
  <c r="C16" i="4"/>
  <c r="A17" i="4"/>
  <c r="X12" i="8"/>
  <c r="AD13" i="12"/>
  <c r="Y13" i="6"/>
  <c r="B42" i="14"/>
  <c r="AL13" i="6"/>
  <c r="AL12" i="6" s="1"/>
  <c r="BE13" i="6"/>
  <c r="BE12" i="6" s="1"/>
  <c r="B8" i="14"/>
  <c r="I10" i="13"/>
  <c r="I11" i="10"/>
  <c r="J12" i="10"/>
  <c r="D14" i="6"/>
  <c r="C4" i="4"/>
  <c r="A5" i="4"/>
  <c r="C36" i="4"/>
  <c r="A37" i="4"/>
  <c r="C37" i="4" s="1"/>
  <c r="AH161" i="5" l="1"/>
  <c r="AH162" i="5"/>
  <c r="AH160" i="5"/>
  <c r="AH158" i="5"/>
  <c r="AN158" i="5" s="1"/>
  <c r="AH155" i="5"/>
  <c r="AH152" i="5"/>
  <c r="AH149" i="5"/>
  <c r="AH146" i="5"/>
  <c r="AH143" i="5"/>
  <c r="AH159" i="5"/>
  <c r="AH156" i="5"/>
  <c r="AN156" i="5" s="1"/>
  <c r="AH153" i="5"/>
  <c r="AH150" i="5"/>
  <c r="AH147" i="5"/>
  <c r="AH144" i="5"/>
  <c r="AH157" i="5"/>
  <c r="AH154" i="5"/>
  <c r="AH151" i="5"/>
  <c r="AH148" i="5"/>
  <c r="AH145" i="5"/>
  <c r="AH121" i="5"/>
  <c r="AH124" i="5"/>
  <c r="AN124" i="5" s="1"/>
  <c r="AH122" i="5"/>
  <c r="AH123" i="5"/>
  <c r="AH120" i="5"/>
  <c r="AH135" i="5"/>
  <c r="AH141" i="5"/>
  <c r="AN141" i="5" s="1"/>
  <c r="AH136" i="5"/>
  <c r="AH128" i="5"/>
  <c r="AN128" i="5" s="1"/>
  <c r="AH125" i="5"/>
  <c r="AH117" i="5"/>
  <c r="AH140" i="5"/>
  <c r="AH132" i="5"/>
  <c r="AH126" i="5"/>
  <c r="AH133" i="5"/>
  <c r="AN133" i="5" s="1"/>
  <c r="AH137" i="5"/>
  <c r="AH118" i="5"/>
  <c r="AH129" i="5"/>
  <c r="AH138" i="5"/>
  <c r="AH139" i="5"/>
  <c r="AH130" i="5"/>
  <c r="AH127" i="5"/>
  <c r="AH119" i="5"/>
  <c r="AH134" i="5"/>
  <c r="AN134" i="5" s="1"/>
  <c r="AH131" i="5"/>
  <c r="AH103" i="5"/>
  <c r="AH105" i="5"/>
  <c r="AH79" i="5"/>
  <c r="AH116" i="5"/>
  <c r="AN116" i="5" s="1"/>
  <c r="AH111" i="5"/>
  <c r="AH108" i="5"/>
  <c r="AH110" i="5"/>
  <c r="AH107" i="5"/>
  <c r="AH113" i="5"/>
  <c r="AH112" i="5"/>
  <c r="AH109" i="5"/>
  <c r="AH114" i="5"/>
  <c r="AH115" i="5"/>
  <c r="AH89" i="5"/>
  <c r="AH90" i="5"/>
  <c r="AH78" i="5"/>
  <c r="AH83" i="5"/>
  <c r="AH88" i="5"/>
  <c r="AN88" i="5" s="1"/>
  <c r="AH77" i="5"/>
  <c r="AH74" i="5"/>
  <c r="AN74" i="5" s="1"/>
  <c r="AH71" i="5"/>
  <c r="AH82" i="5"/>
  <c r="AN82" i="5" s="1"/>
  <c r="AH76" i="5"/>
  <c r="AH86" i="5"/>
  <c r="AH81" i="5"/>
  <c r="AH72" i="5"/>
  <c r="AH91" i="5"/>
  <c r="AH85" i="5"/>
  <c r="AH75" i="5"/>
  <c r="AH80" i="5"/>
  <c r="AH87" i="5"/>
  <c r="AH84" i="5"/>
  <c r="AH73" i="5"/>
  <c r="AH106" i="5"/>
  <c r="AH101" i="5"/>
  <c r="AN101" i="5" s="1"/>
  <c r="AH142" i="5"/>
  <c r="AH102" i="5"/>
  <c r="AH104" i="5"/>
  <c r="AH100" i="5"/>
  <c r="AH98" i="5"/>
  <c r="AH94" i="5"/>
  <c r="AN94" i="5" s="1"/>
  <c r="AH70" i="5"/>
  <c r="AH67" i="5"/>
  <c r="AH95" i="5"/>
  <c r="AH99" i="5"/>
  <c r="AH96" i="5"/>
  <c r="AH68" i="5"/>
  <c r="AH97" i="5"/>
  <c r="AH93" i="5"/>
  <c r="AN93" i="5" s="1"/>
  <c r="AH92" i="5"/>
  <c r="AH69" i="5"/>
  <c r="AH66" i="5"/>
  <c r="AN66" i="5" s="1"/>
  <c r="AH63" i="5"/>
  <c r="AH65" i="5"/>
  <c r="AH61" i="5"/>
  <c r="AH58" i="5"/>
  <c r="AN58" i="5" s="1"/>
  <c r="AH60" i="5"/>
  <c r="AN60" i="5" s="1"/>
  <c r="AH53" i="5"/>
  <c r="AH50" i="5"/>
  <c r="AH64" i="5"/>
  <c r="AH51" i="5"/>
  <c r="AH56" i="5"/>
  <c r="AH54" i="5"/>
  <c r="AH62" i="5"/>
  <c r="AH59" i="5"/>
  <c r="AH55" i="5"/>
  <c r="AH57" i="5"/>
  <c r="AN57" i="5" s="1"/>
  <c r="AH52" i="5"/>
  <c r="AN52" i="5" s="1"/>
  <c r="AH49" i="5"/>
  <c r="A45" i="6"/>
  <c r="C46" i="5"/>
  <c r="AH47" i="5"/>
  <c r="AH48" i="5"/>
  <c r="AN48" i="5" s="1"/>
  <c r="AH46" i="5"/>
  <c r="AH43" i="5"/>
  <c r="AH40" i="5"/>
  <c r="AH37" i="5"/>
  <c r="AH34" i="5"/>
  <c r="AH45" i="5"/>
  <c r="AH44" i="5"/>
  <c r="AH41" i="5"/>
  <c r="AH38" i="5"/>
  <c r="AH35" i="5"/>
  <c r="AH42" i="5"/>
  <c r="AH39" i="5"/>
  <c r="AH36" i="5"/>
  <c r="AH33" i="5"/>
  <c r="E33" i="12"/>
  <c r="F33" i="6"/>
  <c r="G33" i="6"/>
  <c r="E41" i="12"/>
  <c r="F41" i="6"/>
  <c r="G41" i="6"/>
  <c r="AH20" i="5"/>
  <c r="AH31" i="5"/>
  <c r="AH32" i="5"/>
  <c r="BE20" i="6"/>
  <c r="BX20" i="6"/>
  <c r="BC20" i="6"/>
  <c r="BV20" i="6"/>
  <c r="BW20" i="6"/>
  <c r="BD20" i="6"/>
  <c r="M19" i="6"/>
  <c r="BV19" i="6" s="1"/>
  <c r="H14" i="6" a="1"/>
  <c r="H14" i="6" s="1"/>
  <c r="M21" i="6"/>
  <c r="AH21" i="5"/>
  <c r="AH22" i="5"/>
  <c r="M23" i="6"/>
  <c r="AH164" i="5"/>
  <c r="AH30" i="5"/>
  <c r="AH27" i="5"/>
  <c r="AH24" i="5"/>
  <c r="AH18" i="5"/>
  <c r="AH29" i="5"/>
  <c r="AH26" i="5"/>
  <c r="AH23" i="5"/>
  <c r="AH17" i="5"/>
  <c r="AN17" i="5" s="1"/>
  <c r="AH28" i="5"/>
  <c r="AH19" i="5"/>
  <c r="AH16" i="5"/>
  <c r="AN16" i="5" s="1"/>
  <c r="AH163" i="5"/>
  <c r="AN163" i="5" s="1"/>
  <c r="AH25" i="5"/>
  <c r="BC18" i="6"/>
  <c r="BE18" i="6"/>
  <c r="BD18" i="6"/>
  <c r="BW18" i="6"/>
  <c r="BV18" i="6"/>
  <c r="BX18" i="6"/>
  <c r="AL16" i="6"/>
  <c r="AL17" i="6"/>
  <c r="U94" i="4"/>
  <c r="T101" i="4" s="1"/>
  <c r="U54" i="4"/>
  <c r="T61" i="4" s="1"/>
  <c r="B15" i="9"/>
  <c r="B16" i="9" s="1"/>
  <c r="T57" i="4"/>
  <c r="T97" i="4"/>
  <c r="T22" i="4"/>
  <c r="T23" i="4"/>
  <c r="T24" i="4"/>
  <c r="T25" i="4"/>
  <c r="T26" i="4"/>
  <c r="U26" i="4" s="1"/>
  <c r="T17" i="4"/>
  <c r="V8" i="5" a="1"/>
  <c r="V8" i="5" s="1"/>
  <c r="O69" i="10"/>
  <c r="J12" i="9"/>
  <c r="AH14" i="5"/>
  <c r="W14" i="5" s="1"/>
  <c r="H14" i="12" s="1"/>
  <c r="BY13" i="6"/>
  <c r="BY12" i="6" s="1"/>
  <c r="A18" i="4"/>
  <c r="C17" i="4"/>
  <c r="Y12" i="8"/>
  <c r="AE13" i="12"/>
  <c r="Z13" i="6"/>
  <c r="AA13" i="6" s="1"/>
  <c r="AM13" i="6"/>
  <c r="BF13" i="6"/>
  <c r="BF12" i="6" s="1"/>
  <c r="K12" i="10"/>
  <c r="J11" i="10"/>
  <c r="C5" i="4"/>
  <c r="A6" i="4"/>
  <c r="A46" i="12" l="1"/>
  <c r="D46" i="5"/>
  <c r="B46" i="12" s="1"/>
  <c r="AE46" i="5"/>
  <c r="B46" i="5"/>
  <c r="N46" i="5"/>
  <c r="D46" i="6" s="1"/>
  <c r="H46" i="5"/>
  <c r="G46" i="5"/>
  <c r="AD46" i="5"/>
  <c r="C47" i="5"/>
  <c r="K46" i="5"/>
  <c r="J46" i="5"/>
  <c r="F46" i="5"/>
  <c r="B46" i="6"/>
  <c r="E46" i="5"/>
  <c r="AN33" i="5"/>
  <c r="W33" i="5"/>
  <c r="H33" i="12" s="1"/>
  <c r="AN41" i="5"/>
  <c r="W41" i="5"/>
  <c r="H41" i="12" s="1"/>
  <c r="BY20" i="6"/>
  <c r="BF20" i="6"/>
  <c r="BW19" i="6"/>
  <c r="BD19" i="6"/>
  <c r="BC19" i="6"/>
  <c r="BE19" i="6"/>
  <c r="BX19" i="6"/>
  <c r="AL23" i="6"/>
  <c r="CH23" i="6"/>
  <c r="BO23" i="6"/>
  <c r="CG23" i="6"/>
  <c r="BN23" i="6"/>
  <c r="BS23" i="6"/>
  <c r="BP23" i="6"/>
  <c r="CF23" i="6"/>
  <c r="BM23" i="6"/>
  <c r="CM23" i="6"/>
  <c r="BT23" i="6"/>
  <c r="CJ23" i="6"/>
  <c r="BQ23" i="6"/>
  <c r="CL23" i="6"/>
  <c r="CI23" i="6"/>
  <c r="CK23" i="6"/>
  <c r="BR23" i="6"/>
  <c r="M22" i="6"/>
  <c r="BC22" i="6" s="1"/>
  <c r="BS21" i="6"/>
  <c r="CK21" i="6"/>
  <c r="CJ21" i="6"/>
  <c r="BQ21" i="6"/>
  <c r="CG21" i="6"/>
  <c r="BR21" i="6"/>
  <c r="BN21" i="6"/>
  <c r="CM21" i="6"/>
  <c r="BT21" i="6"/>
  <c r="CL21" i="6"/>
  <c r="CH21" i="6"/>
  <c r="BP21" i="6"/>
  <c r="BM21" i="6"/>
  <c r="BO21" i="6"/>
  <c r="CF21" i="6"/>
  <c r="CI21" i="6"/>
  <c r="AB13" i="6"/>
  <c r="AN21" i="5"/>
  <c r="W21" i="5"/>
  <c r="H21" i="12" s="1"/>
  <c r="BE21" i="6"/>
  <c r="BF21" i="6"/>
  <c r="BX21" i="6"/>
  <c r="BY21" i="6"/>
  <c r="BC21" i="6"/>
  <c r="BW21" i="6"/>
  <c r="BD21" i="6"/>
  <c r="BV21" i="6"/>
  <c r="AJ21" i="6"/>
  <c r="AK21" i="6"/>
  <c r="AL21" i="6"/>
  <c r="BF18" i="6"/>
  <c r="BY19" i="6"/>
  <c r="BF19" i="6"/>
  <c r="BY18" i="6"/>
  <c r="AN23" i="5"/>
  <c r="W23" i="5"/>
  <c r="H23" i="12" s="1"/>
  <c r="BC23" i="6"/>
  <c r="BE23" i="6"/>
  <c r="BY23" i="6"/>
  <c r="BV23" i="6"/>
  <c r="BF23" i="6"/>
  <c r="BX23" i="6"/>
  <c r="BW23" i="6"/>
  <c r="BD23" i="6"/>
  <c r="AJ23" i="6"/>
  <c r="AK23" i="6"/>
  <c r="B17" i="9"/>
  <c r="T62" i="4"/>
  <c r="T63" i="4"/>
  <c r="T64" i="4"/>
  <c r="T66" i="4"/>
  <c r="U66" i="4" s="1"/>
  <c r="T65" i="4"/>
  <c r="T102" i="4"/>
  <c r="T104" i="4"/>
  <c r="T103" i="4"/>
  <c r="T106" i="4"/>
  <c r="U106" i="4" s="1"/>
  <c r="T105" i="4"/>
  <c r="U7" i="4"/>
  <c r="H68" i="10"/>
  <c r="O74" i="10" a="1"/>
  <c r="O74" i="10" s="1"/>
  <c r="Q69" i="10"/>
  <c r="Q74" i="10" s="1" a="1"/>
  <c r="Q74" i="10" s="1"/>
  <c r="K12" i="9"/>
  <c r="AN14" i="5"/>
  <c r="BZ13" i="6"/>
  <c r="BZ20" i="6" s="1"/>
  <c r="AN13" i="6"/>
  <c r="AN12" i="6" s="1"/>
  <c r="AM12" i="6"/>
  <c r="A19" i="4"/>
  <c r="C19" i="4" s="1"/>
  <c r="C18" i="4"/>
  <c r="Z12" i="8"/>
  <c r="AF13" i="12"/>
  <c r="BG13" i="6"/>
  <c r="BG20" i="6" s="1"/>
  <c r="L12" i="10"/>
  <c r="A7" i="4"/>
  <c r="C7" i="4" s="1"/>
  <c r="C6" i="4"/>
  <c r="H46" i="6" l="1" a="1"/>
  <c r="H46" i="6" s="1"/>
  <c r="T46" i="5" s="1"/>
  <c r="A46" i="6"/>
  <c r="AE47" i="5"/>
  <c r="B47" i="6"/>
  <c r="AD47" i="5"/>
  <c r="A47" i="12"/>
  <c r="B47" i="5"/>
  <c r="C48" i="5" s="1"/>
  <c r="C49" i="5" s="1"/>
  <c r="G47" i="5"/>
  <c r="E47" i="5"/>
  <c r="H47" i="5"/>
  <c r="D47" i="5"/>
  <c r="B47" i="12" s="1"/>
  <c r="K47" i="5"/>
  <c r="J47" i="5"/>
  <c r="N47" i="5"/>
  <c r="D47" i="6" s="1"/>
  <c r="H47" i="6" s="1" a="1"/>
  <c r="H47" i="6" s="1"/>
  <c r="T47" i="5" s="1"/>
  <c r="F47" i="5"/>
  <c r="BX22" i="6"/>
  <c r="BW22" i="6"/>
  <c r="BE22" i="6"/>
  <c r="BF22" i="6"/>
  <c r="BY22" i="6"/>
  <c r="BD22" i="6"/>
  <c r="BV22" i="6"/>
  <c r="BZ22" i="6"/>
  <c r="AC13" i="6"/>
  <c r="BG21" i="6"/>
  <c r="AN21" i="6"/>
  <c r="BG22" i="6"/>
  <c r="BZ21" i="6"/>
  <c r="AM21" i="6"/>
  <c r="AM16" i="6"/>
  <c r="AM17" i="6"/>
  <c r="AM23" i="6"/>
  <c r="BG18" i="6"/>
  <c r="BG19" i="6"/>
  <c r="BZ19" i="6"/>
  <c r="BZ18" i="6"/>
  <c r="BZ23" i="6"/>
  <c r="AN16" i="6"/>
  <c r="AN17" i="6"/>
  <c r="AN23" i="6"/>
  <c r="BG23" i="6"/>
  <c r="B18" i="9"/>
  <c r="X29" i="4"/>
  <c r="S69" i="10"/>
  <c r="S74" i="10" s="1" a="1"/>
  <c r="S74" i="10" s="1"/>
  <c r="L12" i="9"/>
  <c r="BZ12" i="6"/>
  <c r="BG12" i="6"/>
  <c r="AO13" i="6"/>
  <c r="AO12" i="6" s="1"/>
  <c r="CA13" i="6"/>
  <c r="CA20" i="6" s="1"/>
  <c r="AA12" i="8"/>
  <c r="AG13" i="12"/>
  <c r="BH13" i="6"/>
  <c r="BH20" i="6" s="1"/>
  <c r="L11" i="10"/>
  <c r="M12" i="10"/>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49" i="12" l="1"/>
  <c r="B49" i="6"/>
  <c r="AE49" i="5"/>
  <c r="K49" i="5"/>
  <c r="AD49" i="5"/>
  <c r="N49" i="5"/>
  <c r="C50" i="5"/>
  <c r="J49" i="5"/>
  <c r="D49" i="5"/>
  <c r="B49" i="12" s="1"/>
  <c r="G46" i="12"/>
  <c r="A47" i="6"/>
  <c r="N48" i="5"/>
  <c r="D48" i="6" s="1"/>
  <c r="H48" i="6" s="1" a="1"/>
  <c r="H48" i="6" s="1"/>
  <c r="T48" i="5" s="1"/>
  <c r="G48" i="5"/>
  <c r="G49" i="5" s="1"/>
  <c r="H48" i="5"/>
  <c r="H49" i="5" s="1"/>
  <c r="E48" i="5"/>
  <c r="E49" i="5" s="1"/>
  <c r="F48" i="5"/>
  <c r="F49" i="5" s="1"/>
  <c r="A48" i="12"/>
  <c r="AE48" i="5"/>
  <c r="AD48" i="5"/>
  <c r="B48" i="5"/>
  <c r="B49" i="5" s="1"/>
  <c r="B48" i="6"/>
  <c r="W48" i="5"/>
  <c r="H48" i="12" s="1"/>
  <c r="G47" i="12"/>
  <c r="AD13" i="6"/>
  <c r="M24" i="6"/>
  <c r="BH22" i="6"/>
  <c r="BH21" i="6"/>
  <c r="AO21" i="6"/>
  <c r="CA22" i="6"/>
  <c r="CA21" i="6"/>
  <c r="AO16" i="6"/>
  <c r="AO17" i="6"/>
  <c r="AO23" i="6"/>
  <c r="CA18" i="6"/>
  <c r="CA19" i="6"/>
  <c r="CA23" i="6"/>
  <c r="B19" i="9"/>
  <c r="BH19" i="6"/>
  <c r="BH18" i="6"/>
  <c r="BH23" i="6"/>
  <c r="U29" i="4"/>
  <c r="U69" i="4"/>
  <c r="U65" i="4"/>
  <c r="U103" i="4"/>
  <c r="U61" i="4"/>
  <c r="U105" i="4"/>
  <c r="U64" i="4"/>
  <c r="U102" i="4"/>
  <c r="U62" i="4"/>
  <c r="U21" i="4"/>
  <c r="U23" i="4"/>
  <c r="U104" i="4"/>
  <c r="U101" i="4"/>
  <c r="U24" i="4"/>
  <c r="U25" i="4"/>
  <c r="U22" i="4"/>
  <c r="U63" i="4"/>
  <c r="U109" i="4"/>
  <c r="K112" i="4" s="1"/>
  <c r="U69" i="10"/>
  <c r="U74" i="10" s="1" a="1"/>
  <c r="U74" i="10" s="1"/>
  <c r="M12" i="9"/>
  <c r="CA12" i="6"/>
  <c r="BH12" i="6"/>
  <c r="AP13" i="6"/>
  <c r="AP12" i="6" s="1"/>
  <c r="CB13" i="6"/>
  <c r="CB20" i="6" s="1"/>
  <c r="AB12" i="8"/>
  <c r="AH13" i="12"/>
  <c r="BI13" i="6"/>
  <c r="BI20" i="6" s="1"/>
  <c r="M11" i="10"/>
  <c r="N12" i="10"/>
  <c r="D49" i="6" l="1"/>
  <c r="A50" i="12"/>
  <c r="G50" i="5"/>
  <c r="F50" i="5"/>
  <c r="E50" i="5"/>
  <c r="AE50" i="5"/>
  <c r="D50" i="5"/>
  <c r="B50" i="12" s="1"/>
  <c r="N50" i="5"/>
  <c r="C51" i="5"/>
  <c r="K50" i="5"/>
  <c r="B50" i="5"/>
  <c r="B50" i="6"/>
  <c r="J50" i="5"/>
  <c r="AD50" i="5"/>
  <c r="H50" i="5"/>
  <c r="G48" i="6"/>
  <c r="A48" i="6"/>
  <c r="F48" i="6"/>
  <c r="E48" i="12"/>
  <c r="G48" i="12"/>
  <c r="M33" i="6"/>
  <c r="AP33" i="6" s="1"/>
  <c r="BH24" i="6"/>
  <c r="M31" i="6"/>
  <c r="AP31" i="6" s="1"/>
  <c r="M32" i="6"/>
  <c r="AP32" i="6" s="1"/>
  <c r="CA24" i="6"/>
  <c r="BE24" i="6"/>
  <c r="BD24" i="6"/>
  <c r="M27" i="6"/>
  <c r="CB27" i="6" s="1"/>
  <c r="BZ24" i="6"/>
  <c r="M30" i="6"/>
  <c r="BI30" i="6" s="1"/>
  <c r="M26" i="6"/>
  <c r="BI26" i="6" s="1"/>
  <c r="BX24" i="6"/>
  <c r="M25" i="6"/>
  <c r="BI25" i="6" s="1"/>
  <c r="BV24" i="6"/>
  <c r="BY24" i="6"/>
  <c r="M28" i="6"/>
  <c r="AP28" i="6" s="1"/>
  <c r="BC24" i="6"/>
  <c r="BG24" i="6"/>
  <c r="M29" i="6"/>
  <c r="BI29" i="6" s="1"/>
  <c r="BF24" i="6"/>
  <c r="BW24" i="6"/>
  <c r="AE13" i="6"/>
  <c r="BI21" i="6"/>
  <c r="BI22" i="6"/>
  <c r="CB21" i="6"/>
  <c r="CB22" i="6"/>
  <c r="AP21" i="6"/>
  <c r="BI19" i="6"/>
  <c r="BI18" i="6"/>
  <c r="BI23" i="6"/>
  <c r="BI24" i="6"/>
  <c r="B20" i="9"/>
  <c r="CB19" i="6"/>
  <c r="CB18" i="6"/>
  <c r="CB23" i="6"/>
  <c r="CB24" i="6"/>
  <c r="AP16" i="6"/>
  <c r="AP17" i="6"/>
  <c r="AP23" i="6"/>
  <c r="AB10" i="12"/>
  <c r="W69" i="10"/>
  <c r="W74" i="10" s="1" a="1"/>
  <c r="W74" i="10" s="1"/>
  <c r="N12" i="9"/>
  <c r="J72" i="4"/>
  <c r="U8" i="4"/>
  <c r="CB12" i="6"/>
  <c r="BI12" i="6"/>
  <c r="AQ13" i="6"/>
  <c r="AQ12" i="6" s="1"/>
  <c r="CC13" i="6"/>
  <c r="CC20" i="6" s="1"/>
  <c r="AC12" i="8"/>
  <c r="AI13" i="12"/>
  <c r="K72" i="4"/>
  <c r="J112" i="4"/>
  <c r="BJ13" i="6"/>
  <c r="BJ20" i="6" s="1"/>
  <c r="O12" i="10"/>
  <c r="N11" i="10"/>
  <c r="K32" i="4"/>
  <c r="J32" i="4"/>
  <c r="A49" i="6" l="1"/>
  <c r="N49" i="6" s="1"/>
  <c r="H49" i="6" a="1"/>
  <c r="H49" i="6" s="1"/>
  <c r="T49" i="5" s="1"/>
  <c r="A51" i="12"/>
  <c r="B51" i="6"/>
  <c r="K51" i="5"/>
  <c r="F51" i="5"/>
  <c r="J51" i="5"/>
  <c r="H51" i="5"/>
  <c r="G51" i="5"/>
  <c r="E51" i="5"/>
  <c r="D51" i="5"/>
  <c r="B51" i="12" s="1"/>
  <c r="AE51" i="5"/>
  <c r="AD51" i="5"/>
  <c r="B51" i="5"/>
  <c r="C52" i="5" s="1"/>
  <c r="N51" i="5"/>
  <c r="D50" i="6"/>
  <c r="AQ33" i="6"/>
  <c r="BJ33" i="6"/>
  <c r="BE33" i="6"/>
  <c r="CA33" i="6"/>
  <c r="CC33" i="6"/>
  <c r="BX33" i="6"/>
  <c r="BH33" i="6"/>
  <c r="BG33" i="6"/>
  <c r="BZ33" i="6"/>
  <c r="BC33" i="6"/>
  <c r="BV33" i="6"/>
  <c r="BD33" i="6"/>
  <c r="BI33" i="6"/>
  <c r="BY33" i="6"/>
  <c r="CB33" i="6"/>
  <c r="BF33" i="6"/>
  <c r="BW33" i="6"/>
  <c r="AJ33" i="6"/>
  <c r="AK33" i="6"/>
  <c r="AL33" i="6"/>
  <c r="AN33" i="6"/>
  <c r="AM33" i="6"/>
  <c r="AO33" i="6"/>
  <c r="BC32" i="6"/>
  <c r="BH32" i="6"/>
  <c r="CA32" i="6"/>
  <c r="BW32" i="6"/>
  <c r="BF32" i="6"/>
  <c r="BG32" i="6"/>
  <c r="BJ32" i="6"/>
  <c r="BZ32" i="6"/>
  <c r="CC32" i="6"/>
  <c r="BD32" i="6"/>
  <c r="BX32" i="6"/>
  <c r="BE32" i="6"/>
  <c r="CB32" i="6"/>
  <c r="BV32" i="6"/>
  <c r="BI32" i="6"/>
  <c r="BY32" i="6"/>
  <c r="BC31" i="6"/>
  <c r="BV31" i="6"/>
  <c r="BZ31" i="6"/>
  <c r="BW31" i="6"/>
  <c r="CB31" i="6"/>
  <c r="BF31" i="6"/>
  <c r="BJ31" i="6"/>
  <c r="BI31" i="6"/>
  <c r="BX31" i="6"/>
  <c r="BH31" i="6"/>
  <c r="BE31" i="6"/>
  <c r="BD31" i="6"/>
  <c r="BY31" i="6"/>
  <c r="CC31" i="6"/>
  <c r="CA31" i="6"/>
  <c r="BG31" i="6"/>
  <c r="AQ31" i="6"/>
  <c r="AQ32" i="6"/>
  <c r="AP30" i="6"/>
  <c r="CB30" i="6"/>
  <c r="BI27" i="6"/>
  <c r="CB29" i="6"/>
  <c r="AP29" i="6"/>
  <c r="CB28" i="6"/>
  <c r="BI28" i="6"/>
  <c r="CB25" i="6"/>
  <c r="BZ25" i="6"/>
  <c r="BV25" i="6"/>
  <c r="BF25" i="6"/>
  <c r="CA25" i="6"/>
  <c r="BH25" i="6"/>
  <c r="BD25" i="6"/>
  <c r="BX25" i="6"/>
  <c r="BY25" i="6"/>
  <c r="BW25" i="6"/>
  <c r="BG25" i="6"/>
  <c r="BE25" i="6"/>
  <c r="BC25" i="6"/>
  <c r="CB26" i="6"/>
  <c r="BG30" i="6"/>
  <c r="BH30" i="6"/>
  <c r="BW30" i="6"/>
  <c r="BV30" i="6"/>
  <c r="BZ30" i="6"/>
  <c r="BE30" i="6"/>
  <c r="BY30" i="6"/>
  <c r="BD30" i="6"/>
  <c r="BF30" i="6"/>
  <c r="BX30" i="6"/>
  <c r="BC30" i="6"/>
  <c r="CA30" i="6"/>
  <c r="BG27" i="6"/>
  <c r="BY27" i="6"/>
  <c r="BW27" i="6"/>
  <c r="BV27" i="6"/>
  <c r="BF27" i="6"/>
  <c r="BC27" i="6"/>
  <c r="BZ27" i="6"/>
  <c r="BE27" i="6"/>
  <c r="CA27" i="6"/>
  <c r="BH27" i="6"/>
  <c r="BD27" i="6"/>
  <c r="BX27" i="6"/>
  <c r="BG29" i="6"/>
  <c r="BY29" i="6"/>
  <c r="BF29" i="6"/>
  <c r="BV29" i="6"/>
  <c r="BD29" i="6"/>
  <c r="BW29" i="6"/>
  <c r="BE29" i="6"/>
  <c r="BC29" i="6"/>
  <c r="BX29" i="6"/>
  <c r="BH29" i="6"/>
  <c r="BZ29" i="6"/>
  <c r="CA29" i="6"/>
  <c r="BW26" i="6"/>
  <c r="BC26" i="6"/>
  <c r="BF26" i="6"/>
  <c r="BD26" i="6"/>
  <c r="BY26" i="6"/>
  <c r="CA26" i="6"/>
  <c r="BG26" i="6"/>
  <c r="BH26" i="6"/>
  <c r="BZ26" i="6"/>
  <c r="BX26" i="6"/>
  <c r="BE26" i="6"/>
  <c r="BV26" i="6"/>
  <c r="BD28" i="6"/>
  <c r="BC28" i="6"/>
  <c r="BX28" i="6"/>
  <c r="BE28" i="6"/>
  <c r="BF28" i="6"/>
  <c r="BG28" i="6"/>
  <c r="BY28" i="6"/>
  <c r="BH28" i="6"/>
  <c r="CA28" i="6"/>
  <c r="BW28" i="6"/>
  <c r="BV28" i="6"/>
  <c r="BZ28" i="6"/>
  <c r="AF13" i="6"/>
  <c r="CC22" i="6"/>
  <c r="CC21" i="6"/>
  <c r="AQ21" i="6"/>
  <c r="BJ21" i="6"/>
  <c r="BJ22" i="6"/>
  <c r="CC19" i="6"/>
  <c r="CC26" i="6"/>
  <c r="CC25" i="6"/>
  <c r="CC18" i="6"/>
  <c r="CC28" i="6"/>
  <c r="CC30" i="6"/>
  <c r="CC27" i="6"/>
  <c r="CC29" i="6"/>
  <c r="CC24" i="6"/>
  <c r="CC23" i="6"/>
  <c r="B21" i="9"/>
  <c r="BJ25" i="6"/>
  <c r="BJ26" i="6"/>
  <c r="BJ18" i="6"/>
  <c r="BJ28" i="6"/>
  <c r="BJ19" i="6"/>
  <c r="BJ29" i="6"/>
  <c r="BJ27" i="6"/>
  <c r="BJ30" i="6"/>
  <c r="BJ23" i="6"/>
  <c r="BJ24" i="6"/>
  <c r="AQ16" i="6"/>
  <c r="AQ17" i="6"/>
  <c r="AQ23" i="6"/>
  <c r="AQ28" i="6"/>
  <c r="AQ29" i="6"/>
  <c r="AQ30" i="6"/>
  <c r="O12" i="9"/>
  <c r="Y69" i="10"/>
  <c r="Y74" i="10" s="1" a="1"/>
  <c r="Y74" i="10" s="1"/>
  <c r="T11" i="11"/>
  <c r="CC12" i="6"/>
  <c r="BJ12" i="6"/>
  <c r="AR13" i="6"/>
  <c r="AR12" i="6" s="1"/>
  <c r="CD13" i="6"/>
  <c r="AD12" i="8"/>
  <c r="AJ13" i="12"/>
  <c r="BK13" i="6"/>
  <c r="P12" i="10"/>
  <c r="O11" i="10"/>
  <c r="H50" i="6" l="1" a="1"/>
  <c r="H50" i="6" s="1"/>
  <c r="T50" i="5" s="1"/>
  <c r="D51" i="6"/>
  <c r="A50" i="6"/>
  <c r="N50" i="6" s="1"/>
  <c r="A52" i="12"/>
  <c r="AE52" i="5"/>
  <c r="C53" i="5"/>
  <c r="AD52" i="5"/>
  <c r="B52" i="5"/>
  <c r="N52" i="5"/>
  <c r="H52" i="5"/>
  <c r="G52" i="5"/>
  <c r="W52" i="5"/>
  <c r="H52" i="12" s="1"/>
  <c r="F52" i="5"/>
  <c r="B52" i="6"/>
  <c r="E52" i="5"/>
  <c r="G49" i="12"/>
  <c r="M34" i="6"/>
  <c r="BK34" i="6" s="1"/>
  <c r="BK20" i="6"/>
  <c r="CD33" i="6"/>
  <c r="AR33" i="6"/>
  <c r="BK33" i="6"/>
  <c r="CD20" i="6"/>
  <c r="BK31" i="6"/>
  <c r="CD32" i="6"/>
  <c r="CD31" i="6"/>
  <c r="BK32" i="6"/>
  <c r="AR31" i="6"/>
  <c r="AR32" i="6"/>
  <c r="AG13" i="6"/>
  <c r="CD21" i="6"/>
  <c r="CD22" i="6"/>
  <c r="BK22" i="6"/>
  <c r="BK21" i="6"/>
  <c r="AR21" i="6"/>
  <c r="AR16" i="6"/>
  <c r="AR17" i="6"/>
  <c r="AR23" i="6"/>
  <c r="AR28" i="6"/>
  <c r="AR29" i="6"/>
  <c r="AR30" i="6"/>
  <c r="CD26" i="6"/>
  <c r="CD25" i="6"/>
  <c r="CD18" i="6"/>
  <c r="CD19" i="6"/>
  <c r="CD28" i="6"/>
  <c r="CD27" i="6"/>
  <c r="CD24" i="6"/>
  <c r="CD30" i="6"/>
  <c r="CD29" i="6"/>
  <c r="CD23" i="6"/>
  <c r="B22" i="9"/>
  <c r="BK28" i="6"/>
  <c r="BK18" i="6"/>
  <c r="BK25" i="6"/>
  <c r="BK19" i="6"/>
  <c r="BK26" i="6"/>
  <c r="BK29" i="6"/>
  <c r="BK24" i="6"/>
  <c r="BK27" i="6"/>
  <c r="BK30" i="6"/>
  <c r="BK23" i="6"/>
  <c r="P12" i="9"/>
  <c r="AA69" i="10"/>
  <c r="AA74" i="10" s="1" a="1"/>
  <c r="AA74" i="10" s="1"/>
  <c r="CD12" i="6"/>
  <c r="BK12" i="6"/>
  <c r="AS13" i="6"/>
  <c r="AT13" i="6" s="1"/>
  <c r="CE13" i="6"/>
  <c r="AE12" i="8"/>
  <c r="AK13" i="12"/>
  <c r="BL13" i="6"/>
  <c r="Q12" i="10"/>
  <c r="P11" i="10"/>
  <c r="A51" i="6" l="1"/>
  <c r="N51" i="6" s="1"/>
  <c r="H51" i="6" a="1"/>
  <c r="H51" i="6" s="1"/>
  <c r="T51" i="5" s="1"/>
  <c r="G50" i="12"/>
  <c r="D52" i="6"/>
  <c r="A53" i="12"/>
  <c r="B53" i="6"/>
  <c r="G53" i="5"/>
  <c r="F53" i="5"/>
  <c r="E53" i="5"/>
  <c r="D53" i="5"/>
  <c r="B53" i="12" s="1"/>
  <c r="AE53" i="5"/>
  <c r="B53" i="5"/>
  <c r="N53" i="5"/>
  <c r="C54" i="5"/>
  <c r="K53" i="5"/>
  <c r="J53" i="5"/>
  <c r="AD53" i="5"/>
  <c r="H53" i="5"/>
  <c r="M37" i="6"/>
  <c r="AR37" i="6" s="1"/>
  <c r="M36" i="6"/>
  <c r="AR36" i="6" s="1"/>
  <c r="M38" i="6"/>
  <c r="CD38" i="6" s="1"/>
  <c r="M39" i="6"/>
  <c r="BK39" i="6" s="1"/>
  <c r="M41" i="6"/>
  <c r="CD41" i="6" s="1"/>
  <c r="M35" i="6"/>
  <c r="BK35" i="6" s="1"/>
  <c r="M40" i="6"/>
  <c r="BK40" i="6" s="1"/>
  <c r="AR34" i="6"/>
  <c r="CD34" i="6"/>
  <c r="AP34" i="6"/>
  <c r="BX34" i="6"/>
  <c r="BZ34" i="6"/>
  <c r="BW34" i="6"/>
  <c r="CB34" i="6"/>
  <c r="CC34" i="6"/>
  <c r="BV34" i="6"/>
  <c r="BG34" i="6"/>
  <c r="AQ34" i="6"/>
  <c r="BI34" i="6"/>
  <c r="BH34" i="6"/>
  <c r="BD34" i="6"/>
  <c r="BY34" i="6"/>
  <c r="BJ34" i="6"/>
  <c r="BE34" i="6"/>
  <c r="BF34" i="6"/>
  <c r="CA34" i="6"/>
  <c r="BC34" i="6"/>
  <c r="CE34" i="6"/>
  <c r="CE33" i="6"/>
  <c r="BL34" i="6"/>
  <c r="BL33" i="6"/>
  <c r="BL31" i="6"/>
  <c r="BL32" i="6"/>
  <c r="CE31" i="6"/>
  <c r="CE32" i="6"/>
  <c r="CF13" i="6"/>
  <c r="CE20" i="6"/>
  <c r="BM13" i="6"/>
  <c r="BM30" i="6" s="1"/>
  <c r="BL20" i="6"/>
  <c r="AH13" i="6"/>
  <c r="AT12" i="6"/>
  <c r="AU13" i="6"/>
  <c r="BL21" i="6"/>
  <c r="BL22" i="6"/>
  <c r="CE21" i="6"/>
  <c r="CE22" i="6"/>
  <c r="CE19" i="6"/>
  <c r="CE28" i="6"/>
  <c r="CE18" i="6"/>
  <c r="CE26" i="6"/>
  <c r="CE25" i="6"/>
  <c r="CE27" i="6"/>
  <c r="CE24" i="6"/>
  <c r="CE23" i="6"/>
  <c r="CE30" i="6"/>
  <c r="CE29" i="6"/>
  <c r="BL25" i="6"/>
  <c r="BL26" i="6"/>
  <c r="BL28" i="6"/>
  <c r="BL18" i="6"/>
  <c r="BL19" i="6"/>
  <c r="BL30" i="6"/>
  <c r="BL24" i="6"/>
  <c r="BL23" i="6"/>
  <c r="BL27" i="6"/>
  <c r="BL29" i="6"/>
  <c r="B23" i="9"/>
  <c r="AS12" i="6"/>
  <c r="Q12" i="9"/>
  <c r="AC69" i="10"/>
  <c r="AC74" i="10" s="1" a="1"/>
  <c r="AC74" i="10" s="1"/>
  <c r="CE12" i="6"/>
  <c r="BL12" i="6"/>
  <c r="AF12" i="8"/>
  <c r="AL13" i="12"/>
  <c r="Q11" i="10"/>
  <c r="R12" i="10"/>
  <c r="A52" i="6" l="1"/>
  <c r="N52" i="6" s="1"/>
  <c r="G51" i="12"/>
  <c r="H52" i="6" a="1"/>
  <c r="H52" i="6" s="1"/>
  <c r="T52" i="5" s="1"/>
  <c r="A54" i="12"/>
  <c r="C55" i="5"/>
  <c r="B54" i="6"/>
  <c r="K54" i="5"/>
  <c r="J54" i="5"/>
  <c r="H54" i="5"/>
  <c r="G54" i="5"/>
  <c r="E54" i="5"/>
  <c r="D54" i="5"/>
  <c r="B54" i="12" s="1"/>
  <c r="F54" i="5"/>
  <c r="B54" i="5"/>
  <c r="AE54" i="5"/>
  <c r="AD54" i="5"/>
  <c r="N54" i="5"/>
  <c r="D53" i="6"/>
  <c r="CE38" i="6"/>
  <c r="BL40" i="6"/>
  <c r="CE40" i="6"/>
  <c r="BZ38" i="6"/>
  <c r="BK38" i="6"/>
  <c r="BI38" i="6"/>
  <c r="BV38" i="6"/>
  <c r="AP38" i="6"/>
  <c r="BL38" i="6"/>
  <c r="BD38" i="6"/>
  <c r="AQ38" i="6"/>
  <c r="BG38" i="6"/>
  <c r="BH37" i="6"/>
  <c r="CE37" i="6"/>
  <c r="CA40" i="6"/>
  <c r="AQ36" i="6"/>
  <c r="BY36" i="6"/>
  <c r="BZ36" i="6"/>
  <c r="CB37" i="6"/>
  <c r="BC40" i="6"/>
  <c r="BG40" i="6"/>
  <c r="AR38" i="6"/>
  <c r="BY38" i="6"/>
  <c r="BH38" i="6"/>
  <c r="BW38" i="6"/>
  <c r="BC38" i="6"/>
  <c r="CA38" i="6"/>
  <c r="CB38" i="6"/>
  <c r="BF38" i="6"/>
  <c r="CC38" i="6"/>
  <c r="BE38" i="6"/>
  <c r="BX38" i="6"/>
  <c r="BJ38" i="6"/>
  <c r="AP40" i="6"/>
  <c r="CB40" i="6"/>
  <c r="AQ40" i="6"/>
  <c r="CC40" i="6"/>
  <c r="BX40" i="6"/>
  <c r="BD40" i="6"/>
  <c r="BE40" i="6"/>
  <c r="BV40" i="6"/>
  <c r="BJ40" i="6"/>
  <c r="BI40" i="6"/>
  <c r="BW40" i="6"/>
  <c r="BH40" i="6"/>
  <c r="BY40" i="6"/>
  <c r="BZ40" i="6"/>
  <c r="BF40" i="6"/>
  <c r="M42" i="6"/>
  <c r="BE37" i="6"/>
  <c r="BG37" i="6"/>
  <c r="BX37" i="6"/>
  <c r="CE35" i="6"/>
  <c r="CA37" i="6"/>
  <c r="BZ37" i="6"/>
  <c r="BF37" i="6"/>
  <c r="BK37" i="6"/>
  <c r="BC37" i="6"/>
  <c r="BV37" i="6"/>
  <c r="BL37" i="6"/>
  <c r="BD37" i="6"/>
  <c r="BW37" i="6"/>
  <c r="AQ37" i="6"/>
  <c r="BJ37" i="6"/>
  <c r="CD37" i="6"/>
  <c r="CC37" i="6"/>
  <c r="BY37" i="6"/>
  <c r="BI37" i="6"/>
  <c r="AP37" i="6"/>
  <c r="BX36" i="6"/>
  <c r="BE36" i="6"/>
  <c r="BI36" i="6"/>
  <c r="BD36" i="6"/>
  <c r="BV36" i="6"/>
  <c r="BJ36" i="6"/>
  <c r="BF36" i="6"/>
  <c r="CA36" i="6"/>
  <c r="CD36" i="6"/>
  <c r="BL36" i="6"/>
  <c r="CC36" i="6"/>
  <c r="BG36" i="6"/>
  <c r="BK36" i="6"/>
  <c r="BH36" i="6"/>
  <c r="CB36" i="6"/>
  <c r="CE36" i="6"/>
  <c r="AP36" i="6"/>
  <c r="BW36" i="6"/>
  <c r="BC36" i="6"/>
  <c r="BZ41" i="6"/>
  <c r="AK41" i="6"/>
  <c r="BW41" i="6"/>
  <c r="CE41" i="6"/>
  <c r="BI41" i="6"/>
  <c r="CB41" i="6"/>
  <c r="AL41" i="6"/>
  <c r="BJ41" i="6"/>
  <c r="AJ41" i="6"/>
  <c r="AM41" i="6"/>
  <c r="BF41" i="6"/>
  <c r="CA41" i="6"/>
  <c r="BD41" i="6"/>
  <c r="BH41" i="6"/>
  <c r="AQ41" i="6"/>
  <c r="BG41" i="6"/>
  <c r="AO41" i="6"/>
  <c r="CC41" i="6"/>
  <c r="BV41" i="6"/>
  <c r="BL41" i="6"/>
  <c r="BX41" i="6"/>
  <c r="AP41" i="6"/>
  <c r="AN41" i="6"/>
  <c r="BY41" i="6"/>
  <c r="BE41" i="6"/>
  <c r="BC41" i="6"/>
  <c r="CE39" i="6"/>
  <c r="CC39" i="6"/>
  <c r="CA39" i="6"/>
  <c r="BZ39" i="6"/>
  <c r="BC39" i="6"/>
  <c r="BG39" i="6"/>
  <c r="BE39" i="6"/>
  <c r="CB39" i="6"/>
  <c r="BD39" i="6"/>
  <c r="BW39" i="6"/>
  <c r="BF39" i="6"/>
  <c r="BY39" i="6"/>
  <c r="AQ39" i="6"/>
  <c r="BJ39" i="6"/>
  <c r="AR41" i="6"/>
  <c r="CD39" i="6"/>
  <c r="BH39" i="6"/>
  <c r="BL39" i="6"/>
  <c r="BV39" i="6"/>
  <c r="AP39" i="6"/>
  <c r="BX39" i="6"/>
  <c r="BI39" i="6"/>
  <c r="AR39" i="6"/>
  <c r="CA35" i="6"/>
  <c r="BV35" i="6"/>
  <c r="CB35" i="6"/>
  <c r="BZ35" i="6"/>
  <c r="BH35" i="6"/>
  <c r="BF35" i="6"/>
  <c r="AQ35" i="6"/>
  <c r="BD35" i="6"/>
  <c r="CD40" i="6"/>
  <c r="BY35" i="6"/>
  <c r="BW35" i="6"/>
  <c r="BX35" i="6"/>
  <c r="CC35" i="6"/>
  <c r="BI35" i="6"/>
  <c r="AP35" i="6"/>
  <c r="BG35" i="6"/>
  <c r="BE35" i="6"/>
  <c r="BL35" i="6"/>
  <c r="BC35" i="6"/>
  <c r="BJ35" i="6"/>
  <c r="CD35" i="6"/>
  <c r="BK41" i="6"/>
  <c r="AR40" i="6"/>
  <c r="AR35" i="6"/>
  <c r="BM19" i="6"/>
  <c r="BM12" i="6"/>
  <c r="CF39" i="6"/>
  <c r="CF36" i="6"/>
  <c r="CF38" i="6"/>
  <c r="CF35" i="6"/>
  <c r="CF41" i="6"/>
  <c r="CF34" i="6"/>
  <c r="CF33" i="6"/>
  <c r="CF40" i="6"/>
  <c r="CF37" i="6"/>
  <c r="BM29" i="6"/>
  <c r="BN13" i="6"/>
  <c r="BO13" i="6" s="1"/>
  <c r="BM25" i="6"/>
  <c r="BM36" i="6"/>
  <c r="BM34" i="6"/>
  <c r="BM35" i="6"/>
  <c r="BM40" i="6"/>
  <c r="BM37" i="6"/>
  <c r="BM39" i="6"/>
  <c r="BM38" i="6"/>
  <c r="BM41" i="6"/>
  <c r="BM33" i="6"/>
  <c r="BM18" i="6"/>
  <c r="BM26" i="6"/>
  <c r="BM28" i="6"/>
  <c r="AS33" i="6"/>
  <c r="AS34" i="6"/>
  <c r="AS35" i="6"/>
  <c r="AS36" i="6"/>
  <c r="AS37" i="6"/>
  <c r="AS38" i="6"/>
  <c r="AS39" i="6"/>
  <c r="AS40" i="6"/>
  <c r="AS41" i="6"/>
  <c r="AT33" i="6"/>
  <c r="AT34" i="6"/>
  <c r="AT35" i="6"/>
  <c r="AT36" i="6"/>
  <c r="AT37" i="6"/>
  <c r="AT38" i="6"/>
  <c r="AT39" i="6"/>
  <c r="AT40" i="6"/>
  <c r="AT41" i="6"/>
  <c r="BM27" i="6"/>
  <c r="BM24" i="6"/>
  <c r="BM22" i="6"/>
  <c r="CF24" i="6"/>
  <c r="CF22" i="6"/>
  <c r="CF19" i="6"/>
  <c r="CF18" i="6"/>
  <c r="CG13" i="6"/>
  <c r="CF26" i="6"/>
  <c r="CF12" i="6"/>
  <c r="CF30" i="6"/>
  <c r="CF28" i="6"/>
  <c r="CF29" i="6"/>
  <c r="CF27" i="6"/>
  <c r="CF25" i="6"/>
  <c r="CF31" i="6"/>
  <c r="CF32" i="6"/>
  <c r="AS31" i="6"/>
  <c r="AS32" i="6"/>
  <c r="AT31" i="6"/>
  <c r="AT32" i="6"/>
  <c r="BM32" i="6"/>
  <c r="BM31" i="6"/>
  <c r="BM20" i="6"/>
  <c r="CF20" i="6"/>
  <c r="AT16" i="6"/>
  <c r="AT17" i="6"/>
  <c r="AT21" i="6"/>
  <c r="AT23" i="6"/>
  <c r="AT29" i="6"/>
  <c r="AT28" i="6"/>
  <c r="AT30" i="6"/>
  <c r="AV13" i="6"/>
  <c r="AU12" i="6"/>
  <c r="AS21" i="6"/>
  <c r="B24" i="9"/>
  <c r="AS16" i="6"/>
  <c r="AS17" i="6"/>
  <c r="AS23" i="6"/>
  <c r="AS28" i="6"/>
  <c r="AS29" i="6"/>
  <c r="AS30" i="6"/>
  <c r="R12" i="9"/>
  <c r="AE69" i="10"/>
  <c r="AE74" i="10" s="1" a="1"/>
  <c r="AE74" i="10" s="1"/>
  <c r="AM13" i="12"/>
  <c r="J49" i="12" s="1" a="1"/>
  <c r="J49" i="12" s="1"/>
  <c r="R11" i="10"/>
  <c r="S12" i="10"/>
  <c r="A53" i="6" l="1"/>
  <c r="BM42" i="6"/>
  <c r="H53" i="6" a="1"/>
  <c r="H53" i="6" s="1"/>
  <c r="T53" i="5" s="1"/>
  <c r="A55" i="12"/>
  <c r="D55" i="5"/>
  <c r="B55" i="12" s="1"/>
  <c r="AE55" i="5"/>
  <c r="C56" i="5"/>
  <c r="K55" i="5"/>
  <c r="B55" i="6"/>
  <c r="H55" i="5"/>
  <c r="G55" i="5"/>
  <c r="F55" i="5"/>
  <c r="E55" i="5"/>
  <c r="N55" i="5"/>
  <c r="AD55" i="5"/>
  <c r="J55" i="5"/>
  <c r="B55" i="5"/>
  <c r="J54" i="12" a="1"/>
  <c r="J54" i="12" s="1"/>
  <c r="L54" i="12" a="1"/>
  <c r="L54" i="12" s="1"/>
  <c r="J50" i="12" a="1"/>
  <c r="J50" i="12" s="1"/>
  <c r="D54" i="6"/>
  <c r="L50" i="12" a="1"/>
  <c r="L50" i="12" s="1"/>
  <c r="L49" i="12" a="1"/>
  <c r="L49" i="12" s="1"/>
  <c r="K49" i="12" s="1"/>
  <c r="L53" i="12" a="1"/>
  <c r="L53" i="12" s="1"/>
  <c r="L51" i="12" a="1"/>
  <c r="L51" i="12" s="1"/>
  <c r="J53" i="12" a="1"/>
  <c r="J53" i="12" s="1"/>
  <c r="J51" i="12" a="1"/>
  <c r="J51" i="12" s="1"/>
  <c r="G52" i="12"/>
  <c r="CF42" i="6"/>
  <c r="AS42" i="6"/>
  <c r="AT42" i="6"/>
  <c r="CD42" i="6"/>
  <c r="AR42" i="6"/>
  <c r="M46" i="6"/>
  <c r="BO46" i="6" s="1"/>
  <c r="M47" i="6"/>
  <c r="AU47" i="6" s="1"/>
  <c r="BI42" i="6"/>
  <c r="BF42" i="6"/>
  <c r="BK42" i="6"/>
  <c r="BX42" i="6"/>
  <c r="BY42" i="6"/>
  <c r="M44" i="6"/>
  <c r="BO44" i="6" s="1"/>
  <c r="BE42" i="6"/>
  <c r="AQ42" i="6"/>
  <c r="BV42" i="6"/>
  <c r="M43" i="6"/>
  <c r="BO43" i="6" s="1"/>
  <c r="BZ42" i="6"/>
  <c r="BJ42" i="6"/>
  <c r="CB42" i="6"/>
  <c r="CA42" i="6"/>
  <c r="CC42" i="6"/>
  <c r="BL42" i="6"/>
  <c r="BC42" i="6"/>
  <c r="BG42" i="6"/>
  <c r="BD42" i="6"/>
  <c r="M48" i="6"/>
  <c r="AU48" i="6" s="1"/>
  <c r="BW42" i="6"/>
  <c r="M45" i="6"/>
  <c r="BO45" i="6" s="1"/>
  <c r="BH42" i="6"/>
  <c r="CE42" i="6"/>
  <c r="AP42" i="6"/>
  <c r="BN27" i="6"/>
  <c r="BN28" i="6"/>
  <c r="BN20" i="6"/>
  <c r="BN26" i="6"/>
  <c r="BN30" i="6"/>
  <c r="BN25" i="6"/>
  <c r="BN24" i="6"/>
  <c r="BN29" i="6"/>
  <c r="BN31" i="6"/>
  <c r="BN22" i="6"/>
  <c r="BN19" i="6"/>
  <c r="BN18" i="6"/>
  <c r="BN32" i="6"/>
  <c r="BN12" i="6"/>
  <c r="BO42" i="6"/>
  <c r="BO41" i="6"/>
  <c r="BO40" i="6"/>
  <c r="BO39" i="6"/>
  <c r="BO36" i="6"/>
  <c r="BO37" i="6"/>
  <c r="BO38" i="6"/>
  <c r="BO35" i="6"/>
  <c r="BO34" i="6"/>
  <c r="BO33" i="6"/>
  <c r="J35" i="12" a="1"/>
  <c r="J35" i="12" s="1"/>
  <c r="J39" i="12" a="1"/>
  <c r="J39" i="12" s="1"/>
  <c r="J36" i="12" a="1"/>
  <c r="J36" i="12" s="1"/>
  <c r="L36" i="12" a="1"/>
  <c r="L36" i="12" s="1"/>
  <c r="J44" i="12" a="1"/>
  <c r="J44" i="12" s="1"/>
  <c r="L44" i="12" a="1"/>
  <c r="L44" i="12" s="1"/>
  <c r="J40" i="12" a="1"/>
  <c r="J40" i="12" s="1"/>
  <c r="J37" i="12" a="1"/>
  <c r="J37" i="12" s="1"/>
  <c r="J38" i="12" a="1"/>
  <c r="J38" i="12" s="1"/>
  <c r="L35" i="12" a="1"/>
  <c r="L35" i="12" s="1"/>
  <c r="L39" i="12" a="1"/>
  <c r="L39" i="12" s="1"/>
  <c r="L40" i="12" a="1"/>
  <c r="L40" i="12" s="1"/>
  <c r="L38" i="12" a="1"/>
  <c r="L38" i="12" s="1"/>
  <c r="L37" i="12" a="1"/>
  <c r="L37" i="12" s="1"/>
  <c r="L34" i="12" a="1"/>
  <c r="L34" i="12" s="1"/>
  <c r="J34" i="12" a="1"/>
  <c r="J34" i="12" s="1"/>
  <c r="L42" i="12" a="1"/>
  <c r="L42" i="12" s="1"/>
  <c r="L43" i="12" a="1"/>
  <c r="L43" i="12" s="1"/>
  <c r="L46" i="12" a="1"/>
  <c r="L46" i="12" s="1"/>
  <c r="L45" i="12" a="1"/>
  <c r="L45" i="12" s="1"/>
  <c r="J45" i="12" a="1"/>
  <c r="J45" i="12" s="1"/>
  <c r="J42" i="12" a="1"/>
  <c r="J42" i="12" s="1"/>
  <c r="J43" i="12" a="1"/>
  <c r="J43" i="12" s="1"/>
  <c r="J46" i="12" a="1"/>
  <c r="J46" i="12" s="1"/>
  <c r="L47" i="12" a="1"/>
  <c r="L47" i="12" s="1"/>
  <c r="J47" i="12" a="1"/>
  <c r="J47" i="12" s="1"/>
  <c r="AU33" i="6"/>
  <c r="AU34" i="6"/>
  <c r="AU35" i="6"/>
  <c r="AU36" i="6"/>
  <c r="AU37" i="6"/>
  <c r="AU38" i="6"/>
  <c r="AU39" i="6"/>
  <c r="AU40" i="6"/>
  <c r="AU41" i="6"/>
  <c r="AU42" i="6"/>
  <c r="CG20" i="6"/>
  <c r="CG35" i="6"/>
  <c r="CG33" i="6"/>
  <c r="CG41" i="6"/>
  <c r="CG37" i="6"/>
  <c r="CG39" i="6"/>
  <c r="CG34" i="6"/>
  <c r="CG38" i="6"/>
  <c r="CG40" i="6"/>
  <c r="CG36" i="6"/>
  <c r="CG42" i="6"/>
  <c r="BN40" i="6"/>
  <c r="BN34" i="6"/>
  <c r="BN41" i="6"/>
  <c r="BN35" i="6"/>
  <c r="BN42" i="6"/>
  <c r="BN37" i="6"/>
  <c r="BN38" i="6"/>
  <c r="BN36" i="6"/>
  <c r="BN39" i="6"/>
  <c r="BN33" i="6"/>
  <c r="CG29" i="6"/>
  <c r="CG25" i="6"/>
  <c r="CG27" i="6"/>
  <c r="CG24" i="6"/>
  <c r="CG22" i="6"/>
  <c r="CG32" i="6"/>
  <c r="CG19" i="6"/>
  <c r="CG31" i="6"/>
  <c r="CG18" i="6"/>
  <c r="CH13" i="6"/>
  <c r="CG28" i="6"/>
  <c r="CG12" i="6"/>
  <c r="CG26" i="6"/>
  <c r="CG30" i="6"/>
  <c r="AU31" i="6"/>
  <c r="AU32" i="6"/>
  <c r="BO31" i="6"/>
  <c r="BO32" i="6"/>
  <c r="J31" i="12" a="1"/>
  <c r="J31" i="12" s="1"/>
  <c r="L31" i="12" a="1"/>
  <c r="L31" i="12" s="1"/>
  <c r="L32" i="12" a="1"/>
  <c r="L32" i="12" s="1"/>
  <c r="J32" i="12" a="1"/>
  <c r="J32" i="12" s="1"/>
  <c r="BO20" i="6"/>
  <c r="J20" i="12" a="1"/>
  <c r="J20" i="12" s="1"/>
  <c r="L20" i="12" a="1"/>
  <c r="L20" i="12" s="1"/>
  <c r="AU16" i="6"/>
  <c r="AU17" i="6"/>
  <c r="AU21" i="6"/>
  <c r="AU23" i="6"/>
  <c r="AU29" i="6"/>
  <c r="AU28" i="6"/>
  <c r="AU30" i="6"/>
  <c r="AV12" i="6"/>
  <c r="AW13" i="6"/>
  <c r="BO12" i="6"/>
  <c r="BP13" i="6"/>
  <c r="BO18" i="6"/>
  <c r="BO19" i="6"/>
  <c r="BO22" i="6"/>
  <c r="BO24" i="6"/>
  <c r="BO29" i="6"/>
  <c r="BO26" i="6"/>
  <c r="BO28" i="6"/>
  <c r="BO30" i="6"/>
  <c r="BO25" i="6"/>
  <c r="BO27" i="6"/>
  <c r="L22" i="12" a="1"/>
  <c r="L22" i="12" s="1"/>
  <c r="J22" i="12" a="1"/>
  <c r="J22" i="12" s="1"/>
  <c r="B25" i="9"/>
  <c r="J19" i="12" a="1"/>
  <c r="J19" i="12" s="1"/>
  <c r="J24" i="12" a="1"/>
  <c r="J24" i="12" s="1"/>
  <c r="L25" i="12" a="1"/>
  <c r="L25" i="12" s="1"/>
  <c r="L19" i="12" a="1"/>
  <c r="L19" i="12" s="1"/>
  <c r="J25" i="12" a="1"/>
  <c r="J25" i="12" s="1"/>
  <c r="J26" i="12" a="1"/>
  <c r="J26" i="12" s="1"/>
  <c r="L27" i="12" a="1"/>
  <c r="L27" i="12" s="1"/>
  <c r="J27" i="12" a="1"/>
  <c r="J27" i="12" s="1"/>
  <c r="L24" i="12" a="1"/>
  <c r="L24" i="12" s="1"/>
  <c r="J18" i="12" a="1"/>
  <c r="J18" i="12" s="1"/>
  <c r="J30" i="12" a="1"/>
  <c r="J30" i="12" s="1"/>
  <c r="L18" i="12" a="1"/>
  <c r="L18" i="12" s="1"/>
  <c r="J29" i="12" a="1"/>
  <c r="J29" i="12" s="1"/>
  <c r="L30" i="12" a="1"/>
  <c r="L30" i="12" s="1"/>
  <c r="J28" i="12" a="1"/>
  <c r="J28" i="12" s="1"/>
  <c r="L29" i="12" a="1"/>
  <c r="L29" i="12" s="1"/>
  <c r="L26" i="12" a="1"/>
  <c r="L26" i="12" s="1"/>
  <c r="L28" i="12" a="1"/>
  <c r="L28" i="12" s="1"/>
  <c r="J14" i="12" a="1"/>
  <c r="J14" i="12" s="1"/>
  <c r="L14" i="12" a="1"/>
  <c r="L14" i="12" s="1"/>
  <c r="S12" i="9"/>
  <c r="AO7" i="12"/>
  <c r="T12" i="10"/>
  <c r="S11" i="10"/>
  <c r="A54" i="6" l="1"/>
  <c r="K54" i="12"/>
  <c r="M49" i="6"/>
  <c r="BI49" i="6" s="1"/>
  <c r="K53" i="12"/>
  <c r="K50" i="12"/>
  <c r="A56" i="12"/>
  <c r="B56" i="6"/>
  <c r="H56" i="5"/>
  <c r="G56" i="5"/>
  <c r="AE56" i="5"/>
  <c r="F56" i="5"/>
  <c r="B56" i="5"/>
  <c r="C57" i="5" s="1"/>
  <c r="E56" i="5"/>
  <c r="D56" i="5"/>
  <c r="B56" i="12" s="1"/>
  <c r="N56" i="5"/>
  <c r="AD56" i="5"/>
  <c r="K56" i="5"/>
  <c r="J56" i="5"/>
  <c r="J55" i="12" a="1"/>
  <c r="J55" i="12" s="1"/>
  <c r="L55" i="12" a="1"/>
  <c r="L55" i="12" s="1"/>
  <c r="G53" i="12"/>
  <c r="H54" i="6" a="1"/>
  <c r="H54" i="6" s="1"/>
  <c r="T54" i="5" s="1"/>
  <c r="K51" i="12"/>
  <c r="D55" i="6"/>
  <c r="BN43" i="6"/>
  <c r="AU46" i="6"/>
  <c r="BN48" i="6"/>
  <c r="CG47" i="6"/>
  <c r="AU43" i="6"/>
  <c r="CG43" i="6"/>
  <c r="BN46" i="6"/>
  <c r="CG46" i="6"/>
  <c r="BO47" i="6"/>
  <c r="BN47" i="6"/>
  <c r="CG48" i="6"/>
  <c r="BO48" i="6"/>
  <c r="BN45" i="6"/>
  <c r="AU45" i="6"/>
  <c r="CG45" i="6"/>
  <c r="BN44" i="6"/>
  <c r="AU44" i="6"/>
  <c r="CG44" i="6"/>
  <c r="BK44" i="6"/>
  <c r="BC44" i="6"/>
  <c r="BV44" i="6"/>
  <c r="AP44" i="6"/>
  <c r="BI44" i="6"/>
  <c r="BF44" i="6"/>
  <c r="CB44" i="6"/>
  <c r="AR44" i="6"/>
  <c r="BD44" i="6"/>
  <c r="BH44" i="6"/>
  <c r="CE44" i="6"/>
  <c r="BZ44" i="6"/>
  <c r="BL44" i="6"/>
  <c r="BX44" i="6"/>
  <c r="BY44" i="6"/>
  <c r="BW44" i="6"/>
  <c r="CC44" i="6"/>
  <c r="BE44" i="6"/>
  <c r="BJ44" i="6"/>
  <c r="CA44" i="6"/>
  <c r="BG44" i="6"/>
  <c r="AQ44" i="6"/>
  <c r="CD44" i="6"/>
  <c r="CF44" i="6"/>
  <c r="AS44" i="6"/>
  <c r="BM44" i="6"/>
  <c r="AT44" i="6"/>
  <c r="CD45" i="6"/>
  <c r="BL45" i="6"/>
  <c r="CA45" i="6"/>
  <c r="CE45" i="6"/>
  <c r="BE45" i="6"/>
  <c r="BC45" i="6"/>
  <c r="AP45" i="6"/>
  <c r="BM45" i="6"/>
  <c r="BG45" i="6"/>
  <c r="BK45" i="6"/>
  <c r="BV45" i="6"/>
  <c r="CC45" i="6"/>
  <c r="BY45" i="6"/>
  <c r="BH45" i="6"/>
  <c r="CF45" i="6"/>
  <c r="AS45" i="6"/>
  <c r="BI45" i="6"/>
  <c r="CB45" i="6"/>
  <c r="BX45" i="6"/>
  <c r="BZ45" i="6"/>
  <c r="BW45" i="6"/>
  <c r="BD45" i="6"/>
  <c r="AQ45" i="6"/>
  <c r="AR45" i="6"/>
  <c r="BF45" i="6"/>
  <c r="BJ45" i="6"/>
  <c r="AT45" i="6"/>
  <c r="BK48" i="6"/>
  <c r="BD48" i="6"/>
  <c r="AJ48" i="6"/>
  <c r="CF48" i="6"/>
  <c r="CE48" i="6"/>
  <c r="BX48" i="6"/>
  <c r="BF48" i="6"/>
  <c r="AR48" i="6"/>
  <c r="AT48" i="6"/>
  <c r="AK48" i="6"/>
  <c r="BE48" i="6"/>
  <c r="AQ48" i="6"/>
  <c r="AL48" i="6"/>
  <c r="BL48" i="6"/>
  <c r="BV48" i="6"/>
  <c r="BY48" i="6"/>
  <c r="AN48" i="6"/>
  <c r="AM48" i="6"/>
  <c r="BG48" i="6"/>
  <c r="BZ48" i="6"/>
  <c r="CA48" i="6"/>
  <c r="AP48" i="6"/>
  <c r="CD48" i="6"/>
  <c r="CC48" i="6"/>
  <c r="BH48" i="6"/>
  <c r="BC48" i="6"/>
  <c r="AO48" i="6"/>
  <c r="BM48" i="6"/>
  <c r="AS48" i="6"/>
  <c r="CB48" i="6"/>
  <c r="BJ48" i="6"/>
  <c r="BI48" i="6"/>
  <c r="BW48" i="6"/>
  <c r="BK43" i="6"/>
  <c r="CA43" i="6"/>
  <c r="BC43" i="6"/>
  <c r="BL43" i="6"/>
  <c r="AP43" i="6"/>
  <c r="BE43" i="6"/>
  <c r="BY43" i="6"/>
  <c r="BW43" i="6"/>
  <c r="CE43" i="6"/>
  <c r="BJ43" i="6"/>
  <c r="CC43" i="6"/>
  <c r="BI43" i="6"/>
  <c r="BG43" i="6"/>
  <c r="BF43" i="6"/>
  <c r="BV43" i="6"/>
  <c r="BD43" i="6"/>
  <c r="AQ43" i="6"/>
  <c r="CB43" i="6"/>
  <c r="BX43" i="6"/>
  <c r="BZ43" i="6"/>
  <c r="BH43" i="6"/>
  <c r="BM43" i="6"/>
  <c r="CD43" i="6"/>
  <c r="AS43" i="6"/>
  <c r="CF43" i="6"/>
  <c r="AT43" i="6"/>
  <c r="AR43" i="6"/>
  <c r="BK47" i="6"/>
  <c r="AP47" i="6"/>
  <c r="BZ47" i="6"/>
  <c r="CE47" i="6"/>
  <c r="BE47" i="6"/>
  <c r="CA47" i="6"/>
  <c r="AQ47" i="6"/>
  <c r="BY47" i="6"/>
  <c r="BI47" i="6"/>
  <c r="BL47" i="6"/>
  <c r="CF47" i="6"/>
  <c r="AT47" i="6"/>
  <c r="BH47" i="6"/>
  <c r="CD47" i="6"/>
  <c r="BJ47" i="6"/>
  <c r="BF47" i="6"/>
  <c r="AR47" i="6"/>
  <c r="BG47" i="6"/>
  <c r="CB47" i="6"/>
  <c r="BD47" i="6"/>
  <c r="BV47" i="6"/>
  <c r="BW47" i="6"/>
  <c r="BC47" i="6"/>
  <c r="AS47" i="6"/>
  <c r="BX47" i="6"/>
  <c r="CC47" i="6"/>
  <c r="BM47" i="6"/>
  <c r="BK46" i="6"/>
  <c r="BY46" i="6"/>
  <c r="CD46" i="6"/>
  <c r="BZ46" i="6"/>
  <c r="CC46" i="6"/>
  <c r="BJ46" i="6"/>
  <c r="BF46" i="6"/>
  <c r="AQ46" i="6"/>
  <c r="BX46" i="6"/>
  <c r="BV46" i="6"/>
  <c r="BD46" i="6"/>
  <c r="CA46" i="6"/>
  <c r="CE46" i="6"/>
  <c r="AP46" i="6"/>
  <c r="AR46" i="6"/>
  <c r="BC46" i="6"/>
  <c r="BW46" i="6"/>
  <c r="BH46" i="6"/>
  <c r="BG46" i="6"/>
  <c r="BE46" i="6"/>
  <c r="BI46" i="6"/>
  <c r="BL46" i="6"/>
  <c r="CB46" i="6"/>
  <c r="BM46" i="6"/>
  <c r="AS46" i="6"/>
  <c r="CF46" i="6"/>
  <c r="AT46" i="6"/>
  <c r="K35" i="12"/>
  <c r="K44" i="12"/>
  <c r="K36" i="12"/>
  <c r="K38" i="12"/>
  <c r="K39" i="12"/>
  <c r="K47" i="12"/>
  <c r="K34" i="12"/>
  <c r="K37" i="12"/>
  <c r="AV33" i="6"/>
  <c r="AV34" i="6"/>
  <c r="AV35" i="6"/>
  <c r="AV36" i="6"/>
  <c r="AV37" i="6"/>
  <c r="AV38" i="6"/>
  <c r="AV39" i="6"/>
  <c r="AV40" i="6"/>
  <c r="AV41" i="6"/>
  <c r="AV42" i="6"/>
  <c r="AV43" i="6"/>
  <c r="AV44" i="6"/>
  <c r="AV45" i="6"/>
  <c r="AV46" i="6"/>
  <c r="AV47" i="6"/>
  <c r="AV48" i="6"/>
  <c r="K40" i="12"/>
  <c r="K45" i="12"/>
  <c r="K46" i="12"/>
  <c r="CH27" i="6"/>
  <c r="CH48" i="6"/>
  <c r="CH47" i="6"/>
  <c r="CH46" i="6"/>
  <c r="CH35" i="6"/>
  <c r="CH41" i="6"/>
  <c r="CH40" i="6"/>
  <c r="CH45" i="6"/>
  <c r="CH39" i="6"/>
  <c r="CH33" i="6"/>
  <c r="CH37" i="6"/>
  <c r="CH43" i="6"/>
  <c r="CH34" i="6"/>
  <c r="CH38" i="6"/>
  <c r="CH42" i="6"/>
  <c r="CH44" i="6"/>
  <c r="CH36" i="6"/>
  <c r="K43" i="12"/>
  <c r="BP48" i="6"/>
  <c r="BP36" i="6"/>
  <c r="BP46" i="6"/>
  <c r="BP42" i="6"/>
  <c r="BP45" i="6"/>
  <c r="BP35" i="6"/>
  <c r="BP44" i="6"/>
  <c r="BP37" i="6"/>
  <c r="BP33" i="6"/>
  <c r="BP38" i="6"/>
  <c r="BP43" i="6"/>
  <c r="BP41" i="6"/>
  <c r="BP47" i="6"/>
  <c r="BP40" i="6"/>
  <c r="BP39" i="6"/>
  <c r="BP34" i="6"/>
  <c r="K42" i="12"/>
  <c r="K31" i="12"/>
  <c r="CH20" i="6"/>
  <c r="CH29" i="6"/>
  <c r="CH22" i="6"/>
  <c r="CH24" i="6"/>
  <c r="CH19" i="6"/>
  <c r="CI13" i="6"/>
  <c r="CI29" i="6" s="1"/>
  <c r="CH31" i="6"/>
  <c r="CH28" i="6"/>
  <c r="CH12" i="6"/>
  <c r="CH32" i="6"/>
  <c r="CH26" i="6"/>
  <c r="CH25" i="6"/>
  <c r="CH18" i="6"/>
  <c r="CH30" i="6"/>
  <c r="K32" i="12"/>
  <c r="BP32" i="6"/>
  <c r="BP31" i="6"/>
  <c r="AV31" i="6"/>
  <c r="AV32" i="6"/>
  <c r="K20" i="12"/>
  <c r="BP20" i="6"/>
  <c r="AV16" i="6"/>
  <c r="AV17" i="6"/>
  <c r="AV21" i="6"/>
  <c r="AV23" i="6"/>
  <c r="AV28" i="6"/>
  <c r="AV29" i="6"/>
  <c r="AV30" i="6"/>
  <c r="BP12" i="6"/>
  <c r="BQ13" i="6"/>
  <c r="BP18" i="6"/>
  <c r="BP19" i="6"/>
  <c r="BP22" i="6"/>
  <c r="BP24" i="6"/>
  <c r="BP29" i="6"/>
  <c r="BP25" i="6"/>
  <c r="BP28" i="6"/>
  <c r="BP27" i="6"/>
  <c r="BP26" i="6"/>
  <c r="BP30" i="6"/>
  <c r="AW12" i="6"/>
  <c r="AX13" i="6"/>
  <c r="K22" i="12"/>
  <c r="I21" i="5"/>
  <c r="K30" i="12"/>
  <c r="K25" i="12"/>
  <c r="K26" i="12"/>
  <c r="K19" i="12"/>
  <c r="K24" i="12"/>
  <c r="K18" i="12"/>
  <c r="K29" i="12"/>
  <c r="B26" i="9"/>
  <c r="K27" i="12"/>
  <c r="K28" i="12"/>
  <c r="T12" i="9"/>
  <c r="K14" i="12"/>
  <c r="U12" i="10"/>
  <c r="T11" i="10"/>
  <c r="BJ49" i="6" l="1"/>
  <c r="AV49" i="6"/>
  <c r="AQ49" i="6"/>
  <c r="AU49" i="6"/>
  <c r="BL49" i="6"/>
  <c r="AP49" i="6"/>
  <c r="BV49" i="6"/>
  <c r="BY49" i="6"/>
  <c r="CA49" i="6"/>
  <c r="BG49" i="6"/>
  <c r="CH49" i="6"/>
  <c r="BW49" i="6"/>
  <c r="CC49" i="6"/>
  <c r="BM49" i="6"/>
  <c r="CB49" i="6"/>
  <c r="BH49" i="6"/>
  <c r="BK49" i="6"/>
  <c r="BD49" i="6"/>
  <c r="BX49" i="6"/>
  <c r="BF49" i="6"/>
  <c r="AR49" i="6"/>
  <c r="BE49" i="6"/>
  <c r="CF49" i="6"/>
  <c r="CG49" i="6"/>
  <c r="AS49" i="6"/>
  <c r="BC49" i="6"/>
  <c r="BP49" i="6"/>
  <c r="AT49" i="6"/>
  <c r="CD49" i="6"/>
  <c r="CE49" i="6"/>
  <c r="BO49" i="6"/>
  <c r="BN49" i="6"/>
  <c r="BZ49" i="6"/>
  <c r="K55" i="12"/>
  <c r="M50" i="6"/>
  <c r="CI50" i="6" s="1"/>
  <c r="M51" i="6"/>
  <c r="BQ51" i="6" s="1"/>
  <c r="M52" i="6"/>
  <c r="CI52" i="6" s="1"/>
  <c r="BQ49" i="6"/>
  <c r="H55" i="6" a="1"/>
  <c r="H55" i="6" s="1"/>
  <c r="T55" i="5" s="1"/>
  <c r="CI49" i="6"/>
  <c r="D56" i="6"/>
  <c r="A55" i="6"/>
  <c r="A57" i="12"/>
  <c r="B57" i="6"/>
  <c r="C58" i="5"/>
  <c r="G57" i="5"/>
  <c r="AD57" i="5"/>
  <c r="H57" i="5"/>
  <c r="F57" i="5"/>
  <c r="E57" i="5"/>
  <c r="W57" i="5"/>
  <c r="H57" i="12" s="1"/>
  <c r="B57" i="5"/>
  <c r="N57" i="5"/>
  <c r="AE57" i="5"/>
  <c r="AW49" i="6"/>
  <c r="J56" i="12" a="1"/>
  <c r="J56" i="12" s="1"/>
  <c r="L56" i="12" a="1"/>
  <c r="L56" i="12" s="1"/>
  <c r="G54" i="12"/>
  <c r="CI19" i="6"/>
  <c r="CI12" i="6"/>
  <c r="AW33" i="6"/>
  <c r="AW34" i="6"/>
  <c r="AW35" i="6"/>
  <c r="AW36" i="6"/>
  <c r="AW37" i="6"/>
  <c r="AW38" i="6"/>
  <c r="AW39" i="6"/>
  <c r="AW40" i="6"/>
  <c r="AW41" i="6"/>
  <c r="AW42" i="6"/>
  <c r="AW43" i="6"/>
  <c r="AW44" i="6"/>
  <c r="AW45" i="6"/>
  <c r="AW46" i="6"/>
  <c r="AW47" i="6"/>
  <c r="AW48" i="6"/>
  <c r="CJ13" i="6"/>
  <c r="CI48" i="6"/>
  <c r="CI38" i="6"/>
  <c r="CI35" i="6"/>
  <c r="CI45" i="6"/>
  <c r="CI42" i="6"/>
  <c r="CI43" i="6"/>
  <c r="CI33" i="6"/>
  <c r="CI46" i="6"/>
  <c r="CI41" i="6"/>
  <c r="CI40" i="6"/>
  <c r="CI44" i="6"/>
  <c r="CI39" i="6"/>
  <c r="CI47" i="6"/>
  <c r="CI36" i="6"/>
  <c r="CI34" i="6"/>
  <c r="CI37" i="6"/>
  <c r="CI28" i="6"/>
  <c r="BQ48" i="6"/>
  <c r="BQ34" i="6"/>
  <c r="BQ43" i="6"/>
  <c r="BQ35" i="6"/>
  <c r="BQ47" i="6"/>
  <c r="BQ39" i="6"/>
  <c r="BQ37" i="6"/>
  <c r="BQ36" i="6"/>
  <c r="BQ33" i="6"/>
  <c r="BQ45" i="6"/>
  <c r="BQ42" i="6"/>
  <c r="BQ41" i="6"/>
  <c r="BQ44" i="6"/>
  <c r="BQ40" i="6"/>
  <c r="BQ46" i="6"/>
  <c r="BQ38" i="6"/>
  <c r="CI27" i="6"/>
  <c r="CI18" i="6"/>
  <c r="CI25" i="6"/>
  <c r="CI30" i="6"/>
  <c r="CI26" i="6"/>
  <c r="CI20" i="6"/>
  <c r="CI32" i="6"/>
  <c r="CI24" i="6"/>
  <c r="CI31" i="6"/>
  <c r="CI22" i="6"/>
  <c r="BQ32" i="6"/>
  <c r="BQ31" i="6"/>
  <c r="AW31" i="6"/>
  <c r="AW32" i="6"/>
  <c r="BQ20" i="6"/>
  <c r="AW16" i="6"/>
  <c r="AW17" i="6"/>
  <c r="AW21" i="6"/>
  <c r="AW23" i="6"/>
  <c r="AW29" i="6"/>
  <c r="AW28" i="6"/>
  <c r="AW30" i="6"/>
  <c r="BQ12" i="6"/>
  <c r="BR13" i="6"/>
  <c r="BQ18" i="6"/>
  <c r="BQ19" i="6"/>
  <c r="BQ22" i="6"/>
  <c r="BQ24" i="6"/>
  <c r="BQ25" i="6"/>
  <c r="BQ30" i="6"/>
  <c r="BQ28" i="6"/>
  <c r="BQ29" i="6"/>
  <c r="BQ26" i="6"/>
  <c r="BQ27" i="6"/>
  <c r="AX12" i="6"/>
  <c r="AY13" i="6"/>
  <c r="B27" i="9"/>
  <c r="U12" i="9"/>
  <c r="V12" i="10"/>
  <c r="U11" i="10"/>
  <c r="M53" i="6" l="1"/>
  <c r="CI53" i="6" s="1"/>
  <c r="CI51" i="6"/>
  <c r="AW50" i="6"/>
  <c r="AW51" i="6"/>
  <c r="A56" i="6"/>
  <c r="AW52" i="6"/>
  <c r="AU51" i="6"/>
  <c r="BE51" i="6"/>
  <c r="BN51" i="6"/>
  <c r="AQ51" i="6"/>
  <c r="BY51" i="6"/>
  <c r="BD51" i="6"/>
  <c r="AT51" i="6"/>
  <c r="BG51" i="6"/>
  <c r="BM51" i="6"/>
  <c r="CB51" i="6"/>
  <c r="BI51" i="6"/>
  <c r="CD51" i="6"/>
  <c r="CF51" i="6"/>
  <c r="BC51" i="6"/>
  <c r="BF51" i="6"/>
  <c r="BL51" i="6"/>
  <c r="BX51" i="6"/>
  <c r="AR51" i="6"/>
  <c r="CA51" i="6"/>
  <c r="CE51" i="6"/>
  <c r="AS51" i="6"/>
  <c r="CC51" i="6"/>
  <c r="BK51" i="6"/>
  <c r="BP51" i="6"/>
  <c r="CH51" i="6"/>
  <c r="BZ51" i="6"/>
  <c r="BW51" i="6"/>
  <c r="BH51" i="6"/>
  <c r="BO51" i="6"/>
  <c r="CG51" i="6"/>
  <c r="BJ51" i="6"/>
  <c r="BV51" i="6"/>
  <c r="AP51" i="6"/>
  <c r="AV51" i="6"/>
  <c r="K56" i="12"/>
  <c r="BX50" i="6"/>
  <c r="BH50" i="6"/>
  <c r="AR50" i="6"/>
  <c r="CA50" i="6"/>
  <c r="BD50" i="6"/>
  <c r="CD50" i="6"/>
  <c r="AT50" i="6"/>
  <c r="BL50" i="6"/>
  <c r="BK50" i="6"/>
  <c r="BY50" i="6"/>
  <c r="AS50" i="6"/>
  <c r="BE50" i="6"/>
  <c r="BZ50" i="6"/>
  <c r="BW50" i="6"/>
  <c r="BV50" i="6"/>
  <c r="CE50" i="6"/>
  <c r="BN50" i="6"/>
  <c r="CB50" i="6"/>
  <c r="AU50" i="6"/>
  <c r="BG50" i="6"/>
  <c r="BP50" i="6"/>
  <c r="AV50" i="6"/>
  <c r="CF50" i="6"/>
  <c r="BM50" i="6"/>
  <c r="AP50" i="6"/>
  <c r="CC50" i="6"/>
  <c r="BO50" i="6"/>
  <c r="BJ50" i="6"/>
  <c r="CG50" i="6"/>
  <c r="AQ50" i="6"/>
  <c r="BF50" i="6"/>
  <c r="BC50" i="6"/>
  <c r="BI50" i="6"/>
  <c r="CH50" i="6"/>
  <c r="AU52" i="6"/>
  <c r="AS52" i="6"/>
  <c r="AV52" i="6"/>
  <c r="CE52" i="6"/>
  <c r="BM52" i="6"/>
  <c r="AP52" i="6"/>
  <c r="AQ52" i="6"/>
  <c r="BW52" i="6"/>
  <c r="CC52" i="6"/>
  <c r="BJ52" i="6"/>
  <c r="AO52" i="6"/>
  <c r="BI52" i="6"/>
  <c r="AR52" i="6"/>
  <c r="BE52" i="6"/>
  <c r="AT52" i="6"/>
  <c r="BD52" i="6"/>
  <c r="CB52" i="6"/>
  <c r="AL52" i="6"/>
  <c r="CF52" i="6"/>
  <c r="BF52" i="6"/>
  <c r="CH52" i="6"/>
  <c r="AN52" i="6"/>
  <c r="AM52" i="6"/>
  <c r="CG52" i="6"/>
  <c r="BX52" i="6"/>
  <c r="CD52" i="6"/>
  <c r="BO52" i="6"/>
  <c r="BK52" i="6"/>
  <c r="CA52" i="6"/>
  <c r="BP52" i="6"/>
  <c r="AJ52" i="6"/>
  <c r="AK52" i="6"/>
  <c r="BL52" i="6"/>
  <c r="BG52" i="6"/>
  <c r="BC52" i="6"/>
  <c r="BH52" i="6"/>
  <c r="BN52" i="6"/>
  <c r="BV52" i="6"/>
  <c r="BZ52" i="6"/>
  <c r="BY52" i="6"/>
  <c r="BQ50" i="6"/>
  <c r="BQ52" i="6"/>
  <c r="D57" i="6"/>
  <c r="H56" i="6" a="1"/>
  <c r="H56" i="6" s="1"/>
  <c r="T56" i="5" s="1"/>
  <c r="G55" i="12"/>
  <c r="A58" i="12"/>
  <c r="B58" i="6"/>
  <c r="AE58" i="5"/>
  <c r="C59" i="5"/>
  <c r="H58" i="5"/>
  <c r="AD58" i="5"/>
  <c r="G58" i="5"/>
  <c r="F58" i="5"/>
  <c r="E58" i="5"/>
  <c r="B58" i="5"/>
  <c r="W58" i="5"/>
  <c r="H58" i="12" s="1"/>
  <c r="N58" i="5"/>
  <c r="AX49" i="6"/>
  <c r="AX50" i="6"/>
  <c r="AX51" i="6"/>
  <c r="AX52" i="6"/>
  <c r="BR49" i="6"/>
  <c r="BR52" i="6"/>
  <c r="BR50" i="6"/>
  <c r="BR51" i="6"/>
  <c r="CJ30" i="6"/>
  <c r="CJ51" i="6"/>
  <c r="CJ49" i="6"/>
  <c r="CJ50" i="6"/>
  <c r="CJ52" i="6"/>
  <c r="CJ24" i="6"/>
  <c r="CJ19" i="6"/>
  <c r="CK13" i="6"/>
  <c r="CJ20" i="6"/>
  <c r="CJ18" i="6"/>
  <c r="CJ27" i="6"/>
  <c r="CJ12" i="6"/>
  <c r="CJ32" i="6"/>
  <c r="CJ26" i="6"/>
  <c r="CJ31" i="6"/>
  <c r="CJ22" i="6"/>
  <c r="CJ25" i="6"/>
  <c r="CJ28" i="6"/>
  <c r="CJ29" i="6"/>
  <c r="CJ48" i="6"/>
  <c r="CJ42" i="6"/>
  <c r="CJ41" i="6"/>
  <c r="CJ44" i="6"/>
  <c r="CJ40" i="6"/>
  <c r="CJ43" i="6"/>
  <c r="CJ34" i="6"/>
  <c r="CJ46" i="6"/>
  <c r="CJ36" i="6"/>
  <c r="CJ47" i="6"/>
  <c r="CJ39" i="6"/>
  <c r="CJ37" i="6"/>
  <c r="CJ35" i="6"/>
  <c r="CJ45" i="6"/>
  <c r="CJ38" i="6"/>
  <c r="CJ33" i="6"/>
  <c r="AX33" i="6"/>
  <c r="AX34" i="6"/>
  <c r="AX35" i="6"/>
  <c r="AX36" i="6"/>
  <c r="AX37" i="6"/>
  <c r="AX38" i="6"/>
  <c r="AX39" i="6"/>
  <c r="AX40" i="6"/>
  <c r="AX41" i="6"/>
  <c r="AX42" i="6"/>
  <c r="AX43" i="6"/>
  <c r="AX44" i="6"/>
  <c r="AX45" i="6"/>
  <c r="AX46" i="6"/>
  <c r="AX47" i="6"/>
  <c r="AX48" i="6"/>
  <c r="CK33" i="6"/>
  <c r="BR48" i="6"/>
  <c r="BR34" i="6"/>
  <c r="BR38" i="6"/>
  <c r="BR44" i="6"/>
  <c r="BR47" i="6"/>
  <c r="BR36" i="6"/>
  <c r="BR35" i="6"/>
  <c r="BR42" i="6"/>
  <c r="BR41" i="6"/>
  <c r="BR43" i="6"/>
  <c r="BR33" i="6"/>
  <c r="BR45" i="6"/>
  <c r="BR39" i="6"/>
  <c r="BR40" i="6"/>
  <c r="BR46" i="6"/>
  <c r="BR37" i="6"/>
  <c r="AX31" i="6"/>
  <c r="AX32" i="6"/>
  <c r="BR32" i="6"/>
  <c r="BR31" i="6"/>
  <c r="BR20" i="6"/>
  <c r="BR12" i="6"/>
  <c r="BS13" i="6"/>
  <c r="BR18" i="6"/>
  <c r="BR19" i="6"/>
  <c r="BR22" i="6"/>
  <c r="BR24" i="6"/>
  <c r="BR30" i="6"/>
  <c r="BR26" i="6"/>
  <c r="BR28" i="6"/>
  <c r="BR25" i="6"/>
  <c r="BR27" i="6"/>
  <c r="BR29" i="6"/>
  <c r="AY12" i="6"/>
  <c r="AZ13" i="6"/>
  <c r="AX16" i="6"/>
  <c r="AX17" i="6"/>
  <c r="AX21" i="6"/>
  <c r="AX23" i="6"/>
  <c r="AX29" i="6"/>
  <c r="AX28" i="6"/>
  <c r="AX30" i="6"/>
  <c r="E163" i="12"/>
  <c r="F163" i="6"/>
  <c r="B28" i="9"/>
  <c r="V12" i="9"/>
  <c r="W12" i="10"/>
  <c r="V11" i="10"/>
  <c r="BR53" i="6" l="1"/>
  <c r="AX53" i="6"/>
  <c r="BZ53" i="6"/>
  <c r="BV53" i="6"/>
  <c r="M56" i="6"/>
  <c r="BW56" i="6" s="1"/>
  <c r="CJ53" i="6"/>
  <c r="AW53" i="6"/>
  <c r="BQ53" i="6"/>
  <c r="AV53" i="6"/>
  <c r="CF53" i="6"/>
  <c r="BL53" i="6"/>
  <c r="AS53" i="6"/>
  <c r="BG53" i="6"/>
  <c r="BN53" i="6"/>
  <c r="CG53" i="6"/>
  <c r="BO53" i="6"/>
  <c r="BJ53" i="6"/>
  <c r="BC53" i="6"/>
  <c r="BM53" i="6"/>
  <c r="AR53" i="6"/>
  <c r="BK53" i="6"/>
  <c r="BE53" i="6"/>
  <c r="BH53" i="6"/>
  <c r="CD53" i="6"/>
  <c r="A57" i="6"/>
  <c r="M57" i="6" s="1"/>
  <c r="CB57" i="6" s="1"/>
  <c r="CC53" i="6"/>
  <c r="CH53" i="6"/>
  <c r="BY53" i="6"/>
  <c r="AT53" i="6"/>
  <c r="AQ53" i="6"/>
  <c r="BF53" i="6"/>
  <c r="CB53" i="6"/>
  <c r="AP53" i="6"/>
  <c r="BX53" i="6"/>
  <c r="CE53" i="6"/>
  <c r="BD53" i="6"/>
  <c r="AU53" i="6"/>
  <c r="BI53" i="6"/>
  <c r="CA53" i="6"/>
  <c r="BP53" i="6"/>
  <c r="M54" i="6"/>
  <c r="CH54" i="6" s="1"/>
  <c r="BW53" i="6"/>
  <c r="M55" i="6"/>
  <c r="CK55" i="6" s="1"/>
  <c r="AY49" i="6"/>
  <c r="AY50" i="6"/>
  <c r="AY51" i="6"/>
  <c r="AY52" i="6"/>
  <c r="AY53" i="6"/>
  <c r="G56" i="12"/>
  <c r="A59" i="12"/>
  <c r="H59" i="5"/>
  <c r="G59" i="5"/>
  <c r="D59" i="5"/>
  <c r="B59" i="12" s="1"/>
  <c r="B59" i="6"/>
  <c r="AE59" i="5"/>
  <c r="K59" i="5"/>
  <c r="J59" i="5"/>
  <c r="N59" i="5"/>
  <c r="F59" i="5"/>
  <c r="E59" i="5"/>
  <c r="AD59" i="5"/>
  <c r="B59" i="5"/>
  <c r="C60" i="5" s="1"/>
  <c r="BS53" i="6"/>
  <c r="BS52" i="6"/>
  <c r="BS50" i="6"/>
  <c r="BS51" i="6"/>
  <c r="BS49" i="6"/>
  <c r="H57" i="6" a="1"/>
  <c r="H57" i="6" s="1"/>
  <c r="T57" i="5" s="1"/>
  <c r="CK45" i="6"/>
  <c r="CK53" i="6"/>
  <c r="CK49" i="6"/>
  <c r="CK50" i="6"/>
  <c r="CK52" i="6"/>
  <c r="CK51" i="6"/>
  <c r="D58" i="6"/>
  <c r="A58" i="6" s="1"/>
  <c r="CK47" i="6"/>
  <c r="CK22" i="6"/>
  <c r="CK36" i="6"/>
  <c r="CK48" i="6"/>
  <c r="CK32" i="6"/>
  <c r="CK18" i="6"/>
  <c r="CK29" i="6"/>
  <c r="CK12" i="6"/>
  <c r="CK31" i="6"/>
  <c r="CK34" i="6"/>
  <c r="CK30" i="6"/>
  <c r="CK40" i="6"/>
  <c r="CK26" i="6"/>
  <c r="CK38" i="6"/>
  <c r="CK42" i="6"/>
  <c r="CK43" i="6"/>
  <c r="CK28" i="6"/>
  <c r="CK37" i="6"/>
  <c r="CK19" i="6"/>
  <c r="CK25" i="6"/>
  <c r="CK44" i="6"/>
  <c r="CK35" i="6"/>
  <c r="CK27" i="6"/>
  <c r="CK39" i="6"/>
  <c r="CK46" i="6"/>
  <c r="CK20" i="6"/>
  <c r="CL13" i="6"/>
  <c r="CK24" i="6"/>
  <c r="CK41" i="6"/>
  <c r="CL33" i="6"/>
  <c r="BS48" i="6"/>
  <c r="BS39" i="6"/>
  <c r="BS38" i="6"/>
  <c r="BS44" i="6"/>
  <c r="BS33" i="6"/>
  <c r="BS37" i="6"/>
  <c r="BS34" i="6"/>
  <c r="BS45" i="6"/>
  <c r="BS41" i="6"/>
  <c r="BS47" i="6"/>
  <c r="BS42" i="6"/>
  <c r="BS43" i="6"/>
  <c r="BS40" i="6"/>
  <c r="BS35" i="6"/>
  <c r="BS46" i="6"/>
  <c r="BS36" i="6"/>
  <c r="AY33" i="6"/>
  <c r="AY34" i="6"/>
  <c r="AY35" i="6"/>
  <c r="AY36" i="6"/>
  <c r="AY37" i="6"/>
  <c r="AY38" i="6"/>
  <c r="AY39" i="6"/>
  <c r="AY40" i="6"/>
  <c r="AY41" i="6"/>
  <c r="AY42" i="6"/>
  <c r="AY43" i="6"/>
  <c r="AY44" i="6"/>
  <c r="AY45" i="6"/>
  <c r="AY46" i="6"/>
  <c r="AY47" i="6"/>
  <c r="AY48" i="6"/>
  <c r="AY20" i="6"/>
  <c r="AY31" i="6"/>
  <c r="AY32" i="6"/>
  <c r="BS32" i="6"/>
  <c r="BS31" i="6"/>
  <c r="BS20" i="6"/>
  <c r="AZ12" i="6"/>
  <c r="BA13" i="6"/>
  <c r="BA12" i="6" s="1"/>
  <c r="AY16" i="6"/>
  <c r="AY17" i="6"/>
  <c r="AY18" i="6"/>
  <c r="AY19" i="6"/>
  <c r="AY21" i="6"/>
  <c r="AY22" i="6"/>
  <c r="AY23" i="6"/>
  <c r="AY24" i="6"/>
  <c r="AY25" i="6"/>
  <c r="AY26" i="6"/>
  <c r="AY27" i="6"/>
  <c r="AY28" i="6"/>
  <c r="AY29" i="6"/>
  <c r="AY30" i="6"/>
  <c r="BS12" i="6"/>
  <c r="BT13" i="6"/>
  <c r="BS18" i="6"/>
  <c r="BS19" i="6"/>
  <c r="BS22" i="6"/>
  <c r="BS24" i="6"/>
  <c r="BS29" i="6"/>
  <c r="BS28" i="6"/>
  <c r="BS25" i="6"/>
  <c r="BS26" i="6"/>
  <c r="BS27" i="6"/>
  <c r="BS30" i="6"/>
  <c r="B29" i="9"/>
  <c r="W12" i="9"/>
  <c r="W11" i="10"/>
  <c r="X12" i="10"/>
  <c r="BO56" i="6" l="1"/>
  <c r="CG56" i="6"/>
  <c r="AU56" i="6"/>
  <c r="BP56" i="6"/>
  <c r="AY56" i="6"/>
  <c r="AP56" i="6"/>
  <c r="BZ56" i="6"/>
  <c r="BN56" i="6"/>
  <c r="BV56" i="6"/>
  <c r="CF56" i="6"/>
  <c r="CJ56" i="6"/>
  <c r="AS56" i="6"/>
  <c r="AX56" i="6"/>
  <c r="BS56" i="6"/>
  <c r="AQ56" i="6"/>
  <c r="BE56" i="6"/>
  <c r="CE56" i="6"/>
  <c r="BX56" i="6"/>
  <c r="AR56" i="6"/>
  <c r="CH56" i="6"/>
  <c r="BY56" i="6"/>
  <c r="BD56" i="6"/>
  <c r="BG56" i="6"/>
  <c r="CI56" i="6"/>
  <c r="BJ56" i="6"/>
  <c r="CK56" i="6"/>
  <c r="BR56" i="6"/>
  <c r="BH56" i="6"/>
  <c r="CA56" i="6"/>
  <c r="CB56" i="6"/>
  <c r="CD56" i="6"/>
  <c r="BM56" i="6"/>
  <c r="BT56" i="6"/>
  <c r="AW56" i="6"/>
  <c r="BL56" i="6"/>
  <c r="BC56" i="6"/>
  <c r="CC56" i="6"/>
  <c r="BF56" i="6"/>
  <c r="AT56" i="6"/>
  <c r="BI56" i="6"/>
  <c r="BK56" i="6"/>
  <c r="BQ56" i="6"/>
  <c r="AV56" i="6"/>
  <c r="BS55" i="6"/>
  <c r="BS54" i="6"/>
  <c r="AT54" i="6"/>
  <c r="BM54" i="6"/>
  <c r="BF54" i="6"/>
  <c r="CD54" i="6"/>
  <c r="AW54" i="6"/>
  <c r="CF54" i="6"/>
  <c r="CI54" i="6"/>
  <c r="BC54" i="6"/>
  <c r="BX54" i="6"/>
  <c r="CK54" i="6"/>
  <c r="BI54" i="6"/>
  <c r="BD54" i="6"/>
  <c r="BO54" i="6"/>
  <c r="BK54" i="6"/>
  <c r="BE54" i="6"/>
  <c r="CJ54" i="6"/>
  <c r="AX54" i="6"/>
  <c r="BR54" i="6"/>
  <c r="CG54" i="6"/>
  <c r="BW54" i="6"/>
  <c r="CA54" i="6"/>
  <c r="CB54" i="6"/>
  <c r="BY54" i="6"/>
  <c r="BL54" i="6"/>
  <c r="AQ54" i="6"/>
  <c r="AR54" i="6"/>
  <c r="BH54" i="6"/>
  <c r="AP54" i="6"/>
  <c r="CC54" i="6"/>
  <c r="AY55" i="6"/>
  <c r="BQ54" i="6"/>
  <c r="AU54" i="6"/>
  <c r="BZ54" i="6"/>
  <c r="AV54" i="6"/>
  <c r="AS54" i="6"/>
  <c r="AY54" i="6"/>
  <c r="BG54" i="6"/>
  <c r="BJ54" i="6"/>
  <c r="BV54" i="6"/>
  <c r="BP54" i="6"/>
  <c r="CE54" i="6"/>
  <c r="BN54" i="6"/>
  <c r="CI55" i="6"/>
  <c r="BK55" i="6"/>
  <c r="BQ55" i="6"/>
  <c r="BN55" i="6"/>
  <c r="BD55" i="6"/>
  <c r="AR55" i="6"/>
  <c r="BV55" i="6"/>
  <c r="BH55" i="6"/>
  <c r="BL55" i="6"/>
  <c r="CA55" i="6"/>
  <c r="CE55" i="6"/>
  <c r="CJ55" i="6"/>
  <c r="AT55" i="6"/>
  <c r="CF55" i="6"/>
  <c r="BF55" i="6"/>
  <c r="CD55" i="6"/>
  <c r="BY55" i="6"/>
  <c r="CH55" i="6"/>
  <c r="AS55" i="6"/>
  <c r="BP55" i="6"/>
  <c r="BX55" i="6"/>
  <c r="BM55" i="6"/>
  <c r="BW55" i="6"/>
  <c r="CC55" i="6"/>
  <c r="BE55" i="6"/>
  <c r="AW55" i="6"/>
  <c r="BI55" i="6"/>
  <c r="AV55" i="6"/>
  <c r="BC55" i="6"/>
  <c r="BO55" i="6"/>
  <c r="AQ55" i="6"/>
  <c r="AX55" i="6"/>
  <c r="AU55" i="6"/>
  <c r="CG55" i="6"/>
  <c r="BZ55" i="6"/>
  <c r="BG55" i="6"/>
  <c r="BR55" i="6"/>
  <c r="AP55" i="6"/>
  <c r="BJ55" i="6"/>
  <c r="CB55" i="6"/>
  <c r="CL57" i="6"/>
  <c r="CJ57" i="6"/>
  <c r="AY57" i="6"/>
  <c r="BS57" i="6"/>
  <c r="BP57" i="6"/>
  <c r="CC57" i="6"/>
  <c r="CG57" i="6"/>
  <c r="BG57" i="6"/>
  <c r="BF57" i="6"/>
  <c r="BH57" i="6"/>
  <c r="BY57" i="6"/>
  <c r="CH57" i="6"/>
  <c r="AX57" i="6"/>
  <c r="BA49" i="6"/>
  <c r="BA50" i="6"/>
  <c r="BA51" i="6"/>
  <c r="BA52" i="6"/>
  <c r="BA53" i="6"/>
  <c r="BA54" i="6"/>
  <c r="BA55" i="6"/>
  <c r="BA56" i="6"/>
  <c r="BT57" i="6"/>
  <c r="J59" i="12" a="1"/>
  <c r="J59" i="12" s="1"/>
  <c r="L59" i="12" a="1"/>
  <c r="L59" i="12" s="1"/>
  <c r="AR57" i="6"/>
  <c r="AO57" i="6"/>
  <c r="AZ49" i="6"/>
  <c r="AZ50" i="6"/>
  <c r="AZ51" i="6"/>
  <c r="AZ52" i="6"/>
  <c r="AZ53" i="6"/>
  <c r="AZ54" i="6"/>
  <c r="AZ55" i="6"/>
  <c r="AZ56" i="6"/>
  <c r="BJ57" i="6"/>
  <c r="CK57" i="6"/>
  <c r="BE57" i="6"/>
  <c r="AJ57" i="6"/>
  <c r="BA57" i="6"/>
  <c r="M58" i="6"/>
  <c r="BN58" i="6" s="1"/>
  <c r="H58" i="6" a="1"/>
  <c r="H58" i="6" s="1"/>
  <c r="T58" i="5" s="1"/>
  <c r="AL57" i="6"/>
  <c r="BK57" i="6"/>
  <c r="BQ57" i="6"/>
  <c r="AV57" i="6"/>
  <c r="BN57" i="6"/>
  <c r="BX57" i="6"/>
  <c r="BL57" i="6"/>
  <c r="CD57" i="6"/>
  <c r="BI57" i="6"/>
  <c r="CA57" i="6"/>
  <c r="A60" i="12"/>
  <c r="B60" i="6"/>
  <c r="C61" i="5"/>
  <c r="H60" i="5"/>
  <c r="G60" i="5"/>
  <c r="AE60" i="5"/>
  <c r="N60" i="5"/>
  <c r="F60" i="5"/>
  <c r="E60" i="5"/>
  <c r="AD60" i="5"/>
  <c r="B60" i="5"/>
  <c r="W60" i="5"/>
  <c r="H60" i="12" s="1"/>
  <c r="CL53" i="6"/>
  <c r="CL50" i="6"/>
  <c r="CL52" i="6"/>
  <c r="CL51" i="6"/>
  <c r="CL49" i="6"/>
  <c r="CL54" i="6"/>
  <c r="CL55" i="6"/>
  <c r="AM57" i="6"/>
  <c r="AS57" i="6"/>
  <c r="BV57" i="6"/>
  <c r="G57" i="12"/>
  <c r="AT57" i="6"/>
  <c r="AK57" i="6"/>
  <c r="BR57" i="6"/>
  <c r="AN57" i="6"/>
  <c r="AP57" i="6"/>
  <c r="D59" i="6"/>
  <c r="CF57" i="6"/>
  <c r="BW57" i="6"/>
  <c r="CE57" i="6"/>
  <c r="AZ57" i="6"/>
  <c r="BC57" i="6"/>
  <c r="AW57" i="6"/>
  <c r="AQ57" i="6"/>
  <c r="BM57" i="6"/>
  <c r="BO57" i="6"/>
  <c r="BT50" i="6"/>
  <c r="BT51" i="6"/>
  <c r="BT53" i="6"/>
  <c r="BT49" i="6"/>
  <c r="BT52" i="6"/>
  <c r="BT54" i="6"/>
  <c r="BT55" i="6"/>
  <c r="CI57" i="6"/>
  <c r="BD57" i="6"/>
  <c r="AU57" i="6"/>
  <c r="BZ57" i="6"/>
  <c r="CL56" i="6"/>
  <c r="CL22" i="6"/>
  <c r="CL19" i="6"/>
  <c r="CL40" i="6"/>
  <c r="CL26" i="6"/>
  <c r="CL41" i="6"/>
  <c r="CL18" i="6"/>
  <c r="CL36" i="6"/>
  <c r="CM13" i="6"/>
  <c r="CL29" i="6"/>
  <c r="CL12" i="6"/>
  <c r="CL47" i="6"/>
  <c r="CL30" i="6"/>
  <c r="CL37" i="6"/>
  <c r="CL27" i="6"/>
  <c r="CL46" i="6"/>
  <c r="CL28" i="6"/>
  <c r="CL48" i="6"/>
  <c r="CL25" i="6"/>
  <c r="CL31" i="6"/>
  <c r="CL24" i="6"/>
  <c r="CL32" i="6"/>
  <c r="CL20" i="6"/>
  <c r="CL39" i="6"/>
  <c r="CL34" i="6"/>
  <c r="CL42" i="6"/>
  <c r="CL35" i="6"/>
  <c r="CL43" i="6"/>
  <c r="CL38" i="6"/>
  <c r="CL44" i="6"/>
  <c r="CL45" i="6"/>
  <c r="AZ33" i="6"/>
  <c r="AZ34" i="6"/>
  <c r="AZ35" i="6"/>
  <c r="AZ36" i="6"/>
  <c r="AZ37" i="6"/>
  <c r="AZ38" i="6"/>
  <c r="AZ39" i="6"/>
  <c r="AZ40" i="6"/>
  <c r="AZ41" i="6"/>
  <c r="AZ42" i="6"/>
  <c r="AZ43" i="6"/>
  <c r="AZ44" i="6"/>
  <c r="AZ45" i="6"/>
  <c r="AZ46" i="6"/>
  <c r="AZ47" i="6"/>
  <c r="AZ48" i="6"/>
  <c r="BA33" i="6"/>
  <c r="BA34" i="6"/>
  <c r="BA35" i="6"/>
  <c r="BA36" i="6"/>
  <c r="BA37" i="6"/>
  <c r="BA38" i="6"/>
  <c r="BA39" i="6"/>
  <c r="BA40" i="6"/>
  <c r="BA41" i="6"/>
  <c r="BA42" i="6"/>
  <c r="BA43" i="6"/>
  <c r="BA44" i="6"/>
  <c r="BA45" i="6"/>
  <c r="BA46" i="6"/>
  <c r="BA47" i="6"/>
  <c r="BA48" i="6"/>
  <c r="BT48" i="6"/>
  <c r="BT40" i="6"/>
  <c r="BT38" i="6"/>
  <c r="BT35" i="6"/>
  <c r="BT33" i="6"/>
  <c r="BT42" i="6"/>
  <c r="BT45" i="6"/>
  <c r="BT43" i="6"/>
  <c r="BT39" i="6"/>
  <c r="BT44" i="6"/>
  <c r="BT36" i="6"/>
  <c r="BT34" i="6"/>
  <c r="BT47" i="6"/>
  <c r="BT46" i="6"/>
  <c r="BT37" i="6"/>
  <c r="BT41" i="6"/>
  <c r="CM33" i="6"/>
  <c r="CM41" i="6"/>
  <c r="AZ20" i="6"/>
  <c r="AZ31" i="6"/>
  <c r="AZ32" i="6"/>
  <c r="BT20" i="6"/>
  <c r="BT31" i="6"/>
  <c r="BT32" i="6"/>
  <c r="BA20" i="6"/>
  <c r="BA31" i="6"/>
  <c r="BA32" i="6"/>
  <c r="BT12" i="6"/>
  <c r="BT18" i="6"/>
  <c r="BT19" i="6"/>
  <c r="BT22" i="6"/>
  <c r="BT24" i="6"/>
  <c r="BT28" i="6"/>
  <c r="BT25" i="6"/>
  <c r="BT27" i="6"/>
  <c r="BT29" i="6"/>
  <c r="BT30" i="6"/>
  <c r="BT26" i="6"/>
  <c r="BA16" i="6"/>
  <c r="BA17" i="6"/>
  <c r="BA18" i="6"/>
  <c r="BA21" i="6"/>
  <c r="BA19" i="6"/>
  <c r="BA22" i="6"/>
  <c r="BA23" i="6"/>
  <c r="BA24" i="6"/>
  <c r="BA25" i="6"/>
  <c r="BA26" i="6"/>
  <c r="BA27" i="6"/>
  <c r="BA28" i="6"/>
  <c r="BA29" i="6"/>
  <c r="BA30" i="6"/>
  <c r="AZ16" i="6"/>
  <c r="AZ17" i="6"/>
  <c r="AZ18" i="6"/>
  <c r="AZ21" i="6"/>
  <c r="AZ19" i="6"/>
  <c r="AZ22" i="6"/>
  <c r="AZ23" i="6"/>
  <c r="AZ24" i="6"/>
  <c r="AZ26" i="6"/>
  <c r="AZ25" i="6"/>
  <c r="AZ27" i="6"/>
  <c r="AZ29" i="6"/>
  <c r="AZ28" i="6"/>
  <c r="AZ30" i="6"/>
  <c r="B30" i="9"/>
  <c r="X12" i="9"/>
  <c r="Y12" i="10"/>
  <c r="X11" i="10"/>
  <c r="K59" i="12" l="1"/>
  <c r="BL58" i="6"/>
  <c r="BC58" i="6"/>
  <c r="BP58" i="6"/>
  <c r="BQ58" i="6"/>
  <c r="BZ58" i="6"/>
  <c r="H59" i="6" a="1"/>
  <c r="H59" i="6" s="1"/>
  <c r="T59" i="5" s="1"/>
  <c r="CD58" i="6"/>
  <c r="AJ58" i="6"/>
  <c r="BK58" i="6"/>
  <c r="CA58" i="6"/>
  <c r="AU58" i="6"/>
  <c r="CM47" i="6"/>
  <c r="CM53" i="6"/>
  <c r="CM52" i="6"/>
  <c r="CM49" i="6"/>
  <c r="CM50" i="6"/>
  <c r="CM54" i="6"/>
  <c r="CM51" i="6"/>
  <c r="CM55" i="6"/>
  <c r="CM56" i="6"/>
  <c r="AY58" i="6"/>
  <c r="AV58" i="6"/>
  <c r="BX58" i="6"/>
  <c r="CM58" i="6"/>
  <c r="BH58" i="6"/>
  <c r="CK58" i="6"/>
  <c r="BI58" i="6"/>
  <c r="CJ58" i="6"/>
  <c r="AS58" i="6"/>
  <c r="BT58" i="6"/>
  <c r="BV58" i="6"/>
  <c r="AN58" i="6"/>
  <c r="BF58" i="6"/>
  <c r="CG58" i="6"/>
  <c r="BD58" i="6"/>
  <c r="CH58" i="6"/>
  <c r="AZ58" i="6"/>
  <c r="BR58" i="6"/>
  <c r="A61" i="12"/>
  <c r="B61" i="6"/>
  <c r="D61" i="5"/>
  <c r="B61" i="12" s="1"/>
  <c r="AE61" i="5"/>
  <c r="C62" i="5"/>
  <c r="K61" i="5"/>
  <c r="H61" i="5"/>
  <c r="G61" i="5"/>
  <c r="F61" i="5"/>
  <c r="E61" i="5"/>
  <c r="AD61" i="5"/>
  <c r="B61" i="5"/>
  <c r="N61" i="5"/>
  <c r="J61" i="5"/>
  <c r="BE58" i="6"/>
  <c r="AK58" i="6"/>
  <c r="BM58" i="6"/>
  <c r="CE58" i="6"/>
  <c r="G58" i="12"/>
  <c r="AW58" i="6"/>
  <c r="D60" i="6"/>
  <c r="BJ58" i="6"/>
  <c r="CL58" i="6"/>
  <c r="AT58" i="6"/>
  <c r="BO58" i="6"/>
  <c r="AM58" i="6"/>
  <c r="BW58" i="6"/>
  <c r="BG58" i="6"/>
  <c r="A59" i="6"/>
  <c r="AQ58" i="6"/>
  <c r="BY58" i="6"/>
  <c r="CI58" i="6"/>
  <c r="AO58" i="6"/>
  <c r="BS58" i="6"/>
  <c r="CM57" i="6"/>
  <c r="CC58" i="6"/>
  <c r="AP58" i="6"/>
  <c r="AL58" i="6"/>
  <c r="BA58" i="6"/>
  <c r="CF58" i="6"/>
  <c r="AR58" i="6"/>
  <c r="CB58" i="6"/>
  <c r="AX58" i="6"/>
  <c r="CM12" i="6"/>
  <c r="CM32" i="6"/>
  <c r="CM31" i="6"/>
  <c r="CM26" i="6"/>
  <c r="CM25" i="6"/>
  <c r="CM36" i="6"/>
  <c r="CM24" i="6"/>
  <c r="CM43" i="6"/>
  <c r="CM42" i="6"/>
  <c r="CM39" i="6"/>
  <c r="CM20" i="6"/>
  <c r="CM34" i="6"/>
  <c r="CM22" i="6"/>
  <c r="CM46" i="6"/>
  <c r="CM38" i="6"/>
  <c r="CM19" i="6"/>
  <c r="CM45" i="6"/>
  <c r="CM18" i="6"/>
  <c r="CM44" i="6"/>
  <c r="CM37" i="6"/>
  <c r="CM28" i="6"/>
  <c r="CM40" i="6"/>
  <c r="CM48" i="6"/>
  <c r="CM30" i="6"/>
  <c r="CM35" i="6"/>
  <c r="CM29" i="6"/>
  <c r="CM27" i="6"/>
  <c r="B31" i="9"/>
  <c r="Y12" i="9"/>
  <c r="Y11" i="10"/>
  <c r="Z12" i="10"/>
  <c r="A60" i="6" l="1"/>
  <c r="J61" i="12" a="1"/>
  <c r="J61" i="12" s="1"/>
  <c r="L61" i="12" a="1"/>
  <c r="L61" i="12" s="1"/>
  <c r="H60" i="6" a="1"/>
  <c r="H60" i="6" s="1"/>
  <c r="T60" i="5" s="1"/>
  <c r="G59" i="12"/>
  <c r="D61" i="6"/>
  <c r="M59" i="6"/>
  <c r="AX59" i="6" s="1"/>
  <c r="A62" i="12"/>
  <c r="B62" i="6"/>
  <c r="H62" i="5"/>
  <c r="G62" i="5"/>
  <c r="D62" i="5"/>
  <c r="B62" i="12" s="1"/>
  <c r="AE62" i="5"/>
  <c r="K62" i="5"/>
  <c r="J62" i="5"/>
  <c r="F62" i="5"/>
  <c r="E62" i="5"/>
  <c r="N62" i="5"/>
  <c r="AD62" i="5"/>
  <c r="B62" i="5"/>
  <c r="B32" i="9"/>
  <c r="Z12" i="9"/>
  <c r="Z11" i="10"/>
  <c r="AA12" i="10"/>
  <c r="A61" i="6" l="1"/>
  <c r="M60" i="6"/>
  <c r="BR60" i="6" s="1"/>
  <c r="AS59" i="6"/>
  <c r="G60" i="12"/>
  <c r="CK59" i="6"/>
  <c r="BG59" i="6"/>
  <c r="BO59" i="6"/>
  <c r="CD59" i="6"/>
  <c r="CH59" i="6"/>
  <c r="BY59" i="6"/>
  <c r="BC59" i="6"/>
  <c r="BL59" i="6"/>
  <c r="BW59" i="6"/>
  <c r="BT59" i="6"/>
  <c r="CE59" i="6"/>
  <c r="BQ59" i="6"/>
  <c r="BR59" i="6"/>
  <c r="CM59" i="6"/>
  <c r="BV59" i="6"/>
  <c r="CJ59" i="6"/>
  <c r="BF59" i="6"/>
  <c r="CA59" i="6"/>
  <c r="BX59" i="6"/>
  <c r="BN59" i="6"/>
  <c r="BJ59" i="6"/>
  <c r="CL59" i="6"/>
  <c r="BK59" i="6"/>
  <c r="CC59" i="6"/>
  <c r="BI59" i="6"/>
  <c r="BZ59" i="6"/>
  <c r="BP59" i="6"/>
  <c r="BH59" i="6"/>
  <c r="BM59" i="6"/>
  <c r="BD59" i="6"/>
  <c r="BE59" i="6"/>
  <c r="AZ59" i="6"/>
  <c r="CF59" i="6"/>
  <c r="AQ59" i="6"/>
  <c r="CG59" i="6"/>
  <c r="CI59" i="6"/>
  <c r="BS59" i="6"/>
  <c r="CB59" i="6"/>
  <c r="AU59" i="6"/>
  <c r="AW59" i="6"/>
  <c r="AP59" i="6"/>
  <c r="J62" i="12" a="1"/>
  <c r="J62" i="12" s="1"/>
  <c r="L62" i="12" a="1"/>
  <c r="L62" i="12" s="1"/>
  <c r="AT59" i="6"/>
  <c r="H61" i="6" a="1"/>
  <c r="H61" i="6" s="1"/>
  <c r="T61" i="5" s="1"/>
  <c r="BX60" i="6"/>
  <c r="AR59" i="6"/>
  <c r="AY59" i="6"/>
  <c r="CB60" i="6"/>
  <c r="AV59" i="6"/>
  <c r="BA59" i="6"/>
  <c r="C63" i="5"/>
  <c r="BC60" i="6"/>
  <c r="AY60" i="6"/>
  <c r="K61" i="12"/>
  <c r="D62" i="6"/>
  <c r="BJ60" i="6"/>
  <c r="B33" i="9"/>
  <c r="AA12" i="9"/>
  <c r="AB12" i="10"/>
  <c r="AA11" i="10"/>
  <c r="BE60" i="6" l="1"/>
  <c r="M61" i="6"/>
  <c r="BV61" i="6" s="1"/>
  <c r="BP60" i="6"/>
  <c r="BS60" i="6"/>
  <c r="BO60" i="6"/>
  <c r="AK60" i="6"/>
  <c r="BY60" i="6"/>
  <c r="CD60" i="6"/>
  <c r="BM60" i="6"/>
  <c r="AM60" i="6"/>
  <c r="AR60" i="6"/>
  <c r="BL60" i="6"/>
  <c r="BT60" i="6"/>
  <c r="CA60" i="6"/>
  <c r="AJ60" i="6"/>
  <c r="BW60" i="6"/>
  <c r="AZ60" i="6"/>
  <c r="BQ60" i="6"/>
  <c r="AW60" i="6"/>
  <c r="AU60" i="6"/>
  <c r="CC60" i="6"/>
  <c r="CM60" i="6"/>
  <c r="AP60" i="6"/>
  <c r="AX60" i="6"/>
  <c r="AS60" i="6"/>
  <c r="BZ60" i="6"/>
  <c r="CF60" i="6"/>
  <c r="AO60" i="6"/>
  <c r="AV60" i="6"/>
  <c r="CG60" i="6"/>
  <c r="CJ60" i="6"/>
  <c r="AN60" i="6"/>
  <c r="CL60" i="6"/>
  <c r="CI60" i="6"/>
  <c r="BH60" i="6"/>
  <c r="BF60" i="6"/>
  <c r="BA60" i="6"/>
  <c r="BK60" i="6"/>
  <c r="AL60" i="6"/>
  <c r="BD60" i="6"/>
  <c r="CH60" i="6"/>
  <c r="BG60" i="6"/>
  <c r="AQ60" i="6"/>
  <c r="BV60" i="6"/>
  <c r="AT60" i="6"/>
  <c r="BN60" i="6"/>
  <c r="CE60" i="6"/>
  <c r="CK60" i="6"/>
  <c r="BI60" i="6"/>
  <c r="H62" i="6" a="1"/>
  <c r="H62" i="6" s="1"/>
  <c r="T62" i="5" s="1"/>
  <c r="G61" i="12"/>
  <c r="K62" i="12"/>
  <c r="B63" i="6"/>
  <c r="A63" i="12"/>
  <c r="E63" i="5"/>
  <c r="D63" i="5"/>
  <c r="B63" i="12" s="1"/>
  <c r="AE63" i="5"/>
  <c r="C64" i="5"/>
  <c r="K63" i="5"/>
  <c r="J63" i="5"/>
  <c r="H63" i="5"/>
  <c r="G63" i="5"/>
  <c r="N63" i="5"/>
  <c r="F63" i="5"/>
  <c r="B63" i="5"/>
  <c r="AD63" i="5"/>
  <c r="A62" i="6"/>
  <c r="M62" i="6" s="1"/>
  <c r="B34" i="9"/>
  <c r="AB12" i="9"/>
  <c r="AB11" i="10"/>
  <c r="AC12" i="10"/>
  <c r="BW61" i="6" l="1"/>
  <c r="CE61" i="6"/>
  <c r="BJ61" i="6"/>
  <c r="BK61" i="6"/>
  <c r="BN61" i="6"/>
  <c r="CM61" i="6"/>
  <c r="AZ61" i="6"/>
  <c r="BT61" i="6"/>
  <c r="BL61" i="6"/>
  <c r="BE61" i="6"/>
  <c r="CJ61" i="6"/>
  <c r="AR61" i="6"/>
  <c r="BY61" i="6"/>
  <c r="BQ61" i="6"/>
  <c r="BA61" i="6"/>
  <c r="CC61" i="6"/>
  <c r="BF61" i="6"/>
  <c r="BO61" i="6"/>
  <c r="CL61" i="6"/>
  <c r="AX61" i="6"/>
  <c r="CI61" i="6"/>
  <c r="AU61" i="6"/>
  <c r="CA61" i="6"/>
  <c r="BZ61" i="6"/>
  <c r="CH61" i="6"/>
  <c r="BR61" i="6"/>
  <c r="BS61" i="6"/>
  <c r="AQ61" i="6"/>
  <c r="CD61" i="6"/>
  <c r="BI61" i="6"/>
  <c r="BP61" i="6"/>
  <c r="AW61" i="6"/>
  <c r="BD61" i="6"/>
  <c r="AS61" i="6"/>
  <c r="BH61" i="6"/>
  <c r="CB61" i="6"/>
  <c r="BM61" i="6"/>
  <c r="CG61" i="6"/>
  <c r="AV61" i="6"/>
  <c r="AT61" i="6"/>
  <c r="AP61" i="6"/>
  <c r="AY61" i="6"/>
  <c r="CK61" i="6"/>
  <c r="BX61" i="6"/>
  <c r="BC61" i="6"/>
  <c r="CF61" i="6"/>
  <c r="BG61" i="6"/>
  <c r="BZ62" i="6"/>
  <c r="BV62" i="6"/>
  <c r="CM62" i="6"/>
  <c r="BM62" i="6"/>
  <c r="CB62" i="6"/>
  <c r="CG62" i="6"/>
  <c r="BE62" i="6"/>
  <c r="CI62" i="6"/>
  <c r="BT62" i="6"/>
  <c r="BS62" i="6"/>
  <c r="BH62" i="6"/>
  <c r="CK62" i="6"/>
  <c r="CA62" i="6"/>
  <c r="BP62" i="6"/>
  <c r="BY62" i="6"/>
  <c r="BQ62" i="6"/>
  <c r="BD62" i="6"/>
  <c r="BO62" i="6"/>
  <c r="BL62" i="6"/>
  <c r="BN62" i="6"/>
  <c r="CE62" i="6"/>
  <c r="CF62" i="6"/>
  <c r="BW62" i="6"/>
  <c r="BG62" i="6"/>
  <c r="BR62" i="6"/>
  <c r="BJ62" i="6"/>
  <c r="BC62" i="6"/>
  <c r="AV62" i="6"/>
  <c r="BF62" i="6"/>
  <c r="CJ62" i="6"/>
  <c r="BX62" i="6"/>
  <c r="CD62" i="6"/>
  <c r="AR62" i="6"/>
  <c r="CH62" i="6"/>
  <c r="CL62" i="6"/>
  <c r="BK62" i="6"/>
  <c r="BI62" i="6"/>
  <c r="CC62" i="6"/>
  <c r="AS62" i="6"/>
  <c r="AT62" i="6"/>
  <c r="AQ62" i="6"/>
  <c r="D63" i="6"/>
  <c r="AY62" i="6"/>
  <c r="AW62" i="6"/>
  <c r="J63" i="12" a="1"/>
  <c r="J63" i="12" s="1"/>
  <c r="L63" i="12" a="1"/>
  <c r="L63" i="12" s="1"/>
  <c r="AU62" i="6"/>
  <c r="AX62" i="6"/>
  <c r="AZ62" i="6"/>
  <c r="B64" i="6"/>
  <c r="A64" i="12"/>
  <c r="J64" i="5"/>
  <c r="H64" i="5"/>
  <c r="G64" i="5"/>
  <c r="D64" i="5"/>
  <c r="B64" i="12" s="1"/>
  <c r="AE64" i="5"/>
  <c r="AD64" i="5"/>
  <c r="B64" i="5"/>
  <c r="N64" i="5"/>
  <c r="C65" i="5"/>
  <c r="K64" i="5"/>
  <c r="F64" i="5"/>
  <c r="E64" i="5"/>
  <c r="G62" i="12"/>
  <c r="BA62" i="6"/>
  <c r="AP62" i="6"/>
  <c r="B35" i="9"/>
  <c r="AC12" i="9"/>
  <c r="AC11" i="10"/>
  <c r="AD12" i="10"/>
  <c r="K63" i="12" l="1"/>
  <c r="J64" i="12" a="1"/>
  <c r="J64" i="12" s="1"/>
  <c r="L64" i="12" a="1"/>
  <c r="L64" i="12" s="1"/>
  <c r="A63" i="6"/>
  <c r="H63" i="6" a="1"/>
  <c r="H63" i="6" s="1"/>
  <c r="T63" i="5" s="1"/>
  <c r="B65" i="6"/>
  <c r="A65" i="12"/>
  <c r="AD65" i="5"/>
  <c r="B65" i="5"/>
  <c r="N65" i="5"/>
  <c r="K65" i="5"/>
  <c r="H65" i="5"/>
  <c r="G65" i="5"/>
  <c r="F65" i="5"/>
  <c r="E65" i="5"/>
  <c r="D65" i="5"/>
  <c r="B65" i="12" s="1"/>
  <c r="AE65" i="5"/>
  <c r="J65" i="5"/>
  <c r="D64" i="6"/>
  <c r="B36" i="9"/>
  <c r="AD12" i="9"/>
  <c r="AE12" i="10"/>
  <c r="AD11" i="10"/>
  <c r="C66" i="5" l="1"/>
  <c r="K64" i="12"/>
  <c r="A64" i="6"/>
  <c r="M64" i="6" s="1"/>
  <c r="BP64" i="6" s="1"/>
  <c r="M63" i="6"/>
  <c r="CB63" i="6" s="1"/>
  <c r="D65" i="6"/>
  <c r="H64" i="6" a="1"/>
  <c r="H64" i="6" s="1"/>
  <c r="T64" i="5" s="1"/>
  <c r="J65" i="12" a="1"/>
  <c r="J65" i="12" s="1"/>
  <c r="L65" i="12" a="1"/>
  <c r="L65" i="12" s="1"/>
  <c r="G63" i="12"/>
  <c r="B37" i="9"/>
  <c r="AE12" i="9"/>
  <c r="AE11" i="10"/>
  <c r="AF12" i="10"/>
  <c r="W66" i="5" l="1"/>
  <c r="H66" i="12" s="1"/>
  <c r="F66" i="5"/>
  <c r="A66" i="12"/>
  <c r="AE66" i="5"/>
  <c r="N66" i="5"/>
  <c r="D66" i="6" s="1"/>
  <c r="C67" i="5"/>
  <c r="B66" i="6"/>
  <c r="AD66" i="5"/>
  <c r="E66" i="5"/>
  <c r="B66" i="5"/>
  <c r="H66" i="5"/>
  <c r="G66" i="5"/>
  <c r="CM63" i="6"/>
  <c r="AU63" i="6"/>
  <c r="A65" i="6"/>
  <c r="M65" i="6" s="1"/>
  <c r="CB65" i="6" s="1"/>
  <c r="CH63" i="6"/>
  <c r="AZ63" i="6"/>
  <c r="BC63" i="6"/>
  <c r="BN63" i="6"/>
  <c r="BH63" i="6"/>
  <c r="BW63" i="6"/>
  <c r="CA63" i="6"/>
  <c r="CK63" i="6"/>
  <c r="CD63" i="6"/>
  <c r="BE63" i="6"/>
  <c r="BT63" i="6"/>
  <c r="BS63" i="6"/>
  <c r="BD63" i="6"/>
  <c r="BO63" i="6"/>
  <c r="AT63" i="6"/>
  <c r="CL63" i="6"/>
  <c r="BG63" i="6"/>
  <c r="BQ63" i="6"/>
  <c r="CI63" i="6"/>
  <c r="BP63" i="6"/>
  <c r="AS63" i="6"/>
  <c r="AX63" i="6"/>
  <c r="BZ63" i="6"/>
  <c r="AR63" i="6"/>
  <c r="CG63" i="6"/>
  <c r="BJ63" i="6"/>
  <c r="BM63" i="6"/>
  <c r="BA63" i="6"/>
  <c r="AW63" i="6"/>
  <c r="CC63" i="6"/>
  <c r="BV63" i="6"/>
  <c r="BL63" i="6"/>
  <c r="CE63" i="6"/>
  <c r="CJ63" i="6"/>
  <c r="BI63" i="6"/>
  <c r="AY63" i="6"/>
  <c r="CF63" i="6"/>
  <c r="BF63" i="6"/>
  <c r="AQ63" i="6"/>
  <c r="BY63" i="6"/>
  <c r="CA64" i="6"/>
  <c r="BX64" i="6"/>
  <c r="BK63" i="6"/>
  <c r="AP63" i="6"/>
  <c r="BR63" i="6"/>
  <c r="BX63" i="6"/>
  <c r="AV63" i="6"/>
  <c r="CL64" i="6"/>
  <c r="BM64" i="6"/>
  <c r="CE64" i="6"/>
  <c r="BG64" i="6"/>
  <c r="CD64" i="6"/>
  <c r="BA64" i="6"/>
  <c r="CC64" i="6"/>
  <c r="AX64" i="6"/>
  <c r="BL64" i="6"/>
  <c r="BF64" i="6"/>
  <c r="BN64" i="6"/>
  <c r="BK64" i="6"/>
  <c r="AV64" i="6"/>
  <c r="CM64" i="6"/>
  <c r="BI64" i="6"/>
  <c r="CJ64" i="6"/>
  <c r="G64" i="12"/>
  <c r="BV64" i="6"/>
  <c r="AR64" i="6"/>
  <c r="CF64" i="6"/>
  <c r="AP64" i="6"/>
  <c r="CH64" i="6"/>
  <c r="AS64" i="6"/>
  <c r="BQ64" i="6"/>
  <c r="BC64" i="6"/>
  <c r="AY64" i="6"/>
  <c r="AT64" i="6"/>
  <c r="BH64" i="6"/>
  <c r="BO64" i="6"/>
  <c r="AW64" i="6"/>
  <c r="AZ64" i="6"/>
  <c r="BS64" i="6"/>
  <c r="CG64" i="6"/>
  <c r="CB64" i="6"/>
  <c r="BJ64" i="6"/>
  <c r="BR64" i="6"/>
  <c r="AU64" i="6"/>
  <c r="CK64" i="6"/>
  <c r="AQ64" i="6"/>
  <c r="BW64" i="6"/>
  <c r="BY64" i="6"/>
  <c r="BT64" i="6"/>
  <c r="BD64" i="6"/>
  <c r="CI64" i="6"/>
  <c r="H65" i="6" a="1"/>
  <c r="H65" i="6" s="1"/>
  <c r="T65" i="5" s="1"/>
  <c r="K65" i="12"/>
  <c r="BZ64" i="6"/>
  <c r="BE64" i="6"/>
  <c r="B38" i="9"/>
  <c r="AF11" i="10"/>
  <c r="M66" i="6" l="1"/>
  <c r="CI66" i="6" s="1"/>
  <c r="A67" i="12"/>
  <c r="C68" i="5"/>
  <c r="AE67" i="5"/>
  <c r="B67" i="6"/>
  <c r="J67" i="5"/>
  <c r="D67" i="5"/>
  <c r="B67" i="12" s="1"/>
  <c r="K67" i="5"/>
  <c r="B67" i="5"/>
  <c r="F67" i="5"/>
  <c r="AD67" i="5"/>
  <c r="H67" i="5"/>
  <c r="E67" i="5"/>
  <c r="G67" i="5"/>
  <c r="N67" i="5"/>
  <c r="D67" i="6" s="1"/>
  <c r="G66" i="6"/>
  <c r="A66" i="6"/>
  <c r="H66" i="6" a="1"/>
  <c r="H66" i="6" s="1"/>
  <c r="E66" i="12"/>
  <c r="F66" i="6"/>
  <c r="CF66" i="6"/>
  <c r="BZ66" i="6"/>
  <c r="CB66" i="6"/>
  <c r="BY66" i="6"/>
  <c r="BK66" i="6"/>
  <c r="BE66" i="6"/>
  <c r="CH66" i="6"/>
  <c r="BX66" i="6"/>
  <c r="CM66" i="6"/>
  <c r="CJ66" i="6"/>
  <c r="BG66" i="6"/>
  <c r="BC66" i="6"/>
  <c r="BW66" i="6"/>
  <c r="BL66" i="6"/>
  <c r="BM66" i="6"/>
  <c r="BO66" i="6"/>
  <c r="BE65" i="6"/>
  <c r="BD65" i="6"/>
  <c r="BS65" i="6"/>
  <c r="AX65" i="6"/>
  <c r="CG65" i="6"/>
  <c r="BG65" i="6"/>
  <c r="BZ65" i="6"/>
  <c r="CH65" i="6"/>
  <c r="BX65" i="6"/>
  <c r="CE65" i="6"/>
  <c r="BW65" i="6"/>
  <c r="CK65" i="6"/>
  <c r="AQ65" i="6"/>
  <c r="AY65" i="6"/>
  <c r="AS65" i="6"/>
  <c r="CF65" i="6"/>
  <c r="BP65" i="6"/>
  <c r="BA65" i="6"/>
  <c r="CC65" i="6"/>
  <c r="AZ65" i="6"/>
  <c r="AW65" i="6"/>
  <c r="AU65" i="6"/>
  <c r="BN65" i="6"/>
  <c r="CI65" i="6"/>
  <c r="BY65" i="6"/>
  <c r="BH65" i="6"/>
  <c r="CA65" i="6"/>
  <c r="CJ65" i="6"/>
  <c r="BJ65" i="6"/>
  <c r="AR65" i="6"/>
  <c r="BT65" i="6"/>
  <c r="CM65" i="6"/>
  <c r="G65" i="12"/>
  <c r="BK65" i="6"/>
  <c r="BQ65" i="6"/>
  <c r="AP65" i="6"/>
  <c r="BF65" i="6"/>
  <c r="CL65" i="6"/>
  <c r="CD65" i="6"/>
  <c r="AV65" i="6"/>
  <c r="BC65" i="6"/>
  <c r="BI65" i="6"/>
  <c r="BO65" i="6"/>
  <c r="BL65" i="6"/>
  <c r="BM65" i="6"/>
  <c r="BR65" i="6"/>
  <c r="AT65" i="6"/>
  <c r="BV65" i="6"/>
  <c r="B39" i="9"/>
  <c r="M1" i="6"/>
  <c r="CA66" i="6" l="1"/>
  <c r="BR66" i="6"/>
  <c r="BJ66" i="6"/>
  <c r="BV66" i="6"/>
  <c r="CD66" i="6"/>
  <c r="BN66" i="6"/>
  <c r="AK66" i="6"/>
  <c r="CE66" i="6"/>
  <c r="BF66" i="6"/>
  <c r="BI66" i="6"/>
  <c r="BP66" i="6"/>
  <c r="CC66" i="6"/>
  <c r="BH66" i="6"/>
  <c r="BQ66" i="6"/>
  <c r="BD66" i="6"/>
  <c r="A67" i="6"/>
  <c r="M67" i="6" s="1"/>
  <c r="BQ67" i="6" s="1"/>
  <c r="CL66" i="6"/>
  <c r="CK66" i="6"/>
  <c r="BT66" i="6"/>
  <c r="BS66" i="6"/>
  <c r="BA66" i="6"/>
  <c r="AJ66" i="6"/>
  <c r="AP66" i="6"/>
  <c r="AY66" i="6"/>
  <c r="CG66" i="6"/>
  <c r="T66" i="5"/>
  <c r="AQ66" i="6"/>
  <c r="AN66" i="6"/>
  <c r="AL66" i="6"/>
  <c r="AM66" i="6"/>
  <c r="AS66" i="6"/>
  <c r="AO66" i="6"/>
  <c r="AV66" i="6"/>
  <c r="AW66" i="6"/>
  <c r="AR66" i="6"/>
  <c r="AU66" i="6"/>
  <c r="K68" i="5"/>
  <c r="A68" i="12"/>
  <c r="H68" i="5"/>
  <c r="J68" i="5"/>
  <c r="AE68" i="5"/>
  <c r="AD68" i="5"/>
  <c r="G68" i="5"/>
  <c r="F68" i="5"/>
  <c r="B68" i="6"/>
  <c r="E68" i="5"/>
  <c r="N68" i="5"/>
  <c r="D68" i="6" s="1"/>
  <c r="H68" i="6" s="1" a="1"/>
  <c r="H68" i="6" s="1"/>
  <c r="T68" i="5" s="1"/>
  <c r="D68" i="5"/>
  <c r="B68" i="12" s="1"/>
  <c r="C69" i="5"/>
  <c r="B68" i="5"/>
  <c r="AX66" i="6"/>
  <c r="H67" i="6" a="1"/>
  <c r="H67" i="6" s="1"/>
  <c r="L67" i="12" a="1"/>
  <c r="L67" i="12" s="1"/>
  <c r="J67" i="12" a="1"/>
  <c r="J67" i="12" s="1"/>
  <c r="AZ66" i="6"/>
  <c r="AT66" i="6"/>
  <c r="J21" i="6" a="1"/>
  <c r="J21" i="6" s="1"/>
  <c r="B40" i="9"/>
  <c r="J16" i="6" a="1"/>
  <c r="J16" i="6" s="1"/>
  <c r="J17" i="6" a="1"/>
  <c r="J17" i="6" s="1"/>
  <c r="J23" i="6" a="1"/>
  <c r="J23"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BW67" i="6" l="1"/>
  <c r="BP67" i="6"/>
  <c r="CD67" i="6"/>
  <c r="CA67" i="6"/>
  <c r="BH67" i="6"/>
  <c r="CH67" i="6"/>
  <c r="BS67" i="6"/>
  <c r="BK67" i="6"/>
  <c r="BA67" i="6"/>
  <c r="BG67" i="6"/>
  <c r="BE67" i="6"/>
  <c r="CL67" i="6"/>
  <c r="BI67" i="6"/>
  <c r="CB67" i="6"/>
  <c r="BZ67" i="6"/>
  <c r="CE67" i="6"/>
  <c r="BO67" i="6"/>
  <c r="BM67" i="6"/>
  <c r="BR67" i="6"/>
  <c r="CK67" i="6"/>
  <c r="BC67" i="6"/>
  <c r="BL67" i="6"/>
  <c r="CG67" i="6"/>
  <c r="BV67" i="6"/>
  <c r="BF67" i="6"/>
  <c r="BT67" i="6"/>
  <c r="CJ67" i="6"/>
  <c r="CM67" i="6"/>
  <c r="CF67" i="6"/>
  <c r="CC67" i="6"/>
  <c r="BX67" i="6"/>
  <c r="BN67" i="6"/>
  <c r="BJ67" i="6"/>
  <c r="BD67" i="6"/>
  <c r="BY67" i="6"/>
  <c r="CI67" i="6"/>
  <c r="AV67" i="6"/>
  <c r="G66" i="12"/>
  <c r="K67" i="12"/>
  <c r="AY67" i="6"/>
  <c r="T67" i="5"/>
  <c r="AW67" i="6"/>
  <c r="AR67" i="6"/>
  <c r="AU67" i="6"/>
  <c r="AQ67" i="6"/>
  <c r="AT67" i="6"/>
  <c r="AP67" i="6"/>
  <c r="AE69" i="5"/>
  <c r="F69" i="5"/>
  <c r="N69" i="5"/>
  <c r="D69" i="6" s="1"/>
  <c r="C70" i="5"/>
  <c r="C71" i="5" s="1"/>
  <c r="B69" i="5"/>
  <c r="K69" i="5"/>
  <c r="G69" i="5"/>
  <c r="D69" i="5"/>
  <c r="B69" i="12" s="1"/>
  <c r="B69" i="6"/>
  <c r="J69" i="5"/>
  <c r="A69" i="12"/>
  <c r="H69" i="5"/>
  <c r="E69" i="5"/>
  <c r="AD69" i="5"/>
  <c r="AS67" i="6"/>
  <c r="J68" i="12" a="1"/>
  <c r="J68" i="12" s="1"/>
  <c r="L68" i="12" a="1"/>
  <c r="L68" i="12" s="1"/>
  <c r="AZ67" i="6"/>
  <c r="A68" i="6"/>
  <c r="M68" i="6" s="1"/>
  <c r="BR68" i="6" s="1"/>
  <c r="AX67" i="6"/>
  <c r="G68" i="12"/>
  <c r="B41" i="9"/>
  <c r="I10" i="7"/>
  <c r="K13" i="7"/>
  <c r="L13" i="7" s="1"/>
  <c r="J10" i="7"/>
  <c r="K68" i="12" l="1"/>
  <c r="A71" i="12"/>
  <c r="B71" i="6"/>
  <c r="AE71" i="5"/>
  <c r="D71" i="5"/>
  <c r="B71" i="12" s="1"/>
  <c r="AD71" i="5"/>
  <c r="N71" i="5"/>
  <c r="C72" i="5"/>
  <c r="K71" i="5"/>
  <c r="J71" i="5"/>
  <c r="BX68" i="6"/>
  <c r="BP68" i="6"/>
  <c r="CF68" i="6"/>
  <c r="BS68" i="6"/>
  <c r="AS68" i="6"/>
  <c r="BF68" i="6"/>
  <c r="BG68" i="6"/>
  <c r="CB68" i="6"/>
  <c r="CM68" i="6"/>
  <c r="AU68" i="6"/>
  <c r="CH68" i="6"/>
  <c r="AX68" i="6"/>
  <c r="BY68" i="6"/>
  <c r="BW68" i="6"/>
  <c r="AZ68" i="6"/>
  <c r="CK68" i="6"/>
  <c r="CG68" i="6"/>
  <c r="AY68" i="6"/>
  <c r="AQ68" i="6"/>
  <c r="CD68" i="6"/>
  <c r="AP68" i="6"/>
  <c r="AV68" i="6"/>
  <c r="CE68" i="6"/>
  <c r="N70" i="5"/>
  <c r="D70" i="6" s="1"/>
  <c r="H70" i="6" s="1" a="1"/>
  <c r="H70" i="6" s="1"/>
  <c r="A70" i="12"/>
  <c r="F70" i="5"/>
  <c r="F71" i="5" s="1"/>
  <c r="B70" i="6"/>
  <c r="H70" i="5"/>
  <c r="H71" i="5" s="1"/>
  <c r="J70" i="5"/>
  <c r="G70" i="5"/>
  <c r="G71" i="5" s="1"/>
  <c r="E70" i="5"/>
  <c r="E71" i="5" s="1"/>
  <c r="AD70" i="5"/>
  <c r="D70" i="5"/>
  <c r="B70" i="12" s="1"/>
  <c r="K70" i="5"/>
  <c r="AE70" i="5"/>
  <c r="B70" i="5"/>
  <c r="B71" i="5" s="1"/>
  <c r="BD68" i="6"/>
  <c r="BA68" i="6"/>
  <c r="BV68" i="6"/>
  <c r="BO68" i="6"/>
  <c r="BJ68" i="6"/>
  <c r="CA68" i="6"/>
  <c r="H69" i="6" a="1"/>
  <c r="H69" i="6" s="1"/>
  <c r="T69" i="5" s="1"/>
  <c r="CI68" i="6"/>
  <c r="AT68" i="6"/>
  <c r="BM68" i="6"/>
  <c r="BL68" i="6"/>
  <c r="G67" i="12"/>
  <c r="BH68" i="6"/>
  <c r="BN68" i="6"/>
  <c r="CL68" i="6"/>
  <c r="BK68" i="6"/>
  <c r="BI68" i="6"/>
  <c r="CC68" i="6"/>
  <c r="BT68" i="6"/>
  <c r="BE68" i="6"/>
  <c r="L69" i="12" a="1"/>
  <c r="L69" i="12" s="1"/>
  <c r="J69" i="12" a="1"/>
  <c r="J69" i="12" s="1"/>
  <c r="AW68" i="6"/>
  <c r="CJ68" i="6"/>
  <c r="AR68" i="6"/>
  <c r="BQ68" i="6"/>
  <c r="BZ68" i="6"/>
  <c r="BC68" i="6"/>
  <c r="A69" i="6"/>
  <c r="M69" i="6" s="1"/>
  <c r="B42" i="9"/>
  <c r="M13" i="7"/>
  <c r="L10" i="7"/>
  <c r="AV69" i="6" l="1"/>
  <c r="K69" i="12"/>
  <c r="B72" i="6"/>
  <c r="C73" i="5"/>
  <c r="K72" i="5"/>
  <c r="J72" i="5"/>
  <c r="G72" i="5"/>
  <c r="H72" i="5"/>
  <c r="A72" i="12"/>
  <c r="F72" i="5"/>
  <c r="E72" i="5"/>
  <c r="D72" i="5"/>
  <c r="B72" i="12" s="1"/>
  <c r="AE72" i="5"/>
  <c r="AD72" i="5"/>
  <c r="B72" i="5"/>
  <c r="N72" i="5"/>
  <c r="D71" i="6"/>
  <c r="J71" i="12" a="1"/>
  <c r="J71" i="12" s="1"/>
  <c r="L71" i="12" a="1"/>
  <c r="L71" i="12" s="1"/>
  <c r="A70" i="6"/>
  <c r="M70" i="6" s="1"/>
  <c r="AX70" i="6" s="1"/>
  <c r="CJ69" i="6"/>
  <c r="CF69" i="6"/>
  <c r="AP69" i="6"/>
  <c r="CL69" i="6"/>
  <c r="CG69" i="6"/>
  <c r="CB69" i="6"/>
  <c r="CC69" i="6"/>
  <c r="BL69" i="6"/>
  <c r="CD69" i="6"/>
  <c r="BZ69" i="6"/>
  <c r="BX69" i="6"/>
  <c r="CK69" i="6"/>
  <c r="BJ69" i="6"/>
  <c r="CI69" i="6"/>
  <c r="CE69" i="6"/>
  <c r="BP69" i="6"/>
  <c r="BF69" i="6"/>
  <c r="BN69" i="6"/>
  <c r="BO69" i="6"/>
  <c r="CH69" i="6"/>
  <c r="BK69" i="6"/>
  <c r="AW69" i="6"/>
  <c r="BC69" i="6"/>
  <c r="BT69" i="6"/>
  <c r="BW69" i="6"/>
  <c r="BY69" i="6"/>
  <c r="AT69" i="6"/>
  <c r="BQ69" i="6"/>
  <c r="BH69" i="6"/>
  <c r="BI69" i="6"/>
  <c r="BR69" i="6"/>
  <c r="CA69" i="6"/>
  <c r="AU69" i="6"/>
  <c r="BE69" i="6"/>
  <c r="BG69" i="6"/>
  <c r="AZ69" i="6"/>
  <c r="BD69" i="6"/>
  <c r="CM69" i="6"/>
  <c r="L70" i="12" a="1"/>
  <c r="L70" i="12" s="1"/>
  <c r="J70" i="12" a="1"/>
  <c r="J70" i="12" s="1"/>
  <c r="BV69" i="6"/>
  <c r="BA69" i="6"/>
  <c r="AX69" i="6"/>
  <c r="AQ69" i="6"/>
  <c r="AY69" i="6"/>
  <c r="BS69" i="6"/>
  <c r="AR69" i="6"/>
  <c r="BM69" i="6"/>
  <c r="AS69" i="6"/>
  <c r="T70" i="5"/>
  <c r="G69" i="12"/>
  <c r="B43" i="9"/>
  <c r="N13" i="7"/>
  <c r="M10" i="7"/>
  <c r="K71" i="12" l="1"/>
  <c r="A71" i="6"/>
  <c r="D72" i="6"/>
  <c r="A73" i="12"/>
  <c r="D73" i="5"/>
  <c r="B73" i="12" s="1"/>
  <c r="AE73" i="5"/>
  <c r="AD73" i="5"/>
  <c r="B73" i="5"/>
  <c r="C74" i="5" s="1"/>
  <c r="N73" i="5"/>
  <c r="K73" i="5"/>
  <c r="J73" i="5"/>
  <c r="B73" i="6"/>
  <c r="H73" i="5"/>
  <c r="G73" i="5"/>
  <c r="F73" i="5"/>
  <c r="E73" i="5"/>
  <c r="J72" i="12" a="1"/>
  <c r="J72" i="12" s="1"/>
  <c r="L72" i="12" a="1"/>
  <c r="L72" i="12" s="1"/>
  <c r="H71" i="6" a="1"/>
  <c r="H71" i="6" s="1"/>
  <c r="K70" i="12"/>
  <c r="AP70" i="6"/>
  <c r="BT70" i="6"/>
  <c r="BE70" i="6"/>
  <c r="BO70" i="6"/>
  <c r="CL70" i="6"/>
  <c r="BH70" i="6"/>
  <c r="BQ70" i="6"/>
  <c r="BK70" i="6"/>
  <c r="AS70" i="6"/>
  <c r="BZ70" i="6"/>
  <c r="CC70" i="6"/>
  <c r="BM70" i="6"/>
  <c r="BP70" i="6"/>
  <c r="BD70" i="6"/>
  <c r="CF70" i="6"/>
  <c r="CJ70" i="6"/>
  <c r="BS70" i="6"/>
  <c r="CI70" i="6"/>
  <c r="CB70" i="6"/>
  <c r="CK70" i="6"/>
  <c r="BG70" i="6"/>
  <c r="BJ70" i="6"/>
  <c r="BC70" i="6"/>
  <c r="BA70" i="6"/>
  <c r="CM70" i="6"/>
  <c r="BY70" i="6"/>
  <c r="CE70" i="6"/>
  <c r="BW70" i="6"/>
  <c r="CA70" i="6"/>
  <c r="BL70" i="6"/>
  <c r="BR70" i="6"/>
  <c r="CH70" i="6"/>
  <c r="BN70" i="6"/>
  <c r="BF70" i="6"/>
  <c r="BI70" i="6"/>
  <c r="CG70" i="6"/>
  <c r="BV70" i="6"/>
  <c r="CD70" i="6"/>
  <c r="BX70" i="6"/>
  <c r="AQ70" i="6"/>
  <c r="AY70" i="6"/>
  <c r="G70" i="12"/>
  <c r="AU70" i="6"/>
  <c r="AZ70" i="6"/>
  <c r="AV70" i="6"/>
  <c r="AT70" i="6"/>
  <c r="AR70" i="6"/>
  <c r="AW70" i="6"/>
  <c r="B44" i="9"/>
  <c r="O13" i="7"/>
  <c r="N10" i="7"/>
  <c r="A72" i="6" l="1"/>
  <c r="N72" i="6" s="1"/>
  <c r="K72" i="12"/>
  <c r="M71" i="6"/>
  <c r="N71" i="6"/>
  <c r="L73" i="12" a="1"/>
  <c r="L73" i="12" s="1"/>
  <c r="J73" i="12" a="1"/>
  <c r="J73" i="12" s="1"/>
  <c r="T71" i="5"/>
  <c r="A74" i="12"/>
  <c r="H74" i="5"/>
  <c r="G74" i="5"/>
  <c r="W74" i="5"/>
  <c r="H74" i="12" s="1"/>
  <c r="F74" i="5"/>
  <c r="E74" i="5"/>
  <c r="AE74" i="5"/>
  <c r="AD74" i="5"/>
  <c r="B74" i="5"/>
  <c r="N74" i="5"/>
  <c r="C75" i="5"/>
  <c r="B74" i="6"/>
  <c r="H72" i="6" a="1"/>
  <c r="H72" i="6" s="1"/>
  <c r="D73" i="6"/>
  <c r="B45" i="9"/>
  <c r="P13" i="7"/>
  <c r="O10" i="7"/>
  <c r="M72" i="6" l="1"/>
  <c r="BM72" i="6" s="1"/>
  <c r="CL71" i="6"/>
  <c r="BI71" i="6"/>
  <c r="BF71" i="6"/>
  <c r="CJ71" i="6"/>
  <c r="AS71" i="6"/>
  <c r="AQ71" i="6"/>
  <c r="CC71" i="6"/>
  <c r="BV71" i="6"/>
  <c r="AU71" i="6"/>
  <c r="BO71" i="6"/>
  <c r="BH71" i="6"/>
  <c r="BM71" i="6"/>
  <c r="AW71" i="6"/>
  <c r="BJ71" i="6"/>
  <c r="BA71" i="6"/>
  <c r="CF71" i="6"/>
  <c r="BG71" i="6"/>
  <c r="CD71" i="6"/>
  <c r="AP71" i="6"/>
  <c r="CM71" i="6"/>
  <c r="BQ71" i="6"/>
  <c r="BN71" i="6"/>
  <c r="BY71" i="6"/>
  <c r="BP71" i="6"/>
  <c r="AY71" i="6"/>
  <c r="BX71" i="6"/>
  <c r="BW71" i="6"/>
  <c r="BT71" i="6"/>
  <c r="BR71" i="6"/>
  <c r="CI71" i="6"/>
  <c r="BZ71" i="6"/>
  <c r="AZ71" i="6"/>
  <c r="BS71" i="6"/>
  <c r="CA71" i="6"/>
  <c r="BK71" i="6"/>
  <c r="AT71" i="6"/>
  <c r="CB71" i="6"/>
  <c r="CE71" i="6"/>
  <c r="AV71" i="6"/>
  <c r="AR71" i="6"/>
  <c r="BL71" i="6"/>
  <c r="CG71" i="6"/>
  <c r="BC71" i="6"/>
  <c r="CH71" i="6"/>
  <c r="BE71" i="6"/>
  <c r="AX71" i="6"/>
  <c r="CK71" i="6"/>
  <c r="BD71" i="6"/>
  <c r="K73" i="12"/>
  <c r="D74" i="6"/>
  <c r="BS72" i="6"/>
  <c r="H73" i="6" a="1"/>
  <c r="H73" i="6" s="1"/>
  <c r="CJ72" i="6"/>
  <c r="E74" i="12"/>
  <c r="F74" i="6"/>
  <c r="CM72" i="6"/>
  <c r="BD72" i="6"/>
  <c r="AQ72" i="6"/>
  <c r="BQ72" i="6"/>
  <c r="BY72" i="6"/>
  <c r="BJ72" i="6"/>
  <c r="BH72" i="6"/>
  <c r="CK72" i="6"/>
  <c r="A73" i="6"/>
  <c r="BK72" i="6"/>
  <c r="AW72" i="6"/>
  <c r="AS72" i="6"/>
  <c r="BT72" i="6"/>
  <c r="T72" i="5"/>
  <c r="CI72" i="6"/>
  <c r="AZ72" i="6"/>
  <c r="BO72" i="6"/>
  <c r="BR72" i="6"/>
  <c r="A75" i="12"/>
  <c r="B75" i="6"/>
  <c r="K75" i="5"/>
  <c r="J75" i="5"/>
  <c r="C76" i="5"/>
  <c r="G75" i="5"/>
  <c r="H75" i="5"/>
  <c r="F75" i="5"/>
  <c r="E75" i="5"/>
  <c r="D75" i="5"/>
  <c r="B75" i="12" s="1"/>
  <c r="AE75" i="5"/>
  <c r="AD75" i="5"/>
  <c r="B75" i="5"/>
  <c r="N75" i="5"/>
  <c r="G71" i="12"/>
  <c r="B46" i="9"/>
  <c r="Q13" i="7"/>
  <c r="P10" i="7"/>
  <c r="AV72" i="6" l="1"/>
  <c r="AY72" i="6"/>
  <c r="AR72" i="6"/>
  <c r="BX72" i="6"/>
  <c r="CF72" i="6"/>
  <c r="BZ72" i="6"/>
  <c r="AU72" i="6"/>
  <c r="AP72" i="6"/>
  <c r="CE72" i="6"/>
  <c r="BP72" i="6"/>
  <c r="BL72" i="6"/>
  <c r="AX72" i="6"/>
  <c r="BC72" i="6"/>
  <c r="CH72" i="6"/>
  <c r="BG72" i="6"/>
  <c r="CG72" i="6"/>
  <c r="CD72" i="6"/>
  <c r="CA72" i="6"/>
  <c r="BF72" i="6"/>
  <c r="CC72" i="6"/>
  <c r="BV72" i="6"/>
  <c r="BW72" i="6"/>
  <c r="AT72" i="6"/>
  <c r="BN72" i="6"/>
  <c r="BE72" i="6"/>
  <c r="CL72" i="6"/>
  <c r="CB72" i="6"/>
  <c r="BA72" i="6"/>
  <c r="BI72" i="6"/>
  <c r="A74" i="6"/>
  <c r="N74" i="6" s="1"/>
  <c r="T73" i="5"/>
  <c r="G72" i="12"/>
  <c r="N73" i="6"/>
  <c r="J75" i="12" a="1"/>
  <c r="J75" i="12" s="1"/>
  <c r="L75" i="12" a="1"/>
  <c r="L75" i="12" s="1"/>
  <c r="M73" i="6"/>
  <c r="H74" i="6" a="1"/>
  <c r="H74" i="6" s="1"/>
  <c r="G74" i="6"/>
  <c r="D75" i="6"/>
  <c r="B76" i="6"/>
  <c r="A76" i="12"/>
  <c r="H76" i="5"/>
  <c r="C77" i="5"/>
  <c r="F76" i="5"/>
  <c r="E76" i="5"/>
  <c r="D76" i="5"/>
  <c r="B76" i="12" s="1"/>
  <c r="B76" i="5"/>
  <c r="AD76" i="5"/>
  <c r="AE76" i="5"/>
  <c r="N76" i="5"/>
  <c r="K76" i="5"/>
  <c r="J76" i="5"/>
  <c r="G76" i="5"/>
  <c r="B47" i="9"/>
  <c r="R13" i="7"/>
  <c r="Q10" i="7"/>
  <c r="M74" i="6" l="1"/>
  <c r="CF74" i="6" s="1"/>
  <c r="AR73" i="6"/>
  <c r="AU73" i="6"/>
  <c r="BA73" i="6"/>
  <c r="AP73" i="6"/>
  <c r="AY73" i="6"/>
  <c r="T74" i="5"/>
  <c r="H75" i="6" a="1"/>
  <c r="H75" i="6" s="1"/>
  <c r="D76" i="6"/>
  <c r="B77" i="6"/>
  <c r="A77" i="12"/>
  <c r="D77" i="5"/>
  <c r="B77" i="12" s="1"/>
  <c r="B77" i="5"/>
  <c r="AE77" i="5"/>
  <c r="N77" i="5"/>
  <c r="AD77" i="5"/>
  <c r="K77" i="5"/>
  <c r="J77" i="5"/>
  <c r="H77" i="5"/>
  <c r="C78" i="5"/>
  <c r="C79" i="5" s="1"/>
  <c r="G77" i="5"/>
  <c r="F77" i="5"/>
  <c r="E77" i="5"/>
  <c r="AS73" i="6"/>
  <c r="AT73" i="6"/>
  <c r="AX73" i="6"/>
  <c r="L76" i="12" a="1"/>
  <c r="L76" i="12" s="1"/>
  <c r="J76" i="12" a="1"/>
  <c r="J76" i="12" s="1"/>
  <c r="A75" i="6"/>
  <c r="AW73" i="6"/>
  <c r="AQ73" i="6"/>
  <c r="G73" i="12"/>
  <c r="CK73" i="6"/>
  <c r="BJ73" i="6"/>
  <c r="BI73" i="6"/>
  <c r="CM73" i="6"/>
  <c r="BY73" i="6"/>
  <c r="CC73" i="6"/>
  <c r="BH73" i="6"/>
  <c r="CA73" i="6"/>
  <c r="BL73" i="6"/>
  <c r="BD73" i="6"/>
  <c r="BN73" i="6"/>
  <c r="CF73" i="6"/>
  <c r="CB73" i="6"/>
  <c r="BS73" i="6"/>
  <c r="CE73" i="6"/>
  <c r="CJ73" i="6"/>
  <c r="BG73" i="6"/>
  <c r="BV73" i="6"/>
  <c r="BR73" i="6"/>
  <c r="BX73" i="6"/>
  <c r="BF73" i="6"/>
  <c r="CL73" i="6"/>
  <c r="BK73" i="6"/>
  <c r="BT73" i="6"/>
  <c r="BZ73" i="6"/>
  <c r="BC73" i="6"/>
  <c r="CD73" i="6"/>
  <c r="BM73" i="6"/>
  <c r="CH73" i="6"/>
  <c r="BP73" i="6"/>
  <c r="BQ73" i="6"/>
  <c r="CI73" i="6"/>
  <c r="BO73" i="6"/>
  <c r="BE73" i="6"/>
  <c r="BW73" i="6"/>
  <c r="CG73" i="6"/>
  <c r="AZ73" i="6"/>
  <c r="K75" i="12"/>
  <c r="AV73" i="6"/>
  <c r="B48" i="9"/>
  <c r="S13" i="7"/>
  <c r="R10" i="7"/>
  <c r="BP74" i="6" l="1"/>
  <c r="CA74" i="6"/>
  <c r="BL74" i="6"/>
  <c r="AN74" i="6"/>
  <c r="BF74" i="6"/>
  <c r="AY74" i="6"/>
  <c r="AE79" i="5"/>
  <c r="AD79" i="5"/>
  <c r="N79" i="5"/>
  <c r="D79" i="5"/>
  <c r="B79" i="12" s="1"/>
  <c r="K79" i="5"/>
  <c r="B79" i="6"/>
  <c r="J79" i="5"/>
  <c r="A79" i="12"/>
  <c r="BG74" i="6"/>
  <c r="CI74" i="6"/>
  <c r="BX74" i="6"/>
  <c r="AX74" i="6"/>
  <c r="AT74" i="6"/>
  <c r="CE74" i="6"/>
  <c r="BS74" i="6"/>
  <c r="BD74" i="6"/>
  <c r="CC74" i="6"/>
  <c r="BH74" i="6"/>
  <c r="AO74" i="6"/>
  <c r="BT74" i="6"/>
  <c r="AR74" i="6"/>
  <c r="CJ74" i="6"/>
  <c r="M75" i="6"/>
  <c r="BH75" i="6" s="1"/>
  <c r="BV74" i="6"/>
  <c r="CB74" i="6"/>
  <c r="BA74" i="6"/>
  <c r="AM74" i="6"/>
  <c r="AJ74" i="6"/>
  <c r="BZ74" i="6"/>
  <c r="CL74" i="6"/>
  <c r="CG74" i="6"/>
  <c r="BR74" i="6"/>
  <c r="BK74" i="6"/>
  <c r="AQ74" i="6"/>
  <c r="BO74" i="6"/>
  <c r="CM74" i="6"/>
  <c r="AU74" i="6"/>
  <c r="AV74" i="6"/>
  <c r="AK74" i="6"/>
  <c r="BW74" i="6"/>
  <c r="AS74" i="6"/>
  <c r="BQ74" i="6"/>
  <c r="AP74" i="6"/>
  <c r="BM74" i="6"/>
  <c r="BC74" i="6"/>
  <c r="CH74" i="6"/>
  <c r="AL74" i="6"/>
  <c r="AZ74" i="6"/>
  <c r="BN74" i="6"/>
  <c r="BE74" i="6"/>
  <c r="BJ74" i="6"/>
  <c r="BI74" i="6"/>
  <c r="CD74" i="6"/>
  <c r="CK74" i="6"/>
  <c r="AW74" i="6"/>
  <c r="BY74" i="6"/>
  <c r="K76" i="12"/>
  <c r="A76" i="6"/>
  <c r="N76" i="6" s="1"/>
  <c r="D77" i="6"/>
  <c r="B78" i="6"/>
  <c r="H78" i="5"/>
  <c r="H79" i="5" s="1"/>
  <c r="D78" i="5"/>
  <c r="B78" i="12" s="1"/>
  <c r="A78" i="12"/>
  <c r="AE78" i="5"/>
  <c r="N78" i="5"/>
  <c r="AD78" i="5"/>
  <c r="K78" i="5"/>
  <c r="J78" i="5"/>
  <c r="G78" i="5"/>
  <c r="G79" i="5" s="1"/>
  <c r="E78" i="5"/>
  <c r="E79" i="5" s="1"/>
  <c r="C80" i="5"/>
  <c r="F78" i="5"/>
  <c r="F79" i="5" s="1"/>
  <c r="B78" i="5"/>
  <c r="B79" i="5" s="1"/>
  <c r="N75" i="6"/>
  <c r="J77" i="12" a="1"/>
  <c r="J77" i="12" s="1"/>
  <c r="L77" i="12" a="1"/>
  <c r="L77" i="12" s="1"/>
  <c r="T75" i="5"/>
  <c r="G74" i="12"/>
  <c r="H76" i="6" a="1"/>
  <c r="H76" i="6" s="1"/>
  <c r="B49" i="9"/>
  <c r="T13" i="7"/>
  <c r="S10" i="7"/>
  <c r="CI75" i="6" l="1"/>
  <c r="BT75" i="6"/>
  <c r="BC75" i="6"/>
  <c r="AW75" i="6"/>
  <c r="J79" i="12" a="1"/>
  <c r="J79" i="12" s="1"/>
  <c r="L79" i="12" a="1"/>
  <c r="L79" i="12" s="1"/>
  <c r="D79" i="6"/>
  <c r="BA75" i="6"/>
  <c r="BO75" i="6"/>
  <c r="BF75" i="6"/>
  <c r="CB75" i="6"/>
  <c r="AQ75" i="6"/>
  <c r="BM75" i="6"/>
  <c r="BV75" i="6"/>
  <c r="AP75" i="6"/>
  <c r="BP75" i="6"/>
  <c r="BS75" i="6"/>
  <c r="CE75" i="6"/>
  <c r="CM75" i="6"/>
  <c r="CD75" i="6"/>
  <c r="CC75" i="6"/>
  <c r="AV75" i="6"/>
  <c r="BY75" i="6"/>
  <c r="AY75" i="6"/>
  <c r="BX75" i="6"/>
  <c r="BJ75" i="6"/>
  <c r="CF75" i="6"/>
  <c r="CG75" i="6"/>
  <c r="CJ75" i="6"/>
  <c r="CK75" i="6"/>
  <c r="AX75" i="6"/>
  <c r="AR75" i="6"/>
  <c r="AZ75" i="6"/>
  <c r="BN75" i="6"/>
  <c r="BZ75" i="6"/>
  <c r="BE75" i="6"/>
  <c r="AU75" i="6"/>
  <c r="BG75" i="6"/>
  <c r="CH75" i="6"/>
  <c r="BR75" i="6"/>
  <c r="BI75" i="6"/>
  <c r="BQ75" i="6"/>
  <c r="BW75" i="6"/>
  <c r="BD75" i="6"/>
  <c r="BL75" i="6"/>
  <c r="CL75" i="6"/>
  <c r="AS75" i="6"/>
  <c r="BK75" i="6"/>
  <c r="CA75" i="6"/>
  <c r="AT75" i="6"/>
  <c r="M76" i="6"/>
  <c r="BD76" i="6" s="1"/>
  <c r="A77" i="6"/>
  <c r="M77" i="6" s="1"/>
  <c r="BP77" i="6" s="1"/>
  <c r="K77" i="12"/>
  <c r="G75" i="12"/>
  <c r="B80" i="6"/>
  <c r="H80" i="5"/>
  <c r="A80" i="12"/>
  <c r="AE80" i="5"/>
  <c r="AD80" i="5"/>
  <c r="K80" i="5"/>
  <c r="J80" i="5"/>
  <c r="G80" i="5"/>
  <c r="C81" i="5"/>
  <c r="F80" i="5"/>
  <c r="E80" i="5"/>
  <c r="D80" i="5"/>
  <c r="B80" i="12" s="1"/>
  <c r="B80" i="5"/>
  <c r="N80" i="5"/>
  <c r="J78" i="12" a="1"/>
  <c r="J78" i="12" s="1"/>
  <c r="L78" i="12" a="1"/>
  <c r="L78" i="12" s="1"/>
  <c r="H77" i="6" a="1"/>
  <c r="H77" i="6" s="1"/>
  <c r="T76" i="5"/>
  <c r="D78" i="6"/>
  <c r="B50" i="9"/>
  <c r="U13" i="7"/>
  <c r="T10" i="7"/>
  <c r="K79" i="12" l="1"/>
  <c r="H79" i="6" a="1"/>
  <c r="H79" i="6" s="1"/>
  <c r="A78" i="6"/>
  <c r="A79" i="6" s="1"/>
  <c r="N79" i="6" s="1"/>
  <c r="N77" i="6"/>
  <c r="BK76" i="6"/>
  <c r="BL76" i="6"/>
  <c r="AU76" i="6"/>
  <c r="BS76" i="6"/>
  <c r="BY76" i="6"/>
  <c r="BA76" i="6"/>
  <c r="CG76" i="6"/>
  <c r="BH76" i="6"/>
  <c r="AS76" i="6"/>
  <c r="BX76" i="6"/>
  <c r="AQ76" i="6"/>
  <c r="BO76" i="6"/>
  <c r="CL76" i="6"/>
  <c r="BM76" i="6"/>
  <c r="BQ76" i="6"/>
  <c r="CI76" i="6"/>
  <c r="BZ76" i="6"/>
  <c r="CC76" i="6"/>
  <c r="CE76" i="6"/>
  <c r="BT76" i="6"/>
  <c r="BF76" i="6"/>
  <c r="CB76" i="6"/>
  <c r="AY76" i="6"/>
  <c r="CJ76" i="6"/>
  <c r="CH76" i="6"/>
  <c r="AP76" i="6"/>
  <c r="CA76" i="6"/>
  <c r="BV76" i="6"/>
  <c r="CD76" i="6"/>
  <c r="BJ76" i="6"/>
  <c r="CF76" i="6"/>
  <c r="AT76" i="6"/>
  <c r="BC76" i="6"/>
  <c r="CM76" i="6"/>
  <c r="AR76" i="6"/>
  <c r="BG76" i="6"/>
  <c r="AZ76" i="6"/>
  <c r="CK76" i="6"/>
  <c r="BW76" i="6"/>
  <c r="BN76" i="6"/>
  <c r="AW76" i="6"/>
  <c r="BI76" i="6"/>
  <c r="AX76" i="6"/>
  <c r="BE76" i="6"/>
  <c r="BR76" i="6"/>
  <c r="AV76" i="6"/>
  <c r="BP76" i="6"/>
  <c r="BY77" i="6"/>
  <c r="BM77" i="6"/>
  <c r="AS77" i="6"/>
  <c r="AV77" i="6"/>
  <c r="CE77" i="6"/>
  <c r="AX77" i="6"/>
  <c r="BN77" i="6"/>
  <c r="BQ77" i="6"/>
  <c r="BC77" i="6"/>
  <c r="BT77" i="6"/>
  <c r="BG77" i="6"/>
  <c r="CB77" i="6"/>
  <c r="CI77" i="6"/>
  <c r="BZ77" i="6"/>
  <c r="CC77" i="6"/>
  <c r="G76" i="12"/>
  <c r="T77" i="5"/>
  <c r="A81" i="12"/>
  <c r="D81" i="5"/>
  <c r="B81" i="12" s="1"/>
  <c r="B81" i="6"/>
  <c r="H81" i="5"/>
  <c r="G81" i="5"/>
  <c r="F81" i="5"/>
  <c r="E81" i="5"/>
  <c r="B81" i="5"/>
  <c r="C82" i="5" s="1"/>
  <c r="AE81" i="5"/>
  <c r="N81" i="5"/>
  <c r="AD81" i="5"/>
  <c r="K81" i="5"/>
  <c r="J81" i="5"/>
  <c r="BW77" i="6"/>
  <c r="BO77" i="6"/>
  <c r="BS77" i="6"/>
  <c r="BJ77" i="6"/>
  <c r="BI77" i="6"/>
  <c r="BX77" i="6"/>
  <c r="CF77" i="6"/>
  <c r="CJ77" i="6"/>
  <c r="CA77" i="6"/>
  <c r="BV77" i="6"/>
  <c r="D80" i="6"/>
  <c r="CD77" i="6"/>
  <c r="AY77" i="6"/>
  <c r="CH77" i="6"/>
  <c r="AZ77" i="6"/>
  <c r="BE77" i="6"/>
  <c r="BL77" i="6"/>
  <c r="AP77" i="6"/>
  <c r="CG77" i="6"/>
  <c r="CL77" i="6"/>
  <c r="CK77" i="6"/>
  <c r="AU77" i="6"/>
  <c r="CM77" i="6"/>
  <c r="AQ77" i="6"/>
  <c r="H78" i="6" a="1"/>
  <c r="H78" i="6" s="1"/>
  <c r="AW77" i="6"/>
  <c r="AT77" i="6"/>
  <c r="BA77" i="6"/>
  <c r="AR77" i="6"/>
  <c r="BD77" i="6"/>
  <c r="BF77" i="6"/>
  <c r="BK77" i="6"/>
  <c r="BR77" i="6"/>
  <c r="BH77" i="6"/>
  <c r="K78" i="12"/>
  <c r="L80" i="12" a="1"/>
  <c r="L80" i="12" s="1"/>
  <c r="J80" i="12" a="1"/>
  <c r="J80" i="12" s="1"/>
  <c r="B51" i="9"/>
  <c r="V13" i="7"/>
  <c r="U10" i="7"/>
  <c r="K11" i="10"/>
  <c r="K10" i="7"/>
  <c r="A80" i="6" l="1"/>
  <c r="M80" i="6" s="1"/>
  <c r="BF80" i="6" s="1"/>
  <c r="N78" i="6"/>
  <c r="M78" i="6"/>
  <c r="BV78" i="6" s="1"/>
  <c r="M79" i="6"/>
  <c r="T79" i="5"/>
  <c r="K80" i="12"/>
  <c r="H82" i="5"/>
  <c r="A82" i="12"/>
  <c r="B82" i="6"/>
  <c r="F82" i="5"/>
  <c r="E82" i="5"/>
  <c r="W82" i="5"/>
  <c r="H82" i="12" s="1"/>
  <c r="B82" i="5"/>
  <c r="AE82" i="5"/>
  <c r="N82" i="5"/>
  <c r="AD82" i="5"/>
  <c r="G82" i="5"/>
  <c r="C83" i="5"/>
  <c r="G77" i="12"/>
  <c r="D81" i="6"/>
  <c r="J81" i="12" a="1"/>
  <c r="J81" i="12" s="1"/>
  <c r="L81" i="12" a="1"/>
  <c r="L81" i="12" s="1"/>
  <c r="T78" i="5"/>
  <c r="H80" i="6" a="1"/>
  <c r="H80" i="6" s="1"/>
  <c r="B52" i="9"/>
  <c r="W13" i="7"/>
  <c r="V10" i="7"/>
  <c r="T14" i="5"/>
  <c r="A81" i="6" l="1"/>
  <c r="M81" i="6" s="1"/>
  <c r="CB81" i="6" s="1"/>
  <c r="N80" i="6"/>
  <c r="CB78" i="6"/>
  <c r="AW78" i="6"/>
  <c r="BK78" i="6"/>
  <c r="BI78" i="6"/>
  <c r="CK78" i="6"/>
  <c r="CF78" i="6"/>
  <c r="BS78" i="6"/>
  <c r="BX78" i="6"/>
  <c r="BM78" i="6"/>
  <c r="CC78" i="6"/>
  <c r="CL78" i="6"/>
  <c r="BJ78" i="6"/>
  <c r="BH78" i="6"/>
  <c r="CH78" i="6"/>
  <c r="BD78" i="6"/>
  <c r="AQ78" i="6"/>
  <c r="AZ78" i="6"/>
  <c r="CD78" i="6"/>
  <c r="AV78" i="6"/>
  <c r="AP78" i="6"/>
  <c r="BY78" i="6"/>
  <c r="CE78" i="6"/>
  <c r="BZ78" i="6"/>
  <c r="AY78" i="6"/>
  <c r="CG78" i="6"/>
  <c r="CJ78" i="6"/>
  <c r="BW78" i="6"/>
  <c r="BR78" i="6"/>
  <c r="BL78" i="6"/>
  <c r="BF78" i="6"/>
  <c r="BN78" i="6"/>
  <c r="AX78" i="6"/>
  <c r="AU78" i="6"/>
  <c r="BA78" i="6"/>
  <c r="BG78" i="6"/>
  <c r="BT78" i="6"/>
  <c r="CI78" i="6"/>
  <c r="AS78" i="6"/>
  <c r="CA78" i="6"/>
  <c r="AT78" i="6"/>
  <c r="BE78" i="6"/>
  <c r="BP78" i="6"/>
  <c r="CM78" i="6"/>
  <c r="AR78" i="6"/>
  <c r="BO78" i="6"/>
  <c r="AY79" i="6"/>
  <c r="BQ78" i="6"/>
  <c r="BC78" i="6"/>
  <c r="AU79" i="6"/>
  <c r="AS79" i="6"/>
  <c r="AQ79" i="6"/>
  <c r="G79" i="12"/>
  <c r="BA79" i="6"/>
  <c r="CM79" i="6"/>
  <c r="CK79" i="6"/>
  <c r="CI79" i="6"/>
  <c r="BP79" i="6"/>
  <c r="CC79" i="6"/>
  <c r="BM79" i="6"/>
  <c r="CA79" i="6"/>
  <c r="BY79" i="6"/>
  <c r="BW79" i="6"/>
  <c r="CG79" i="6"/>
  <c r="CE79" i="6"/>
  <c r="BN79" i="6"/>
  <c r="BL79" i="6"/>
  <c r="BJ79" i="6"/>
  <c r="BT79" i="6"/>
  <c r="BR79" i="6"/>
  <c r="AT79" i="6"/>
  <c r="BH79" i="6"/>
  <c r="BF79" i="6"/>
  <c r="AX79" i="6"/>
  <c r="BD79" i="6"/>
  <c r="CD79" i="6"/>
  <c r="BI79" i="6"/>
  <c r="AZ79" i="6"/>
  <c r="BC79" i="6"/>
  <c r="CJ79" i="6"/>
  <c r="CB79" i="6"/>
  <c r="BQ79" i="6"/>
  <c r="BG79" i="6"/>
  <c r="AV79" i="6"/>
  <c r="CL79" i="6"/>
  <c r="BX79" i="6"/>
  <c r="CH79" i="6"/>
  <c r="CF79" i="6"/>
  <c r="BE79" i="6"/>
  <c r="AP79" i="6"/>
  <c r="BZ79" i="6"/>
  <c r="BK79" i="6"/>
  <c r="BV79" i="6"/>
  <c r="BS79" i="6"/>
  <c r="BO79" i="6"/>
  <c r="AW79" i="6"/>
  <c r="AR79" i="6"/>
  <c r="K81" i="12"/>
  <c r="AW80" i="6"/>
  <c r="BR80" i="6"/>
  <c r="CJ80" i="6"/>
  <c r="BZ80" i="6"/>
  <c r="AV80" i="6"/>
  <c r="BN80" i="6"/>
  <c r="CD80" i="6"/>
  <c r="BC80" i="6"/>
  <c r="BH80" i="6"/>
  <c r="BV80" i="6"/>
  <c r="CM80" i="6"/>
  <c r="CC80" i="6"/>
  <c r="BI80" i="6"/>
  <c r="CK80" i="6"/>
  <c r="CB80" i="6"/>
  <c r="CL80" i="6"/>
  <c r="AS80" i="6"/>
  <c r="AT80" i="6"/>
  <c r="E82" i="12"/>
  <c r="F82" i="6"/>
  <c r="BT80" i="6"/>
  <c r="CH80" i="6"/>
  <c r="AQ80" i="6"/>
  <c r="BD80" i="6"/>
  <c r="BM80" i="6"/>
  <c r="BG80" i="6"/>
  <c r="H83" i="5"/>
  <c r="A83" i="12"/>
  <c r="B83" i="6"/>
  <c r="B83" i="5"/>
  <c r="AE83" i="5"/>
  <c r="N83" i="5"/>
  <c r="AD83" i="5"/>
  <c r="K83" i="5"/>
  <c r="J83" i="5"/>
  <c r="G83" i="5"/>
  <c r="C84" i="5"/>
  <c r="F83" i="5"/>
  <c r="E83" i="5"/>
  <c r="D83" i="5"/>
  <c r="B83" i="12" s="1"/>
  <c r="AP80" i="6"/>
  <c r="CA80" i="6"/>
  <c r="AR80" i="6"/>
  <c r="BX80" i="6"/>
  <c r="CE80" i="6"/>
  <c r="BJ80" i="6"/>
  <c r="BS80" i="6"/>
  <c r="AY80" i="6"/>
  <c r="T80" i="5"/>
  <c r="BW80" i="6"/>
  <c r="CF80" i="6"/>
  <c r="AZ80" i="6"/>
  <c r="BE80" i="6"/>
  <c r="AU80" i="6"/>
  <c r="CI80" i="6"/>
  <c r="H81" i="6" a="1"/>
  <c r="H81" i="6" s="1"/>
  <c r="D82" i="6"/>
  <c r="A82" i="6" s="1"/>
  <c r="BK80" i="6"/>
  <c r="BY80" i="6"/>
  <c r="BO80" i="6"/>
  <c r="BL80" i="6"/>
  <c r="AX80" i="6"/>
  <c r="CG80" i="6"/>
  <c r="BQ80" i="6"/>
  <c r="BP80" i="6"/>
  <c r="BA80" i="6"/>
  <c r="G78" i="12"/>
  <c r="B53" i="9"/>
  <c r="X13" i="7"/>
  <c r="W10" i="7"/>
  <c r="G14" i="12"/>
  <c r="N81" i="6" l="1"/>
  <c r="CL81" i="6"/>
  <c r="AY81" i="6"/>
  <c r="AT81" i="6"/>
  <c r="AW81" i="6"/>
  <c r="BE81" i="6"/>
  <c r="BD81" i="6"/>
  <c r="AS81" i="6"/>
  <c r="BK81" i="6"/>
  <c r="BF81" i="6"/>
  <c r="BV81" i="6"/>
  <c r="CE81" i="6"/>
  <c r="BG81" i="6"/>
  <c r="D84" i="5"/>
  <c r="B84" i="12" s="1"/>
  <c r="A84" i="12"/>
  <c r="B84" i="6"/>
  <c r="AE84" i="5"/>
  <c r="N84" i="5"/>
  <c r="AD84" i="5"/>
  <c r="K84" i="5"/>
  <c r="J84" i="5"/>
  <c r="H84" i="5"/>
  <c r="C85" i="5"/>
  <c r="G84" i="5"/>
  <c r="F84" i="5"/>
  <c r="E84" i="5"/>
  <c r="B84" i="5"/>
  <c r="BP81" i="6"/>
  <c r="AU81" i="6"/>
  <c r="BA81" i="6"/>
  <c r="BS81" i="6"/>
  <c r="BQ81" i="6"/>
  <c r="BH81" i="6"/>
  <c r="BM81" i="6"/>
  <c r="BN81" i="6"/>
  <c r="CF81" i="6"/>
  <c r="L83" i="12" a="1"/>
  <c r="L83" i="12" s="1"/>
  <c r="J83" i="12" a="1"/>
  <c r="J83" i="12" s="1"/>
  <c r="BW81" i="6"/>
  <c r="BZ81" i="6"/>
  <c r="CG81" i="6"/>
  <c r="CA81" i="6"/>
  <c r="G80" i="12"/>
  <c r="BX81" i="6"/>
  <c r="AQ81" i="6"/>
  <c r="AX81" i="6"/>
  <c r="CM81" i="6"/>
  <c r="CH81" i="6"/>
  <c r="BI81" i="6"/>
  <c r="BR81" i="6"/>
  <c r="T81" i="5"/>
  <c r="BL81" i="6"/>
  <c r="CI81" i="6"/>
  <c r="CC81" i="6"/>
  <c r="CJ81" i="6"/>
  <c r="AP81" i="6"/>
  <c r="BY81" i="6"/>
  <c r="AR81" i="6"/>
  <c r="BC81" i="6"/>
  <c r="CK81" i="6"/>
  <c r="BJ81" i="6"/>
  <c r="AZ81" i="6"/>
  <c r="BO81" i="6"/>
  <c r="D83" i="6"/>
  <c r="A83" i="6" s="1"/>
  <c r="N82" i="6"/>
  <c r="M82" i="6"/>
  <c r="CK82" i="6" s="1"/>
  <c r="H82" i="6" a="1"/>
  <c r="H82" i="6" s="1"/>
  <c r="G82" i="6"/>
  <c r="AV81" i="6"/>
  <c r="CD81" i="6"/>
  <c r="BT81" i="6"/>
  <c r="B54" i="9"/>
  <c r="Y13" i="7"/>
  <c r="X10" i="7"/>
  <c r="A8" i="9"/>
  <c r="B7" i="9" a="1"/>
  <c r="B7" i="9" s="1"/>
  <c r="AR82" i="6" l="1"/>
  <c r="BE82" i="6"/>
  <c r="BM82" i="6"/>
  <c r="AV82" i="6"/>
  <c r="BW82" i="6"/>
  <c r="BZ82" i="6"/>
  <c r="AL82" i="6"/>
  <c r="BO82" i="6"/>
  <c r="CF82" i="6"/>
  <c r="BR82" i="6"/>
  <c r="BC82" i="6"/>
  <c r="BD82" i="6"/>
  <c r="BX82" i="6"/>
  <c r="AN82" i="6"/>
  <c r="AJ82" i="6"/>
  <c r="AS82" i="6"/>
  <c r="BT82" i="6"/>
  <c r="AQ82" i="6"/>
  <c r="CH82" i="6"/>
  <c r="BA82" i="6"/>
  <c r="BS82" i="6"/>
  <c r="AZ82" i="6"/>
  <c r="BK82" i="6"/>
  <c r="CM82" i="6"/>
  <c r="BF82" i="6"/>
  <c r="AU82" i="6"/>
  <c r="CL82" i="6"/>
  <c r="K83" i="12"/>
  <c r="BN82" i="6"/>
  <c r="CB82" i="6"/>
  <c r="BH82" i="6"/>
  <c r="G81" i="12"/>
  <c r="D84" i="6"/>
  <c r="CA82" i="6"/>
  <c r="BP82" i="6"/>
  <c r="BI82" i="6"/>
  <c r="CG82" i="6"/>
  <c r="BQ82" i="6"/>
  <c r="CI82" i="6"/>
  <c r="T82" i="5"/>
  <c r="CC82" i="6"/>
  <c r="AM82" i="6"/>
  <c r="CD82" i="6"/>
  <c r="CJ82" i="6"/>
  <c r="AW82" i="6"/>
  <c r="CE82" i="6"/>
  <c r="AY82" i="6"/>
  <c r="A85" i="12"/>
  <c r="B85" i="6"/>
  <c r="H85" i="5"/>
  <c r="D85" i="5"/>
  <c r="B85" i="12" s="1"/>
  <c r="K85" i="5"/>
  <c r="J85" i="5"/>
  <c r="G85" i="5"/>
  <c r="C86" i="5"/>
  <c r="F85" i="5"/>
  <c r="E85" i="5"/>
  <c r="B85" i="5"/>
  <c r="AE85" i="5"/>
  <c r="N85" i="5"/>
  <c r="AD85" i="5"/>
  <c r="L84" i="12" a="1"/>
  <c r="L84" i="12" s="1"/>
  <c r="J84" i="12" a="1"/>
  <c r="J84" i="12" s="1"/>
  <c r="BL82" i="6"/>
  <c r="N83" i="6"/>
  <c r="H83" i="6" a="1"/>
  <c r="H83" i="6" s="1"/>
  <c r="M83" i="6"/>
  <c r="CK83" i="6" s="1"/>
  <c r="AK82" i="6"/>
  <c r="AO82" i="6"/>
  <c r="AX82" i="6"/>
  <c r="AT82" i="6"/>
  <c r="BY82" i="6"/>
  <c r="AP82" i="6"/>
  <c r="BJ82" i="6"/>
  <c r="BV82" i="6"/>
  <c r="BG82" i="6"/>
  <c r="B55" i="9"/>
  <c r="Y10" i="7"/>
  <c r="D15" i="7"/>
  <c r="C16" i="7" s="1" a="1"/>
  <c r="C16" i="7" s="1"/>
  <c r="B15" i="10"/>
  <c r="B16" i="10" s="1"/>
  <c r="AS83" i="6" l="1"/>
  <c r="CB83" i="6"/>
  <c r="CE83" i="6"/>
  <c r="CC83" i="6"/>
  <c r="BM83" i="6"/>
  <c r="AV83" i="6"/>
  <c r="H84" i="6" a="1"/>
  <c r="H84" i="6" s="1"/>
  <c r="BA83" i="6"/>
  <c r="K84" i="12"/>
  <c r="AQ83" i="6"/>
  <c r="BC83" i="6"/>
  <c r="AX83" i="6"/>
  <c r="BZ83" i="6"/>
  <c r="BI83" i="6"/>
  <c r="AT83" i="6"/>
  <c r="CF83" i="6"/>
  <c r="BK83" i="6"/>
  <c r="CM83" i="6"/>
  <c r="BV83" i="6"/>
  <c r="L85" i="12" a="1"/>
  <c r="L85" i="12" s="1"/>
  <c r="J85" i="12" a="1"/>
  <c r="J85" i="12" s="1"/>
  <c r="G82" i="12"/>
  <c r="BH83" i="6"/>
  <c r="BX83" i="6"/>
  <c r="AR83" i="6"/>
  <c r="CH83" i="6"/>
  <c r="BN83" i="6"/>
  <c r="BD83" i="6"/>
  <c r="CJ83" i="6"/>
  <c r="BE83" i="6"/>
  <c r="A86" i="12"/>
  <c r="N86" i="5"/>
  <c r="B86" i="6"/>
  <c r="H86" i="5"/>
  <c r="G86" i="5"/>
  <c r="F86" i="5"/>
  <c r="E86" i="5"/>
  <c r="C87" i="5"/>
  <c r="D86" i="5"/>
  <c r="B86" i="12" s="1"/>
  <c r="B86" i="5"/>
  <c r="K86" i="5"/>
  <c r="AE86" i="5"/>
  <c r="J86" i="5"/>
  <c r="AD86" i="5"/>
  <c r="AZ83" i="6"/>
  <c r="BT83" i="6"/>
  <c r="CG83" i="6"/>
  <c r="BQ83" i="6"/>
  <c r="AW83" i="6"/>
  <c r="BP83" i="6"/>
  <c r="CA83" i="6"/>
  <c r="BJ83" i="6"/>
  <c r="D85" i="6"/>
  <c r="AY83" i="6"/>
  <c r="AP83" i="6"/>
  <c r="BG83" i="6"/>
  <c r="BL83" i="6"/>
  <c r="BW83" i="6"/>
  <c r="T83" i="5"/>
  <c r="BS83" i="6"/>
  <c r="BY83" i="6"/>
  <c r="BF83" i="6"/>
  <c r="CI83" i="6"/>
  <c r="A84" i="6"/>
  <c r="CD83" i="6"/>
  <c r="AU83" i="6"/>
  <c r="BO83" i="6"/>
  <c r="CL83" i="6"/>
  <c r="BR83" i="6"/>
  <c r="B56" i="9"/>
  <c r="B17" i="10"/>
  <c r="B16" i="7"/>
  <c r="C17" i="7" a="1"/>
  <c r="C17" i="7" s="1"/>
  <c r="A15" i="10"/>
  <c r="B15" i="7"/>
  <c r="C15" i="9"/>
  <c r="F15" i="9" s="1"/>
  <c r="C15" i="10"/>
  <c r="A15" i="7"/>
  <c r="A85" i="6" l="1"/>
  <c r="N85" i="6" s="1"/>
  <c r="D86" i="6"/>
  <c r="K85" i="12"/>
  <c r="T84" i="5"/>
  <c r="G83" i="12"/>
  <c r="L86" i="12" a="1"/>
  <c r="L86" i="12" s="1"/>
  <c r="J86" i="12" a="1"/>
  <c r="J86" i="12" s="1"/>
  <c r="M84" i="6"/>
  <c r="AQ84" i="6" s="1"/>
  <c r="N84" i="6"/>
  <c r="A87" i="12"/>
  <c r="E87" i="5"/>
  <c r="D87" i="5"/>
  <c r="B87" i="12" s="1"/>
  <c r="N87" i="5"/>
  <c r="B87" i="6"/>
  <c r="AD87" i="5"/>
  <c r="H87" i="5"/>
  <c r="G87" i="5"/>
  <c r="F87" i="5"/>
  <c r="B87" i="5"/>
  <c r="C88" i="5" s="1"/>
  <c r="K87" i="5"/>
  <c r="J87" i="5"/>
  <c r="AE87" i="5"/>
  <c r="H85" i="6" a="1"/>
  <c r="H85" i="6" s="1"/>
  <c r="C18" i="7" a="1"/>
  <c r="C18" i="7" s="1"/>
  <c r="B17" i="7"/>
  <c r="B18" i="10"/>
  <c r="B57" i="9"/>
  <c r="D21" i="2"/>
  <c r="M85" i="6" l="1"/>
  <c r="CG85" i="6" s="1"/>
  <c r="AZ84" i="6"/>
  <c r="AW84" i="6"/>
  <c r="AX84" i="6"/>
  <c r="K86" i="12"/>
  <c r="AR84" i="6"/>
  <c r="BA84" i="6"/>
  <c r="AU84" i="6"/>
  <c r="AY84" i="6"/>
  <c r="H86" i="6" a="1"/>
  <c r="H86" i="6" s="1"/>
  <c r="AP84" i="6"/>
  <c r="A88" i="12"/>
  <c r="H88" i="5"/>
  <c r="E88" i="5"/>
  <c r="AE88" i="5"/>
  <c r="N88" i="5"/>
  <c r="B88" i="6"/>
  <c r="AD88" i="5"/>
  <c r="G88" i="5"/>
  <c r="F88" i="5"/>
  <c r="B88" i="5"/>
  <c r="W88" i="5"/>
  <c r="H88" i="12" s="1"/>
  <c r="C89" i="5"/>
  <c r="BN84" i="6"/>
  <c r="CF84" i="6"/>
  <c r="CC84" i="6"/>
  <c r="CJ84" i="6"/>
  <c r="CL84" i="6"/>
  <c r="BL84" i="6"/>
  <c r="BZ84" i="6"/>
  <c r="CI84" i="6"/>
  <c r="BM84" i="6"/>
  <c r="BV84" i="6"/>
  <c r="BK84" i="6"/>
  <c r="BR84" i="6"/>
  <c r="BY84" i="6"/>
  <c r="BJ84" i="6"/>
  <c r="CG84" i="6"/>
  <c r="BG84" i="6"/>
  <c r="BI84" i="6"/>
  <c r="CM84" i="6"/>
  <c r="CB84" i="6"/>
  <c r="BT84" i="6"/>
  <c r="CK84" i="6"/>
  <c r="BQ84" i="6"/>
  <c r="BO84" i="6"/>
  <c r="BH84" i="6"/>
  <c r="BS84" i="6"/>
  <c r="BX84" i="6"/>
  <c r="AS84" i="6"/>
  <c r="BC84" i="6"/>
  <c r="BF84" i="6"/>
  <c r="CE84" i="6"/>
  <c r="BD84" i="6"/>
  <c r="CD84" i="6"/>
  <c r="CH84" i="6"/>
  <c r="BW84" i="6"/>
  <c r="BP84" i="6"/>
  <c r="CA84" i="6"/>
  <c r="BE84" i="6"/>
  <c r="D87" i="6"/>
  <c r="AV84" i="6"/>
  <c r="T85" i="5"/>
  <c r="A86" i="6"/>
  <c r="N86" i="6" s="1"/>
  <c r="G84" i="12"/>
  <c r="AT84" i="6"/>
  <c r="J87" i="12" a="1"/>
  <c r="J87" i="12" s="1"/>
  <c r="L87" i="12" a="1"/>
  <c r="L87" i="12" s="1"/>
  <c r="B19" i="10"/>
  <c r="B58" i="9"/>
  <c r="B18" i="7"/>
  <c r="C19" i="7" a="1"/>
  <c r="C19" i="7" s="1"/>
  <c r="I15" i="12"/>
  <c r="M15" i="12"/>
  <c r="J15" i="12" s="1"/>
  <c r="O15" i="12"/>
  <c r="AQ85" i="6" l="1"/>
  <c r="CM85" i="6"/>
  <c r="BE85" i="6"/>
  <c r="CB85" i="6"/>
  <c r="CI85" i="6"/>
  <c r="BH85" i="6"/>
  <c r="BK85" i="6"/>
  <c r="BP85" i="6"/>
  <c r="BM85" i="6"/>
  <c r="BV85" i="6"/>
  <c r="BR85" i="6"/>
  <c r="BT85" i="6"/>
  <c r="AU85" i="6"/>
  <c r="AZ85" i="6"/>
  <c r="CF85" i="6"/>
  <c r="BJ85" i="6"/>
  <c r="AX85" i="6"/>
  <c r="BW85" i="6"/>
  <c r="BO85" i="6"/>
  <c r="CK85" i="6"/>
  <c r="BC85" i="6"/>
  <c r="CJ85" i="6"/>
  <c r="AV85" i="6"/>
  <c r="CL85" i="6"/>
  <c r="AW85" i="6"/>
  <c r="BQ85" i="6"/>
  <c r="BF85" i="6"/>
  <c r="CE85" i="6"/>
  <c r="AT85" i="6"/>
  <c r="BI85" i="6"/>
  <c r="CA85" i="6"/>
  <c r="CD85" i="6"/>
  <c r="BL85" i="6"/>
  <c r="BG85" i="6"/>
  <c r="AR85" i="6"/>
  <c r="BZ85" i="6"/>
  <c r="BA85" i="6"/>
  <c r="AY85" i="6"/>
  <c r="BY85" i="6"/>
  <c r="AP85" i="6"/>
  <c r="CH85" i="6"/>
  <c r="CC85" i="6"/>
  <c r="AS85" i="6"/>
  <c r="BD85" i="6"/>
  <c r="BS85" i="6"/>
  <c r="BN85" i="6"/>
  <c r="BX85" i="6"/>
  <c r="A87" i="6"/>
  <c r="N87" i="6" s="1"/>
  <c r="M86" i="6"/>
  <c r="AS86" i="6" s="1"/>
  <c r="T86" i="5"/>
  <c r="G85" i="12"/>
  <c r="H87" i="6" a="1"/>
  <c r="H87" i="6" s="1"/>
  <c r="K87" i="12"/>
  <c r="B89" i="6"/>
  <c r="A89" i="12"/>
  <c r="N89" i="5"/>
  <c r="H89" i="5"/>
  <c r="G89" i="5"/>
  <c r="B89" i="5"/>
  <c r="C90" i="5"/>
  <c r="K89" i="5"/>
  <c r="J89" i="5"/>
  <c r="F89" i="5"/>
  <c r="E89" i="5"/>
  <c r="AE89" i="5"/>
  <c r="D89" i="5"/>
  <c r="B89" i="12" s="1"/>
  <c r="AD89" i="5"/>
  <c r="D88" i="6"/>
  <c r="B20" i="10"/>
  <c r="B59" i="9"/>
  <c r="B19" i="7"/>
  <c r="C20" i="7" a="1"/>
  <c r="C20" i="7" s="1"/>
  <c r="L15" i="12"/>
  <c r="K15" i="12" s="1"/>
  <c r="N15" i="12"/>
  <c r="P10" i="12"/>
  <c r="O10" i="12" s="1"/>
  <c r="M87" i="6" l="1"/>
  <c r="BE87" i="6" s="1"/>
  <c r="A88" i="6"/>
  <c r="M88" i="6" s="1"/>
  <c r="CI88" i="6" s="1"/>
  <c r="AT86" i="6"/>
  <c r="AV86" i="6"/>
  <c r="T87" i="5"/>
  <c r="G86" i="12"/>
  <c r="B90" i="6"/>
  <c r="E90" i="5"/>
  <c r="D90" i="5"/>
  <c r="B90" i="12" s="1"/>
  <c r="N90" i="5"/>
  <c r="A90" i="12"/>
  <c r="C91" i="5"/>
  <c r="K90" i="5"/>
  <c r="J90" i="5"/>
  <c r="H90" i="5"/>
  <c r="G90" i="5"/>
  <c r="F90" i="5"/>
  <c r="B90" i="5"/>
  <c r="AE90" i="5"/>
  <c r="AD90" i="5"/>
  <c r="BD86" i="6"/>
  <c r="BS86" i="6"/>
  <c r="CE86" i="6"/>
  <c r="CD86" i="6"/>
  <c r="CH86" i="6"/>
  <c r="BR86" i="6"/>
  <c r="BJ86" i="6"/>
  <c r="BP86" i="6"/>
  <c r="CL86" i="6"/>
  <c r="BF86" i="6"/>
  <c r="CM86" i="6"/>
  <c r="CI86" i="6"/>
  <c r="BZ86" i="6"/>
  <c r="BX86" i="6"/>
  <c r="CG86" i="6"/>
  <c r="BM86" i="6"/>
  <c r="CB86" i="6"/>
  <c r="BG86" i="6"/>
  <c r="BN86" i="6"/>
  <c r="CA86" i="6"/>
  <c r="CJ86" i="6"/>
  <c r="BO86" i="6"/>
  <c r="BT86" i="6"/>
  <c r="BC86" i="6"/>
  <c r="BW86" i="6"/>
  <c r="BI86" i="6"/>
  <c r="BL86" i="6"/>
  <c r="CK86" i="6"/>
  <c r="BE86" i="6"/>
  <c r="BV86" i="6"/>
  <c r="CF86" i="6"/>
  <c r="BY86" i="6"/>
  <c r="BK86" i="6"/>
  <c r="BQ86" i="6"/>
  <c r="BH86" i="6"/>
  <c r="CC86" i="6"/>
  <c r="AW86" i="6"/>
  <c r="AQ86" i="6"/>
  <c r="H88" i="6" a="1"/>
  <c r="H88" i="6" s="1"/>
  <c r="BA86" i="6"/>
  <c r="AZ86" i="6"/>
  <c r="AY86" i="6"/>
  <c r="L89" i="12" a="1"/>
  <c r="L89" i="12" s="1"/>
  <c r="J89" i="12" a="1"/>
  <c r="J89" i="12" s="1"/>
  <c r="AP86" i="6"/>
  <c r="D89" i="6"/>
  <c r="A89" i="6" s="1"/>
  <c r="AX86" i="6"/>
  <c r="AR86" i="6"/>
  <c r="AU86" i="6"/>
  <c r="B21" i="10"/>
  <c r="B60" i="9"/>
  <c r="C21" i="7" a="1"/>
  <c r="C21" i="7" s="1"/>
  <c r="B20" i="7"/>
  <c r="A14" i="6"/>
  <c r="BM87" i="6" l="1"/>
  <c r="AR87" i="6"/>
  <c r="N88" i="6"/>
  <c r="CA87" i="6"/>
  <c r="CK87" i="6"/>
  <c r="AZ87" i="6"/>
  <c r="AP87" i="6"/>
  <c r="AY87" i="6"/>
  <c r="BG87" i="6"/>
  <c r="CI87" i="6"/>
  <c r="BW87" i="6"/>
  <c r="AX87" i="6"/>
  <c r="AT87" i="6"/>
  <c r="BC87" i="6"/>
  <c r="AW87" i="6"/>
  <c r="CJ87" i="6"/>
  <c r="AU87" i="6"/>
  <c r="BI87" i="6"/>
  <c r="BK87" i="6"/>
  <c r="AV87" i="6"/>
  <c r="BO87" i="6"/>
  <c r="BP87" i="6"/>
  <c r="BX87" i="6"/>
  <c r="CH87" i="6"/>
  <c r="BR87" i="6"/>
  <c r="CD87" i="6"/>
  <c r="BQ87" i="6"/>
  <c r="BF87" i="6"/>
  <c r="BY87" i="6"/>
  <c r="BT87" i="6"/>
  <c r="BL87" i="6"/>
  <c r="BH87" i="6"/>
  <c r="BN87" i="6"/>
  <c r="CB87" i="6"/>
  <c r="BJ87" i="6"/>
  <c r="BA87" i="6"/>
  <c r="BZ87" i="6"/>
  <c r="CM87" i="6"/>
  <c r="BD87" i="6"/>
  <c r="CL87" i="6"/>
  <c r="CG87" i="6"/>
  <c r="BS87" i="6"/>
  <c r="CC87" i="6"/>
  <c r="CE87" i="6"/>
  <c r="BV87" i="6"/>
  <c r="AS87" i="6"/>
  <c r="CF87" i="6"/>
  <c r="AQ87" i="6"/>
  <c r="K89" i="12"/>
  <c r="BF88" i="6"/>
  <c r="BG88" i="6"/>
  <c r="CA88" i="6"/>
  <c r="AW88" i="6"/>
  <c r="BQ88" i="6"/>
  <c r="CD88" i="6"/>
  <c r="BZ88" i="6"/>
  <c r="BI88" i="6"/>
  <c r="CL88" i="6"/>
  <c r="BL88" i="6"/>
  <c r="BK88" i="6"/>
  <c r="BS88" i="6"/>
  <c r="AV88" i="6"/>
  <c r="G87" i="12"/>
  <c r="BA88" i="6"/>
  <c r="CG88" i="6"/>
  <c r="BM88" i="6"/>
  <c r="AL88" i="6"/>
  <c r="AP88" i="6"/>
  <c r="BR88" i="6"/>
  <c r="BH88" i="6"/>
  <c r="CH88" i="6"/>
  <c r="AQ88" i="6"/>
  <c r="BX88" i="6"/>
  <c r="CB88" i="6"/>
  <c r="BD88" i="6"/>
  <c r="CJ88" i="6"/>
  <c r="A91" i="12"/>
  <c r="H91" i="5"/>
  <c r="E91" i="5"/>
  <c r="D91" i="5"/>
  <c r="B91" i="12" s="1"/>
  <c r="B91" i="6"/>
  <c r="AE91" i="5"/>
  <c r="AD91" i="5"/>
  <c r="B91" i="5"/>
  <c r="N91" i="5"/>
  <c r="J91" i="5"/>
  <c r="K91" i="5"/>
  <c r="G91" i="5"/>
  <c r="F91" i="5"/>
  <c r="C92" i="5"/>
  <c r="CK88" i="6"/>
  <c r="BC88" i="6"/>
  <c r="BP88" i="6"/>
  <c r="L90" i="12" a="1"/>
  <c r="L90" i="12" s="1"/>
  <c r="J90" i="12" a="1"/>
  <c r="J90" i="12" s="1"/>
  <c r="AT88" i="6"/>
  <c r="BT88" i="6"/>
  <c r="CC88" i="6"/>
  <c r="D90" i="6"/>
  <c r="A90" i="6" s="1"/>
  <c r="AX88" i="6"/>
  <c r="CE88" i="6"/>
  <c r="CM88" i="6"/>
  <c r="BN88" i="6"/>
  <c r="AJ88" i="6"/>
  <c r="AK88" i="6"/>
  <c r="AS88" i="6"/>
  <c r="AM88" i="6"/>
  <c r="CF88" i="6"/>
  <c r="BE88" i="6"/>
  <c r="T88" i="5"/>
  <c r="BV88" i="6"/>
  <c r="BJ88" i="6"/>
  <c r="AY88" i="6"/>
  <c r="BY88" i="6"/>
  <c r="AU88" i="6"/>
  <c r="AN88" i="6"/>
  <c r="BW88" i="6"/>
  <c r="H89" i="6" a="1"/>
  <c r="H89" i="6" s="1"/>
  <c r="M89" i="6"/>
  <c r="CH89" i="6" s="1"/>
  <c r="AR88" i="6"/>
  <c r="AO88" i="6"/>
  <c r="BO88" i="6"/>
  <c r="AZ88" i="6"/>
  <c r="B61" i="9"/>
  <c r="B21" i="7"/>
  <c r="C22" i="7" a="1"/>
  <c r="C22" i="7" s="1"/>
  <c r="B22" i="10"/>
  <c r="N14" i="6"/>
  <c r="M14" i="6"/>
  <c r="K90" i="12" l="1"/>
  <c r="BM89" i="6"/>
  <c r="CK89" i="6"/>
  <c r="BW89" i="6"/>
  <c r="BJ89" i="6"/>
  <c r="BN89" i="6"/>
  <c r="CA89" i="6"/>
  <c r="CJ89" i="6"/>
  <c r="BC89" i="6"/>
  <c r="BQ89" i="6"/>
  <c r="BK89" i="6"/>
  <c r="CD89" i="6"/>
  <c r="T89" i="5"/>
  <c r="AT89" i="6"/>
  <c r="BT89" i="6"/>
  <c r="AS89" i="6"/>
  <c r="BO89" i="6"/>
  <c r="AP89" i="6"/>
  <c r="CI89" i="6"/>
  <c r="BF89" i="6"/>
  <c r="CB89" i="6"/>
  <c r="D91" i="6"/>
  <c r="A91" i="6" s="1"/>
  <c r="L91" i="12" a="1"/>
  <c r="L91" i="12" s="1"/>
  <c r="J91" i="12" a="1"/>
  <c r="J91" i="12" s="1"/>
  <c r="BL89" i="6"/>
  <c r="CF89" i="6"/>
  <c r="BR89" i="6"/>
  <c r="AQ89" i="6"/>
  <c r="H90" i="6" a="1"/>
  <c r="H90" i="6" s="1"/>
  <c r="M90" i="6"/>
  <c r="BV90" i="6" s="1"/>
  <c r="CL89" i="6"/>
  <c r="AW89" i="6"/>
  <c r="AU89" i="6"/>
  <c r="BA89" i="6"/>
  <c r="CE89" i="6"/>
  <c r="BD89" i="6"/>
  <c r="AX89" i="6"/>
  <c r="BP89" i="6"/>
  <c r="F92" i="5"/>
  <c r="N92" i="5"/>
  <c r="D92" i="6" s="1"/>
  <c r="B92" i="5"/>
  <c r="AE92" i="5"/>
  <c r="E92" i="5"/>
  <c r="K92" i="5"/>
  <c r="D92" i="5"/>
  <c r="B92" i="12" s="1"/>
  <c r="AD92" i="5"/>
  <c r="C93" i="5"/>
  <c r="H92" i="5"/>
  <c r="B92" i="6"/>
  <c r="A92" i="12"/>
  <c r="J92" i="5"/>
  <c r="G92" i="5"/>
  <c r="BE89" i="6"/>
  <c r="CG89" i="6"/>
  <c r="CM89" i="6"/>
  <c r="AV89" i="6"/>
  <c r="CC89" i="6"/>
  <c r="AR89" i="6"/>
  <c r="AZ89" i="6"/>
  <c r="BI89" i="6"/>
  <c r="G88" i="12"/>
  <c r="BG89" i="6"/>
  <c r="BX89" i="6"/>
  <c r="AY89" i="6"/>
  <c r="BH89" i="6"/>
  <c r="BV89" i="6"/>
  <c r="BY89" i="6"/>
  <c r="BS89" i="6"/>
  <c r="BZ89" i="6"/>
  <c r="CK14" i="6"/>
  <c r="BS14" i="6"/>
  <c r="BR14" i="6"/>
  <c r="BQ14" i="6"/>
  <c r="BP14" i="6"/>
  <c r="BT14" i="6"/>
  <c r="CL14" i="6"/>
  <c r="CJ14" i="6"/>
  <c r="CH14" i="6"/>
  <c r="BO14" i="6"/>
  <c r="CG14" i="6"/>
  <c r="BN14" i="6"/>
  <c r="CF14" i="6"/>
  <c r="BM14" i="6"/>
  <c r="CM14" i="6"/>
  <c r="CI14" i="6"/>
  <c r="AT14" i="6"/>
  <c r="AU14" i="6"/>
  <c r="AV14" i="6"/>
  <c r="AW14" i="6"/>
  <c r="AX14" i="6"/>
  <c r="AY14" i="6"/>
  <c r="AZ14" i="6"/>
  <c r="BA14" i="6"/>
  <c r="B23" i="10"/>
  <c r="B22" i="7"/>
  <c r="C23" i="7" a="1"/>
  <c r="C23" i="7" s="1"/>
  <c r="B62" i="9"/>
  <c r="BC14" i="6"/>
  <c r="BD14" i="6"/>
  <c r="BH14" i="6"/>
  <c r="BE14" i="6"/>
  <c r="BF14" i="6"/>
  <c r="BJ14" i="6"/>
  <c r="BI14" i="6"/>
  <c r="BL14" i="6"/>
  <c r="BK14" i="6"/>
  <c r="BG14" i="6"/>
  <c r="CD14" i="6"/>
  <c r="AL14" i="6"/>
  <c r="AP14" i="6"/>
  <c r="BV14" i="6"/>
  <c r="AO14" i="6"/>
  <c r="BX14" i="6"/>
  <c r="BZ14" i="6"/>
  <c r="AJ14" i="6"/>
  <c r="BW14" i="6"/>
  <c r="CC14" i="6"/>
  <c r="AK14" i="6"/>
  <c r="CB14" i="6"/>
  <c r="AM14" i="6"/>
  <c r="AQ14" i="6"/>
  <c r="AR14" i="6"/>
  <c r="AS14" i="6"/>
  <c r="CE14" i="6"/>
  <c r="CA14" i="6"/>
  <c r="AN14" i="6"/>
  <c r="BY14" i="6"/>
  <c r="AR90" i="6" l="1"/>
  <c r="BY90" i="6"/>
  <c r="AT90" i="6"/>
  <c r="BO90" i="6"/>
  <c r="CA90" i="6"/>
  <c r="CM90" i="6"/>
  <c r="BJ90" i="6"/>
  <c r="BL90" i="6"/>
  <c r="BE90" i="6"/>
  <c r="T90" i="5"/>
  <c r="BN90" i="6"/>
  <c r="CH90" i="6"/>
  <c r="BC90" i="6"/>
  <c r="AW90" i="6"/>
  <c r="CF90" i="6"/>
  <c r="BD90" i="6"/>
  <c r="BP90" i="6"/>
  <c r="BF90" i="6"/>
  <c r="AU90" i="6"/>
  <c r="B93" i="6"/>
  <c r="A93" i="12"/>
  <c r="B93" i="5"/>
  <c r="AE93" i="5"/>
  <c r="G93" i="5"/>
  <c r="W93" i="5"/>
  <c r="H93" i="12" s="1"/>
  <c r="AD93" i="5"/>
  <c r="N93" i="5"/>
  <c r="C94" i="5"/>
  <c r="H93" i="5"/>
  <c r="F93" i="5"/>
  <c r="E93" i="5"/>
  <c r="BW90" i="6"/>
  <c r="CI90" i="6"/>
  <c r="BZ90" i="6"/>
  <c r="AX90" i="6"/>
  <c r="BH90" i="6"/>
  <c r="CC90" i="6"/>
  <c r="AY90" i="6"/>
  <c r="AP90" i="6"/>
  <c r="BK90" i="6"/>
  <c r="BT90" i="6"/>
  <c r="BS90" i="6"/>
  <c r="BQ90" i="6"/>
  <c r="BG90" i="6"/>
  <c r="BX90" i="6"/>
  <c r="CG90" i="6"/>
  <c r="M91" i="6"/>
  <c r="BT91" i="6" s="1"/>
  <c r="H91" i="6" a="1"/>
  <c r="H91" i="6" s="1"/>
  <c r="CD90" i="6"/>
  <c r="CK90" i="6"/>
  <c r="CB90" i="6"/>
  <c r="CJ90" i="6"/>
  <c r="H92" i="6" a="1"/>
  <c r="H92" i="6" s="1"/>
  <c r="T92" i="5" s="1"/>
  <c r="AZ90" i="6"/>
  <c r="AS90" i="6"/>
  <c r="AV90" i="6"/>
  <c r="K91" i="12"/>
  <c r="G89" i="12"/>
  <c r="L92" i="12" a="1"/>
  <c r="L92" i="12" s="1"/>
  <c r="J92" i="12" a="1"/>
  <c r="J92" i="12" s="1"/>
  <c r="BR90" i="6"/>
  <c r="BM90" i="6"/>
  <c r="BI90" i="6"/>
  <c r="A92" i="6"/>
  <c r="M92" i="6" s="1"/>
  <c r="AQ90" i="6"/>
  <c r="CL90" i="6"/>
  <c r="CE90" i="6"/>
  <c r="BA90" i="6"/>
  <c r="C24" i="7" a="1"/>
  <c r="C24" i="7" s="1"/>
  <c r="B23" i="7"/>
  <c r="B24" i="10"/>
  <c r="B63" i="9"/>
  <c r="X14" i="5" a="1"/>
  <c r="X14" i="5" s="1"/>
  <c r="AQ91" i="6" l="1"/>
  <c r="BO91" i="6"/>
  <c r="BD91" i="6"/>
  <c r="BY91" i="6"/>
  <c r="BZ91" i="6"/>
  <c r="AT91" i="6"/>
  <c r="CL91" i="6"/>
  <c r="BV91" i="6"/>
  <c r="BW91" i="6"/>
  <c r="K92" i="12"/>
  <c r="BK91" i="6"/>
  <c r="CE91" i="6"/>
  <c r="BC91" i="6"/>
  <c r="CG91" i="6"/>
  <c r="BF92" i="6"/>
  <c r="BQ92" i="6"/>
  <c r="CA92" i="6"/>
  <c r="BR92" i="6"/>
  <c r="CM92" i="6"/>
  <c r="BL92" i="6"/>
  <c r="BN92" i="6"/>
  <c r="CJ92" i="6"/>
  <c r="CD92" i="6"/>
  <c r="BX92" i="6"/>
  <c r="BK92" i="6"/>
  <c r="BT92" i="6"/>
  <c r="CB92" i="6"/>
  <c r="BO92" i="6"/>
  <c r="CH92" i="6"/>
  <c r="BS92" i="6"/>
  <c r="BJ92" i="6"/>
  <c r="CC92" i="6"/>
  <c r="BD92" i="6"/>
  <c r="BG92" i="6"/>
  <c r="BC92" i="6"/>
  <c r="BZ92" i="6"/>
  <c r="BE92" i="6"/>
  <c r="CL92" i="6"/>
  <c r="BW92" i="6"/>
  <c r="CE92" i="6"/>
  <c r="BH92" i="6"/>
  <c r="CI92" i="6"/>
  <c r="CK92" i="6"/>
  <c r="BV92" i="6"/>
  <c r="CF92" i="6"/>
  <c r="CG92" i="6"/>
  <c r="BP92" i="6"/>
  <c r="BI92" i="6"/>
  <c r="BY92" i="6"/>
  <c r="BM92" i="6"/>
  <c r="AX92" i="6"/>
  <c r="BI91" i="6"/>
  <c r="AS91" i="6"/>
  <c r="CK91" i="6"/>
  <c r="BM91" i="6"/>
  <c r="BH91" i="6"/>
  <c r="AU91" i="6"/>
  <c r="BP91" i="6"/>
  <c r="BQ91" i="6"/>
  <c r="BE91" i="6"/>
  <c r="BL91" i="6"/>
  <c r="CC91" i="6"/>
  <c r="BA91" i="6"/>
  <c r="G90" i="12"/>
  <c r="AZ92" i="6"/>
  <c r="CB91" i="6"/>
  <c r="AX91" i="6"/>
  <c r="BN91" i="6"/>
  <c r="AP92" i="6"/>
  <c r="AS92" i="6"/>
  <c r="AR92" i="6"/>
  <c r="T91" i="5"/>
  <c r="BF91" i="6"/>
  <c r="BR91" i="6"/>
  <c r="BG91" i="6"/>
  <c r="CA91" i="6"/>
  <c r="G92" i="12"/>
  <c r="AQ92" i="6"/>
  <c r="BA92" i="6"/>
  <c r="CH91" i="6"/>
  <c r="BX91" i="6"/>
  <c r="CJ91" i="6"/>
  <c r="BS91" i="6"/>
  <c r="CM91" i="6"/>
  <c r="G94" i="5"/>
  <c r="AD94" i="5"/>
  <c r="A94" i="12"/>
  <c r="F94" i="5"/>
  <c r="W94" i="5"/>
  <c r="H94" i="12" s="1"/>
  <c r="E94" i="5"/>
  <c r="B94" i="5"/>
  <c r="C95" i="5"/>
  <c r="AE94" i="5"/>
  <c r="B94" i="6"/>
  <c r="N94" i="5"/>
  <c r="H94" i="5"/>
  <c r="AV92" i="6"/>
  <c r="AU92" i="6"/>
  <c r="CI91" i="6"/>
  <c r="AR91" i="6"/>
  <c r="CF91" i="6"/>
  <c r="D93" i="6"/>
  <c r="A93" i="6" s="1"/>
  <c r="M93" i="6" s="1"/>
  <c r="CM93" i="6" s="1"/>
  <c r="AY92" i="6"/>
  <c r="AW92" i="6"/>
  <c r="AV91" i="6"/>
  <c r="BJ91" i="6"/>
  <c r="AY91" i="6"/>
  <c r="AT92" i="6"/>
  <c r="AP91" i="6"/>
  <c r="AW91" i="6"/>
  <c r="CD91" i="6"/>
  <c r="AZ91" i="6"/>
  <c r="B24" i="7"/>
  <c r="C25" i="7" a="1"/>
  <c r="C25" i="7" s="1"/>
  <c r="B64" i="9"/>
  <c r="B25" i="10"/>
  <c r="I14" i="5"/>
  <c r="Z14" i="5"/>
  <c r="I14" i="12"/>
  <c r="L14" i="5"/>
  <c r="AM14" i="5"/>
  <c r="D94" i="6" l="1"/>
  <c r="A94" i="6" s="1"/>
  <c r="M94" i="6" s="1"/>
  <c r="BD94" i="6" s="1"/>
  <c r="H93" i="6" a="1"/>
  <c r="H93" i="6" s="1"/>
  <c r="T93" i="5" s="1"/>
  <c r="CG93" i="6"/>
  <c r="BX93" i="6"/>
  <c r="BI93" i="6"/>
  <c r="BQ93" i="6"/>
  <c r="BW93" i="6"/>
  <c r="BZ93" i="6"/>
  <c r="BL93" i="6"/>
  <c r="BM93" i="6"/>
  <c r="CC93" i="6"/>
  <c r="CF93" i="6"/>
  <c r="CE93" i="6"/>
  <c r="BK93" i="6"/>
  <c r="BY93" i="6"/>
  <c r="BS93" i="6"/>
  <c r="CH93" i="6"/>
  <c r="BN93" i="6"/>
  <c r="BR93" i="6"/>
  <c r="BO93" i="6"/>
  <c r="CJ93" i="6"/>
  <c r="CB93" i="6"/>
  <c r="CK93" i="6"/>
  <c r="CI93" i="6"/>
  <c r="BV93" i="6"/>
  <c r="BP93" i="6"/>
  <c r="BD93" i="6"/>
  <c r="CL93" i="6"/>
  <c r="BF93" i="6"/>
  <c r="CA93" i="6"/>
  <c r="BH93" i="6"/>
  <c r="BT93" i="6"/>
  <c r="BC93" i="6"/>
  <c r="CD93" i="6"/>
  <c r="BE93" i="6"/>
  <c r="BG93" i="6"/>
  <c r="BJ93" i="6"/>
  <c r="G91" i="12"/>
  <c r="D95" i="5"/>
  <c r="B95" i="12" s="1"/>
  <c r="B95" i="5"/>
  <c r="K95" i="5"/>
  <c r="C96" i="5"/>
  <c r="N95" i="5"/>
  <c r="AE95" i="5"/>
  <c r="A95" i="12"/>
  <c r="B95" i="6"/>
  <c r="H95" i="5"/>
  <c r="F95" i="5"/>
  <c r="E95" i="5"/>
  <c r="AD95" i="5"/>
  <c r="J95" i="5"/>
  <c r="G95" i="5"/>
  <c r="B25" i="7"/>
  <c r="C26" i="7" a="1"/>
  <c r="C26" i="7" s="1"/>
  <c r="B26" i="10"/>
  <c r="O14" i="5"/>
  <c r="C14" i="6"/>
  <c r="M14" i="12"/>
  <c r="AO14" i="12"/>
  <c r="C14" i="12"/>
  <c r="O14" i="12"/>
  <c r="AB14" i="5"/>
  <c r="AA14" i="5"/>
  <c r="AS93" i="6" l="1"/>
  <c r="AZ93" i="6"/>
  <c r="AQ93" i="6"/>
  <c r="AU93" i="6"/>
  <c r="AR93" i="6"/>
  <c r="AM93" i="6"/>
  <c r="AP93" i="6"/>
  <c r="AO93" i="6"/>
  <c r="AW93" i="6"/>
  <c r="AK93" i="6"/>
  <c r="AL93" i="6"/>
  <c r="BA93" i="6"/>
  <c r="AV93" i="6"/>
  <c r="AT93" i="6"/>
  <c r="H94" i="6" a="1"/>
  <c r="H94" i="6" s="1"/>
  <c r="T94" i="5" s="1"/>
  <c r="BH94" i="6"/>
  <c r="BX94" i="6"/>
  <c r="CM94" i="6"/>
  <c r="BZ94" i="6"/>
  <c r="BC94" i="6"/>
  <c r="CJ94" i="6"/>
  <c r="BO94" i="6"/>
  <c r="CF94" i="6"/>
  <c r="BM94" i="6"/>
  <c r="CC94" i="6"/>
  <c r="CA94" i="6"/>
  <c r="BN94" i="6"/>
  <c r="CG94" i="6"/>
  <c r="CD94" i="6"/>
  <c r="CK94" i="6"/>
  <c r="BW94" i="6"/>
  <c r="CE94" i="6"/>
  <c r="BL94" i="6"/>
  <c r="BK94" i="6"/>
  <c r="BF94" i="6"/>
  <c r="BR94" i="6"/>
  <c r="BQ94" i="6"/>
  <c r="CH94" i="6"/>
  <c r="BV94" i="6"/>
  <c r="BE94" i="6"/>
  <c r="CI94" i="6"/>
  <c r="CB94" i="6"/>
  <c r="BG94" i="6"/>
  <c r="BY94" i="6"/>
  <c r="BP94" i="6"/>
  <c r="BJ94" i="6"/>
  <c r="BS94" i="6"/>
  <c r="BI94" i="6"/>
  <c r="CL94" i="6"/>
  <c r="BT94" i="6"/>
  <c r="L95" i="12" a="1"/>
  <c r="L95" i="12" s="1"/>
  <c r="J95" i="12" a="1"/>
  <c r="J95" i="12" s="1"/>
  <c r="H96" i="5"/>
  <c r="N96" i="5"/>
  <c r="D96" i="5"/>
  <c r="B96" i="12" s="1"/>
  <c r="K96" i="5"/>
  <c r="A96" i="12"/>
  <c r="B96" i="5"/>
  <c r="J96" i="5"/>
  <c r="AD96" i="5"/>
  <c r="AE96" i="5"/>
  <c r="G96" i="5"/>
  <c r="C97" i="5"/>
  <c r="B96" i="6"/>
  <c r="F96" i="5"/>
  <c r="E96" i="5"/>
  <c r="AJ93" i="6"/>
  <c r="D95" i="6"/>
  <c r="A95" i="6" s="1"/>
  <c r="M95" i="6" s="1"/>
  <c r="AY93" i="6"/>
  <c r="AX93" i="6"/>
  <c r="AN93" i="6"/>
  <c r="G93" i="12"/>
  <c r="B27" i="10"/>
  <c r="B26" i="7"/>
  <c r="C27" i="7" a="1"/>
  <c r="C27" i="7" s="1"/>
  <c r="N14" i="12"/>
  <c r="Y14" i="12"/>
  <c r="D14" i="12"/>
  <c r="E14" i="6"/>
  <c r="AL94" i="6" l="1"/>
  <c r="AN94" i="6"/>
  <c r="AK94" i="6"/>
  <c r="AP94" i="6"/>
  <c r="AV94" i="6"/>
  <c r="AO94" i="6"/>
  <c r="AT94" i="6"/>
  <c r="AY94" i="6"/>
  <c r="AJ94" i="6"/>
  <c r="D96" i="6"/>
  <c r="G94" i="12"/>
  <c r="B97" i="6"/>
  <c r="J97" i="5"/>
  <c r="F97" i="5"/>
  <c r="N97" i="5"/>
  <c r="E97" i="5"/>
  <c r="D97" i="5"/>
  <c r="B97" i="12" s="1"/>
  <c r="AE97" i="5"/>
  <c r="A97" i="12"/>
  <c r="B97" i="5"/>
  <c r="AD97" i="5"/>
  <c r="K97" i="5"/>
  <c r="H97" i="5"/>
  <c r="G97" i="5"/>
  <c r="K95" i="12"/>
  <c r="AQ94" i="6"/>
  <c r="AW94" i="6"/>
  <c r="AX94" i="6"/>
  <c r="L96" i="12" a="1"/>
  <c r="L96" i="12" s="1"/>
  <c r="J96" i="12" a="1"/>
  <c r="J96" i="12" s="1"/>
  <c r="AM94" i="6"/>
  <c r="AS94" i="6"/>
  <c r="BR95" i="6"/>
  <c r="BK95" i="6"/>
  <c r="CG95" i="6"/>
  <c r="CC95" i="6"/>
  <c r="CA95" i="6"/>
  <c r="CE95" i="6"/>
  <c r="CH95" i="6"/>
  <c r="BW95" i="6"/>
  <c r="BX95" i="6"/>
  <c r="BY95" i="6"/>
  <c r="BG95" i="6"/>
  <c r="CM95" i="6"/>
  <c r="BH95" i="6"/>
  <c r="H95" i="6" a="1"/>
  <c r="H95" i="6" s="1"/>
  <c r="T95" i="5" s="1"/>
  <c r="CL95" i="6"/>
  <c r="CI95" i="6"/>
  <c r="BV95" i="6"/>
  <c r="BF95" i="6"/>
  <c r="CB95" i="6"/>
  <c r="CJ95" i="6"/>
  <c r="BP95" i="6"/>
  <c r="CF95" i="6"/>
  <c r="BZ95" i="6"/>
  <c r="BD95" i="6"/>
  <c r="CD95" i="6"/>
  <c r="BO95" i="6"/>
  <c r="BQ95" i="6"/>
  <c r="BM95" i="6"/>
  <c r="BJ95" i="6"/>
  <c r="BS95" i="6"/>
  <c r="BI95" i="6"/>
  <c r="BC95" i="6"/>
  <c r="BE95" i="6"/>
  <c r="BN95" i="6"/>
  <c r="BT95" i="6"/>
  <c r="BL95" i="6"/>
  <c r="CK95" i="6"/>
  <c r="BA94" i="6"/>
  <c r="AU94" i="6"/>
  <c r="AR94" i="6"/>
  <c r="AZ94" i="6"/>
  <c r="C28" i="7" a="1"/>
  <c r="C28" i="7" s="1"/>
  <c r="B27" i="7"/>
  <c r="B28" i="10"/>
  <c r="W14" i="12"/>
  <c r="X14" i="12"/>
  <c r="BA95" i="6" l="1"/>
  <c r="K96" i="12"/>
  <c r="AS95" i="6"/>
  <c r="AX95" i="6"/>
  <c r="AZ95" i="6"/>
  <c r="C98" i="5"/>
  <c r="D97" i="6"/>
  <c r="AV95" i="6"/>
  <c r="AP95" i="6"/>
  <c r="G95" i="12"/>
  <c r="H96" i="6" a="1"/>
  <c r="H96" i="6" s="1"/>
  <c r="T96" i="5" s="1"/>
  <c r="AT95" i="6"/>
  <c r="AQ95" i="6"/>
  <c r="AU95" i="6"/>
  <c r="A96" i="6"/>
  <c r="M96" i="6" s="1"/>
  <c r="BL96" i="6" s="1"/>
  <c r="AW95" i="6"/>
  <c r="AR95" i="6"/>
  <c r="AY95" i="6"/>
  <c r="L97" i="12" a="1"/>
  <c r="L97" i="12" s="1"/>
  <c r="J97" i="12" a="1"/>
  <c r="J97" i="12" s="1"/>
  <c r="B29" i="10"/>
  <c r="B28" i="7"/>
  <c r="C29" i="7" a="1"/>
  <c r="C29" i="7" s="1"/>
  <c r="V14" i="12"/>
  <c r="T14" i="12"/>
  <c r="U14" i="12"/>
  <c r="K97" i="12" l="1"/>
  <c r="BN96" i="6"/>
  <c r="BE96" i="6"/>
  <c r="BX96" i="6"/>
  <c r="CL96" i="6"/>
  <c r="BO96" i="6"/>
  <c r="BT96" i="6"/>
  <c r="CK96" i="6"/>
  <c r="BJ96" i="6"/>
  <c r="CA96" i="6"/>
  <c r="BV96" i="6"/>
  <c r="AQ96" i="6"/>
  <c r="CC96" i="6"/>
  <c r="BD96" i="6"/>
  <c r="BW96" i="6"/>
  <c r="CJ96" i="6"/>
  <c r="BI96" i="6"/>
  <c r="H97" i="6" a="1"/>
  <c r="H97" i="6" s="1"/>
  <c r="T97" i="5" s="1"/>
  <c r="AR96" i="6"/>
  <c r="BG96" i="6"/>
  <c r="AW96" i="6"/>
  <c r="BH96" i="6"/>
  <c r="CD96" i="6"/>
  <c r="BM96" i="6"/>
  <c r="AU96" i="6"/>
  <c r="BS96" i="6"/>
  <c r="AZ96" i="6"/>
  <c r="AT96" i="6"/>
  <c r="BQ96" i="6"/>
  <c r="CM96" i="6"/>
  <c r="AY96" i="6"/>
  <c r="A97" i="6"/>
  <c r="M97" i="6" s="1"/>
  <c r="CI96" i="6"/>
  <c r="BK96" i="6"/>
  <c r="AX96" i="6"/>
  <c r="BY96" i="6"/>
  <c r="CF96" i="6"/>
  <c r="CB96" i="6"/>
  <c r="BZ96" i="6"/>
  <c r="F98" i="5"/>
  <c r="AE98" i="5"/>
  <c r="A98" i="12"/>
  <c r="E98" i="5"/>
  <c r="B98" i="6"/>
  <c r="D98" i="5"/>
  <c r="B98" i="12" s="1"/>
  <c r="C99" i="5"/>
  <c r="H98" i="5"/>
  <c r="B98" i="5"/>
  <c r="K98" i="5"/>
  <c r="J98" i="5"/>
  <c r="AD98" i="5"/>
  <c r="N98" i="5"/>
  <c r="G98" i="5"/>
  <c r="G96" i="12"/>
  <c r="CE96" i="6"/>
  <c r="CG96" i="6"/>
  <c r="AP96" i="6"/>
  <c r="BR96" i="6"/>
  <c r="AS96" i="6"/>
  <c r="BA96" i="6"/>
  <c r="AV96" i="6"/>
  <c r="BC96" i="6"/>
  <c r="BP96" i="6"/>
  <c r="BF96" i="6"/>
  <c r="CH96" i="6"/>
  <c r="B30" i="10"/>
  <c r="B29" i="7"/>
  <c r="C30" i="7" a="1"/>
  <c r="C30" i="7" s="1"/>
  <c r="U1" i="7" a="1"/>
  <c r="U1" i="7" s="1"/>
  <c r="W1" i="7" a="1"/>
  <c r="W1" i="7" s="1"/>
  <c r="Y1" i="7" a="1"/>
  <c r="Y1" i="7" s="1"/>
  <c r="S1" i="7" a="1"/>
  <c r="S1" i="7" s="1"/>
  <c r="T1" i="7" a="1"/>
  <c r="T1" i="7" s="1"/>
  <c r="V1" i="7" a="1"/>
  <c r="V1" i="7" s="1"/>
  <c r="X1" i="7" a="1"/>
  <c r="X1" i="7" s="1"/>
  <c r="BN97" i="6" l="1"/>
  <c r="BJ97" i="6"/>
  <c r="BF97" i="6"/>
  <c r="BQ97" i="6"/>
  <c r="BY97" i="6"/>
  <c r="CC97" i="6"/>
  <c r="BS97" i="6"/>
  <c r="BI97" i="6"/>
  <c r="CI97" i="6"/>
  <c r="BK97" i="6"/>
  <c r="CK97" i="6"/>
  <c r="BX97" i="6"/>
  <c r="CB97" i="6"/>
  <c r="BH97" i="6"/>
  <c r="BV97" i="6"/>
  <c r="BG97" i="6"/>
  <c r="BW97" i="6"/>
  <c r="BM97" i="6"/>
  <c r="CH97" i="6"/>
  <c r="CD97" i="6"/>
  <c r="BD97" i="6"/>
  <c r="BC97" i="6"/>
  <c r="BE97" i="6"/>
  <c r="CM97" i="6"/>
  <c r="CL97" i="6"/>
  <c r="BO97" i="6"/>
  <c r="CE97" i="6"/>
  <c r="CJ97" i="6"/>
  <c r="CF97" i="6"/>
  <c r="BP97" i="6"/>
  <c r="CG97" i="6"/>
  <c r="BT97" i="6"/>
  <c r="BR97" i="6"/>
  <c r="BZ97" i="6"/>
  <c r="BL97" i="6"/>
  <c r="CA97" i="6"/>
  <c r="AV97" i="6"/>
  <c r="AY97" i="6"/>
  <c r="AZ97" i="6"/>
  <c r="AX97" i="6"/>
  <c r="D98" i="6"/>
  <c r="L98" i="12" a="1"/>
  <c r="L98" i="12" s="1"/>
  <c r="J98" i="12" a="1"/>
  <c r="J98" i="12" s="1"/>
  <c r="AT97" i="6"/>
  <c r="G97" i="12"/>
  <c r="AW97" i="6"/>
  <c r="AU97" i="6"/>
  <c r="AR97" i="6"/>
  <c r="AP97" i="6"/>
  <c r="F99" i="5"/>
  <c r="J99" i="5"/>
  <c r="C100" i="5"/>
  <c r="B99" i="6"/>
  <c r="AD99" i="5"/>
  <c r="E99" i="5"/>
  <c r="B99" i="5"/>
  <c r="H99" i="5"/>
  <c r="N99" i="5"/>
  <c r="AE99" i="5"/>
  <c r="A99" i="12"/>
  <c r="K99" i="5"/>
  <c r="D99" i="5"/>
  <c r="B99" i="12" s="1"/>
  <c r="G99" i="5"/>
  <c r="AS97" i="6"/>
  <c r="AQ97" i="6"/>
  <c r="BA97" i="6"/>
  <c r="B30" i="7"/>
  <c r="C31" i="7" a="1"/>
  <c r="C31" i="7" s="1"/>
  <c r="B31" i="10"/>
  <c r="AO12" i="13"/>
  <c r="AL12" i="13"/>
  <c r="J99" i="12" l="1" a="1"/>
  <c r="J99" i="12" s="1"/>
  <c r="L99" i="12" a="1"/>
  <c r="L99" i="12" s="1"/>
  <c r="A98" i="6"/>
  <c r="M98" i="6" s="1"/>
  <c r="BR98" i="6" s="1"/>
  <c r="D99" i="6"/>
  <c r="K98" i="12"/>
  <c r="G100" i="5"/>
  <c r="J100" i="5"/>
  <c r="B100" i="5"/>
  <c r="C101" i="5" s="1"/>
  <c r="E100" i="5"/>
  <c r="K100" i="5"/>
  <c r="H100" i="5"/>
  <c r="AD100" i="5"/>
  <c r="AE100" i="5"/>
  <c r="D100" i="5"/>
  <c r="B100" i="12" s="1"/>
  <c r="A100" i="12"/>
  <c r="B100" i="6"/>
  <c r="N100" i="5"/>
  <c r="F100" i="5"/>
  <c r="H98" i="6" a="1"/>
  <c r="H98" i="6" s="1"/>
  <c r="T98" i="5" s="1"/>
  <c r="B32" i="10"/>
  <c r="B31" i="7"/>
  <c r="C32" i="7" a="1"/>
  <c r="C32" i="7" s="1"/>
  <c r="AJ12" i="13"/>
  <c r="AN12" i="13"/>
  <c r="AK12" i="13"/>
  <c r="CM98" i="6" l="1"/>
  <c r="BH98" i="6"/>
  <c r="BM98" i="6"/>
  <c r="BO98" i="6"/>
  <c r="BC98" i="6"/>
  <c r="BL98" i="6"/>
  <c r="BW98" i="6"/>
  <c r="CA98" i="6"/>
  <c r="BK98" i="6"/>
  <c r="BT98" i="6"/>
  <c r="BQ98" i="6"/>
  <c r="CH98" i="6"/>
  <c r="BG98" i="6"/>
  <c r="CE98" i="6"/>
  <c r="BI98" i="6"/>
  <c r="BS98" i="6"/>
  <c r="BF98" i="6"/>
  <c r="BY98" i="6"/>
  <c r="BX98" i="6"/>
  <c r="BD98" i="6"/>
  <c r="CL98" i="6"/>
  <c r="CF98" i="6"/>
  <c r="BP98" i="6"/>
  <c r="BN98" i="6"/>
  <c r="CK98" i="6"/>
  <c r="CI98" i="6"/>
  <c r="BE98" i="6"/>
  <c r="CG98" i="6"/>
  <c r="K99" i="12"/>
  <c r="BV98" i="6"/>
  <c r="CD98" i="6"/>
  <c r="CJ98" i="6"/>
  <c r="BJ98" i="6"/>
  <c r="CC98" i="6"/>
  <c r="BZ98" i="6"/>
  <c r="CB98" i="6"/>
  <c r="BA98" i="6"/>
  <c r="AP98" i="6"/>
  <c r="AR98" i="6"/>
  <c r="H99" i="6" a="1"/>
  <c r="H99" i="6" s="1"/>
  <c r="T99" i="5" s="1"/>
  <c r="AU98" i="6"/>
  <c r="AS98" i="6"/>
  <c r="AW98" i="6"/>
  <c r="AQ98" i="6"/>
  <c r="AX98" i="6"/>
  <c r="D100" i="6"/>
  <c r="A99" i="6"/>
  <c r="M99" i="6" s="1"/>
  <c r="BY99" i="6" s="1"/>
  <c r="G98" i="12"/>
  <c r="AY98" i="6"/>
  <c r="AT98" i="6"/>
  <c r="AD101" i="5"/>
  <c r="AE101" i="5"/>
  <c r="N101" i="5"/>
  <c r="B101" i="6"/>
  <c r="C102" i="5"/>
  <c r="C103" i="5" s="1"/>
  <c r="A101" i="12"/>
  <c r="B101" i="5"/>
  <c r="G101" i="5"/>
  <c r="E101" i="5"/>
  <c r="W101" i="5"/>
  <c r="H101" i="12" s="1"/>
  <c r="H101" i="5"/>
  <c r="F101" i="5"/>
  <c r="AV98" i="6"/>
  <c r="AZ98" i="6"/>
  <c r="J100" i="12" a="1"/>
  <c r="J100" i="12" s="1"/>
  <c r="L100" i="12" a="1"/>
  <c r="L100" i="12" s="1"/>
  <c r="B32" i="7"/>
  <c r="C33" i="7" a="1"/>
  <c r="C33" i="7" s="1"/>
  <c r="B33" i="10"/>
  <c r="R1" i="7" a="1"/>
  <c r="R1" i="7" s="1"/>
  <c r="M1" i="7" a="1"/>
  <c r="M1" i="7" s="1"/>
  <c r="P1" i="7" a="1"/>
  <c r="P1" i="7" s="1"/>
  <c r="Q1" i="7" a="1"/>
  <c r="Q1" i="7" s="1"/>
  <c r="O1" i="7" a="1"/>
  <c r="O1" i="7" s="1"/>
  <c r="N1" i="7" a="1"/>
  <c r="N1" i="7" s="1"/>
  <c r="AE103" i="5" l="1"/>
  <c r="AD103" i="5"/>
  <c r="N103" i="5"/>
  <c r="K103" i="5"/>
  <c r="B103" i="6"/>
  <c r="J103" i="5"/>
  <c r="A103" i="12"/>
  <c r="D103" i="5"/>
  <c r="B103" i="12" s="1"/>
  <c r="K100" i="12"/>
  <c r="BL99" i="6"/>
  <c r="CF99" i="6"/>
  <c r="BR99" i="6"/>
  <c r="BD99" i="6"/>
  <c r="CD99" i="6"/>
  <c r="BI99" i="6"/>
  <c r="AS99" i="6"/>
  <c r="AR99" i="6"/>
  <c r="BT99" i="6"/>
  <c r="BN99" i="6"/>
  <c r="CL99" i="6"/>
  <c r="CK99" i="6"/>
  <c r="BO99" i="6"/>
  <c r="AW99" i="6"/>
  <c r="BM99" i="6"/>
  <c r="BV99" i="6"/>
  <c r="A100" i="6"/>
  <c r="M100" i="6" s="1"/>
  <c r="BP100" i="6" s="1"/>
  <c r="AQ99" i="6"/>
  <c r="BF99" i="6"/>
  <c r="BE99" i="6"/>
  <c r="BS99" i="6"/>
  <c r="BC99" i="6"/>
  <c r="BA99" i="6"/>
  <c r="CI99" i="6"/>
  <c r="BQ99" i="6"/>
  <c r="AT99" i="6"/>
  <c r="AX99" i="6"/>
  <c r="BH99" i="6"/>
  <c r="CC99" i="6"/>
  <c r="AE102" i="5"/>
  <c r="E102" i="5"/>
  <c r="E103" i="5" s="1"/>
  <c r="A102" i="12"/>
  <c r="C104" i="5"/>
  <c r="C105" i="5" s="1"/>
  <c r="K102" i="5"/>
  <c r="AD102" i="5"/>
  <c r="F102" i="5"/>
  <c r="F103" i="5" s="1"/>
  <c r="D102" i="5"/>
  <c r="B102" i="12" s="1"/>
  <c r="G102" i="5"/>
  <c r="G103" i="5" s="1"/>
  <c r="B102" i="6"/>
  <c r="N102" i="5"/>
  <c r="H102" i="5"/>
  <c r="H103" i="5" s="1"/>
  <c r="J102" i="5"/>
  <c r="B102" i="5"/>
  <c r="B103" i="5" s="1"/>
  <c r="BJ99" i="6"/>
  <c r="AV99" i="6"/>
  <c r="AU99" i="6"/>
  <c r="CE99" i="6"/>
  <c r="AY99" i="6"/>
  <c r="BW99" i="6"/>
  <c r="BK99" i="6"/>
  <c r="G99" i="12"/>
  <c r="CG99" i="6"/>
  <c r="CM99" i="6"/>
  <c r="CJ99" i="6"/>
  <c r="CA99" i="6"/>
  <c r="AZ99" i="6"/>
  <c r="D101" i="6"/>
  <c r="H100" i="6" a="1"/>
  <c r="H100" i="6" s="1"/>
  <c r="T100" i="5" s="1"/>
  <c r="BX99" i="6"/>
  <c r="CH99" i="6"/>
  <c r="BP99" i="6"/>
  <c r="BG99" i="6"/>
  <c r="BZ99" i="6"/>
  <c r="CB99" i="6"/>
  <c r="AP99" i="6"/>
  <c r="B34" i="10"/>
  <c r="B33" i="7"/>
  <c r="C34" i="7" a="1"/>
  <c r="C34" i="7" s="1"/>
  <c r="AE105" i="5" l="1"/>
  <c r="N105" i="5"/>
  <c r="J105" i="5"/>
  <c r="AD105" i="5"/>
  <c r="K105" i="5"/>
  <c r="B105" i="6"/>
  <c r="A105" i="12"/>
  <c r="D105" i="5"/>
  <c r="B105" i="12" s="1"/>
  <c r="J103" i="12" a="1"/>
  <c r="J103" i="12" s="1"/>
  <c r="L103" i="12" a="1"/>
  <c r="L103" i="12" s="1"/>
  <c r="D103" i="6"/>
  <c r="A101" i="6"/>
  <c r="M101" i="6" s="1"/>
  <c r="BX100" i="6"/>
  <c r="BI100" i="6"/>
  <c r="BS100" i="6"/>
  <c r="CE100" i="6"/>
  <c r="CF100" i="6"/>
  <c r="BE100" i="6"/>
  <c r="BL100" i="6"/>
  <c r="BF100" i="6"/>
  <c r="BM100" i="6"/>
  <c r="BN100" i="6"/>
  <c r="CB100" i="6"/>
  <c r="CL100" i="6"/>
  <c r="CC100" i="6"/>
  <c r="AU100" i="6"/>
  <c r="BD100" i="6"/>
  <c r="CA100" i="6"/>
  <c r="BJ100" i="6"/>
  <c r="AY100" i="6"/>
  <c r="BT100" i="6"/>
  <c r="CJ100" i="6"/>
  <c r="BO100" i="6"/>
  <c r="CH100" i="6"/>
  <c r="CG100" i="6"/>
  <c r="CI100" i="6"/>
  <c r="AQ100" i="6"/>
  <c r="BW100" i="6"/>
  <c r="AZ100" i="6"/>
  <c r="AS100" i="6"/>
  <c r="D102" i="6"/>
  <c r="G100" i="12"/>
  <c r="BY100" i="6"/>
  <c r="H101" i="6" a="1"/>
  <c r="H101" i="6" s="1"/>
  <c r="T101" i="5" s="1"/>
  <c r="BC100" i="6"/>
  <c r="BH100" i="6"/>
  <c r="BK100" i="6"/>
  <c r="CK100" i="6"/>
  <c r="CD100" i="6"/>
  <c r="BZ100" i="6"/>
  <c r="BQ100" i="6"/>
  <c r="BG100" i="6"/>
  <c r="BA100" i="6"/>
  <c r="AW100" i="6"/>
  <c r="A104" i="12"/>
  <c r="AE104" i="5"/>
  <c r="C106" i="5"/>
  <c r="C107" i="5" s="1"/>
  <c r="B104" i="6"/>
  <c r="AD104" i="5"/>
  <c r="K104" i="5"/>
  <c r="B104" i="5"/>
  <c r="B105" i="5" s="1"/>
  <c r="J104" i="5"/>
  <c r="F104" i="5"/>
  <c r="F105" i="5" s="1"/>
  <c r="D104" i="5"/>
  <c r="B104" i="12" s="1"/>
  <c r="N104" i="5"/>
  <c r="H104" i="5"/>
  <c r="H105" i="5" s="1"/>
  <c r="G104" i="5"/>
  <c r="G105" i="5" s="1"/>
  <c r="E104" i="5"/>
  <c r="E105" i="5" s="1"/>
  <c r="AP100" i="6"/>
  <c r="BR100" i="6"/>
  <c r="AV100" i="6"/>
  <c r="AX100" i="6"/>
  <c r="AT100" i="6"/>
  <c r="AR100" i="6"/>
  <c r="CM100" i="6"/>
  <c r="BV100" i="6"/>
  <c r="J102" i="12" a="1"/>
  <c r="J102" i="12" s="1"/>
  <c r="L102" i="12" a="1"/>
  <c r="L102" i="12" s="1"/>
  <c r="B35" i="10"/>
  <c r="C35" i="7" a="1"/>
  <c r="C35" i="7" s="1"/>
  <c r="B34" i="7"/>
  <c r="J105" i="12" l="1" a="1"/>
  <c r="J105" i="12" s="1"/>
  <c r="L105" i="12" a="1"/>
  <c r="L105" i="12" s="1"/>
  <c r="D105" i="6"/>
  <c r="K103" i="12"/>
  <c r="H103" i="6" a="1"/>
  <c r="H103" i="6" s="1"/>
  <c r="A107" i="12"/>
  <c r="AD107" i="5"/>
  <c r="AE107" i="5"/>
  <c r="B107" i="6"/>
  <c r="K107" i="5"/>
  <c r="J107" i="5"/>
  <c r="N107" i="5"/>
  <c r="C108" i="5"/>
  <c r="D107" i="5"/>
  <c r="B107" i="12" s="1"/>
  <c r="A102" i="6"/>
  <c r="AR101" i="6"/>
  <c r="K102" i="12"/>
  <c r="BV101" i="6"/>
  <c r="BT101" i="6"/>
  <c r="AU101" i="6"/>
  <c r="BZ101" i="6"/>
  <c r="BH101" i="6"/>
  <c r="BC101" i="6"/>
  <c r="AY101" i="6"/>
  <c r="BI101" i="6"/>
  <c r="CC101" i="6"/>
  <c r="AT101" i="6"/>
  <c r="BK101" i="6"/>
  <c r="CG101" i="6"/>
  <c r="AN101" i="6"/>
  <c r="CJ101" i="6"/>
  <c r="CE101" i="6"/>
  <c r="CB101" i="6"/>
  <c r="BO101" i="6"/>
  <c r="BX101" i="6"/>
  <c r="CL101" i="6"/>
  <c r="AK101" i="6"/>
  <c r="CA101" i="6"/>
  <c r="AV101" i="6"/>
  <c r="BF101" i="6"/>
  <c r="CF101" i="6"/>
  <c r="CK101" i="6"/>
  <c r="AD106" i="5"/>
  <c r="AE106" i="5"/>
  <c r="B106" i="5"/>
  <c r="B107" i="5" s="1"/>
  <c r="N106" i="5"/>
  <c r="B106" i="6"/>
  <c r="G106" i="5"/>
  <c r="G107" i="5" s="1"/>
  <c r="K106" i="5"/>
  <c r="A106" i="12"/>
  <c r="F106" i="5"/>
  <c r="F107" i="5" s="1"/>
  <c r="E106" i="5"/>
  <c r="E107" i="5" s="1"/>
  <c r="D106" i="5"/>
  <c r="B106" i="12" s="1"/>
  <c r="H106" i="5"/>
  <c r="H107" i="5" s="1"/>
  <c r="J106" i="5"/>
  <c r="AL101" i="6"/>
  <c r="BA101" i="6"/>
  <c r="CI101" i="6"/>
  <c r="AP101" i="6"/>
  <c r="AZ101" i="6"/>
  <c r="H102" i="6" a="1"/>
  <c r="H102" i="6" s="1"/>
  <c r="T102" i="5" s="1"/>
  <c r="L104" i="12" a="1"/>
  <c r="L104" i="12" s="1"/>
  <c r="J104" i="12" a="1"/>
  <c r="J104" i="12" s="1"/>
  <c r="AW101" i="6"/>
  <c r="CD101" i="6"/>
  <c r="BS101" i="6"/>
  <c r="BN101" i="6"/>
  <c r="BP101" i="6"/>
  <c r="AJ101" i="6"/>
  <c r="AM101" i="6"/>
  <c r="G101" i="12"/>
  <c r="BY101" i="6"/>
  <c r="BE101" i="6"/>
  <c r="AQ101" i="6"/>
  <c r="BJ101" i="6"/>
  <c r="D104" i="6"/>
  <c r="BR101" i="6"/>
  <c r="AO101" i="6"/>
  <c r="BQ101" i="6"/>
  <c r="BD101" i="6"/>
  <c r="BG101" i="6"/>
  <c r="CM101" i="6"/>
  <c r="BL101" i="6"/>
  <c r="CH101" i="6"/>
  <c r="AS101" i="6"/>
  <c r="AX101" i="6"/>
  <c r="BM101" i="6"/>
  <c r="BW101" i="6"/>
  <c r="B35" i="7"/>
  <c r="C36" i="7" a="1"/>
  <c r="C36" i="7" s="1"/>
  <c r="B36" i="10"/>
  <c r="A10" i="9"/>
  <c r="K105" i="12" l="1"/>
  <c r="H105" i="6" a="1"/>
  <c r="H105" i="6" s="1"/>
  <c r="T103" i="5"/>
  <c r="M102" i="6"/>
  <c r="BT102" i="6" s="1"/>
  <c r="A103" i="6"/>
  <c r="A104" i="6" s="1"/>
  <c r="B108" i="6"/>
  <c r="A108" i="12"/>
  <c r="F108" i="5"/>
  <c r="E108" i="5"/>
  <c r="D108" i="5"/>
  <c r="B108" i="12" s="1"/>
  <c r="C109" i="5"/>
  <c r="K108" i="5"/>
  <c r="J108" i="5"/>
  <c r="G108" i="5"/>
  <c r="AE108" i="5"/>
  <c r="AD108" i="5"/>
  <c r="N108" i="5"/>
  <c r="H108" i="5"/>
  <c r="B108" i="5"/>
  <c r="D107" i="6"/>
  <c r="L107" i="12" a="1"/>
  <c r="L107" i="12" s="1"/>
  <c r="J107" i="12" a="1"/>
  <c r="J107" i="12" s="1"/>
  <c r="H104" i="6" a="1"/>
  <c r="H104" i="6" s="1"/>
  <c r="T104" i="5" s="1"/>
  <c r="D106" i="6"/>
  <c r="G102" i="12"/>
  <c r="L106" i="12" a="1"/>
  <c r="L106" i="12" s="1"/>
  <c r="J106" i="12" a="1"/>
  <c r="J106" i="12" s="1"/>
  <c r="K104" i="12"/>
  <c r="C37" i="7" a="1"/>
  <c r="C37" i="7" s="1"/>
  <c r="B36" i="7"/>
  <c r="B37" i="10"/>
  <c r="F15" i="7" a="1"/>
  <c r="F15" i="7" s="1"/>
  <c r="BW102" i="6" l="1"/>
  <c r="AS102" i="6"/>
  <c r="BL102" i="6"/>
  <c r="BY102" i="6"/>
  <c r="T105" i="5"/>
  <c r="AP102" i="6"/>
  <c r="AU102" i="6"/>
  <c r="CL102" i="6"/>
  <c r="M104" i="6"/>
  <c r="CI104" i="6" s="1"/>
  <c r="A105" i="6"/>
  <c r="A106" i="6" s="1"/>
  <c r="A107" i="6" s="1"/>
  <c r="CE102" i="6"/>
  <c r="AY102" i="6"/>
  <c r="AX102" i="6"/>
  <c r="AQ102" i="6"/>
  <c r="BQ102" i="6"/>
  <c r="BG102" i="6"/>
  <c r="BK102" i="6"/>
  <c r="BF102" i="6"/>
  <c r="BZ102" i="6"/>
  <c r="BO102" i="6"/>
  <c r="CD102" i="6"/>
  <c r="CG102" i="6"/>
  <c r="M103" i="6"/>
  <c r="BX102" i="6"/>
  <c r="AR102" i="6"/>
  <c r="CI102" i="6"/>
  <c r="CJ102" i="6"/>
  <c r="CM102" i="6"/>
  <c r="BI102" i="6"/>
  <c r="BM102" i="6"/>
  <c r="CK102" i="6"/>
  <c r="BA102" i="6"/>
  <c r="CA102" i="6"/>
  <c r="BH102" i="6"/>
  <c r="CF102" i="6"/>
  <c r="AV102" i="6"/>
  <c r="BP102" i="6"/>
  <c r="BV102" i="6"/>
  <c r="BS102" i="6"/>
  <c r="G103" i="12"/>
  <c r="AW102" i="6"/>
  <c r="AT102" i="6"/>
  <c r="BJ102" i="6"/>
  <c r="BD102" i="6"/>
  <c r="AZ102" i="6"/>
  <c r="BR102" i="6"/>
  <c r="BN102" i="6"/>
  <c r="BC102" i="6"/>
  <c r="CH102" i="6"/>
  <c r="CB102" i="6"/>
  <c r="BE102" i="6"/>
  <c r="CC102" i="6"/>
  <c r="D108" i="6"/>
  <c r="A109" i="12"/>
  <c r="J109" i="5"/>
  <c r="H109" i="5"/>
  <c r="E109" i="5"/>
  <c r="B109" i="6"/>
  <c r="D109" i="5"/>
  <c r="B109" i="12" s="1"/>
  <c r="AE109" i="5"/>
  <c r="AD109" i="5"/>
  <c r="B109" i="5"/>
  <c r="N109" i="5"/>
  <c r="C110" i="5"/>
  <c r="K109" i="5"/>
  <c r="G109" i="5"/>
  <c r="F109" i="5"/>
  <c r="K107" i="12"/>
  <c r="L108" i="12" a="1"/>
  <c r="L108" i="12" s="1"/>
  <c r="J108" i="12" a="1"/>
  <c r="J108" i="12" s="1"/>
  <c r="H107" i="6" a="1"/>
  <c r="H107" i="6" s="1"/>
  <c r="G104" i="12"/>
  <c r="K106" i="12"/>
  <c r="H106" i="6" a="1"/>
  <c r="H106" i="6" s="1"/>
  <c r="T106" i="5" s="1"/>
  <c r="B38" i="10"/>
  <c r="C38" i="7" a="1"/>
  <c r="C38" i="7" s="1"/>
  <c r="B37" i="7"/>
  <c r="I15" i="7"/>
  <c r="J15" i="7"/>
  <c r="J1" i="7" a="1"/>
  <c r="J1" i="7" s="1"/>
  <c r="Q15" i="7"/>
  <c r="Q14" i="7" s="1"/>
  <c r="L1" i="7" a="1"/>
  <c r="L1" i="7" s="1"/>
  <c r="L15" i="7"/>
  <c r="K15" i="7"/>
  <c r="K1" i="7" a="1"/>
  <c r="K1" i="7" s="1"/>
  <c r="AX104" i="6" l="1"/>
  <c r="BN104" i="6"/>
  <c r="BF104" i="6"/>
  <c r="AT104" i="6"/>
  <c r="BX104" i="6"/>
  <c r="AU104" i="6"/>
  <c r="BH104" i="6"/>
  <c r="BG104" i="6"/>
  <c r="BY104" i="6"/>
  <c r="BD104" i="6"/>
  <c r="CF104" i="6"/>
  <c r="BJ104" i="6"/>
  <c r="CC104" i="6"/>
  <c r="AQ104" i="6"/>
  <c r="CE104" i="6"/>
  <c r="BM104" i="6"/>
  <c r="AW104" i="6"/>
  <c r="BC104" i="6"/>
  <c r="CM104" i="6"/>
  <c r="AY104" i="6"/>
  <c r="BP104" i="6"/>
  <c r="AP104" i="6"/>
  <c r="AV104" i="6"/>
  <c r="BZ104" i="6"/>
  <c r="AS104" i="6"/>
  <c r="AZ104" i="6"/>
  <c r="BS104" i="6"/>
  <c r="BA104" i="6"/>
  <c r="CJ104" i="6"/>
  <c r="AR104" i="6"/>
  <c r="BQ104" i="6"/>
  <c r="BW104" i="6"/>
  <c r="BI104" i="6"/>
  <c r="CL104" i="6"/>
  <c r="BR104" i="6"/>
  <c r="BK104" i="6"/>
  <c r="CG104" i="6"/>
  <c r="BO104" i="6"/>
  <c r="CH104" i="6"/>
  <c r="CA104" i="6"/>
  <c r="CK104" i="6"/>
  <c r="CD104" i="6"/>
  <c r="BE104" i="6"/>
  <c r="CB104" i="6"/>
  <c r="BL104" i="6"/>
  <c r="BV104" i="6"/>
  <c r="M105" i="6"/>
  <c r="G105" i="12"/>
  <c r="BT104" i="6"/>
  <c r="CM103" i="6"/>
  <c r="CK103" i="6"/>
  <c r="BW103" i="6"/>
  <c r="CD103" i="6"/>
  <c r="CA103" i="6"/>
  <c r="BY103" i="6"/>
  <c r="BJ103" i="6"/>
  <c r="BQ103" i="6"/>
  <c r="BN103" i="6"/>
  <c r="BL103" i="6"/>
  <c r="CF103" i="6"/>
  <c r="BE103" i="6"/>
  <c r="BS103" i="6"/>
  <c r="CH103" i="6"/>
  <c r="BG103" i="6"/>
  <c r="CB103" i="6"/>
  <c r="CJ103" i="6"/>
  <c r="BV103" i="6"/>
  <c r="BO103" i="6"/>
  <c r="BP103" i="6"/>
  <c r="CL103" i="6"/>
  <c r="BX103" i="6"/>
  <c r="BI103" i="6"/>
  <c r="BC103" i="6"/>
  <c r="BZ103" i="6"/>
  <c r="BK103" i="6"/>
  <c r="BF103" i="6"/>
  <c r="BM103" i="6"/>
  <c r="CE103" i="6"/>
  <c r="CG103" i="6"/>
  <c r="BR103" i="6"/>
  <c r="BD103" i="6"/>
  <c r="BT103" i="6"/>
  <c r="CC103" i="6"/>
  <c r="CI103" i="6"/>
  <c r="BH103" i="6"/>
  <c r="AZ103" i="6"/>
  <c r="AT103" i="6"/>
  <c r="AS103" i="6"/>
  <c r="AW103" i="6"/>
  <c r="AR103" i="6"/>
  <c r="AY103" i="6"/>
  <c r="AX103" i="6"/>
  <c r="BA103" i="6"/>
  <c r="AU103" i="6"/>
  <c r="AQ103" i="6"/>
  <c r="AP103" i="6"/>
  <c r="AV103" i="6"/>
  <c r="A108" i="6"/>
  <c r="M108" i="6" s="1"/>
  <c r="CH108" i="6" s="1"/>
  <c r="T107" i="5"/>
  <c r="A110" i="12"/>
  <c r="B110" i="6"/>
  <c r="AD110" i="5"/>
  <c r="B110" i="5"/>
  <c r="N110" i="5"/>
  <c r="H110" i="5"/>
  <c r="G110" i="5"/>
  <c r="F110" i="5"/>
  <c r="E110" i="5"/>
  <c r="AE110" i="5"/>
  <c r="D110" i="5"/>
  <c r="B110" i="12" s="1"/>
  <c r="C111" i="5"/>
  <c r="K110" i="5"/>
  <c r="J110" i="5"/>
  <c r="D109" i="6"/>
  <c r="K108" i="12"/>
  <c r="M107" i="6"/>
  <c r="L109" i="12" a="1"/>
  <c r="L109" i="12" s="1"/>
  <c r="J109" i="12" a="1"/>
  <c r="J109" i="12" s="1"/>
  <c r="H108" i="6" a="1"/>
  <c r="H108" i="6" s="1"/>
  <c r="M106" i="6"/>
  <c r="CH106" i="6" s="1"/>
  <c r="G106" i="12"/>
  <c r="B39" i="10"/>
  <c r="B38" i="7"/>
  <c r="C39" i="7" a="1"/>
  <c r="C39" i="7" s="1"/>
  <c r="L14" i="7"/>
  <c r="K14" i="7"/>
  <c r="J14" i="7"/>
  <c r="K74" i="10" a="1"/>
  <c r="K74" i="10" s="1"/>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A109" i="6" l="1"/>
  <c r="CM105" i="6"/>
  <c r="BJ105" i="6"/>
  <c r="BD105" i="6"/>
  <c r="BY105" i="6"/>
  <c r="CA105" i="6"/>
  <c r="CD105" i="6"/>
  <c r="CB105" i="6"/>
  <c r="BI105" i="6"/>
  <c r="BW105" i="6"/>
  <c r="BN105" i="6"/>
  <c r="CK105" i="6"/>
  <c r="CC105" i="6"/>
  <c r="CF105" i="6"/>
  <c r="BQ105" i="6"/>
  <c r="BM105" i="6"/>
  <c r="BP105" i="6"/>
  <c r="BL105" i="6"/>
  <c r="BS105" i="6"/>
  <c r="BE105" i="6"/>
  <c r="CI105" i="6"/>
  <c r="CJ105" i="6"/>
  <c r="CH105" i="6"/>
  <c r="BG105" i="6"/>
  <c r="BH105" i="6"/>
  <c r="BX105" i="6"/>
  <c r="BV105" i="6"/>
  <c r="CG105" i="6"/>
  <c r="BK105" i="6"/>
  <c r="BO105" i="6"/>
  <c r="CE105" i="6"/>
  <c r="BC105" i="6"/>
  <c r="CL105" i="6"/>
  <c r="BF105" i="6"/>
  <c r="BZ105" i="6"/>
  <c r="BT105" i="6"/>
  <c r="BR105" i="6"/>
  <c r="AX105" i="6"/>
  <c r="AY105" i="6"/>
  <c r="AS105" i="6"/>
  <c r="AU105" i="6"/>
  <c r="AP105" i="6"/>
  <c r="AR105" i="6"/>
  <c r="AT105" i="6"/>
  <c r="AZ105" i="6"/>
  <c r="AQ105" i="6"/>
  <c r="BA105" i="6"/>
  <c r="AV105" i="6"/>
  <c r="AW105" i="6"/>
  <c r="AW108" i="6"/>
  <c r="AT107" i="6"/>
  <c r="AX107" i="6"/>
  <c r="AQ108" i="6"/>
  <c r="AZ107" i="6"/>
  <c r="BX108" i="6"/>
  <c r="CG108" i="6"/>
  <c r="CL108" i="6"/>
  <c r="BH108" i="6"/>
  <c r="CJ108" i="6"/>
  <c r="AS107" i="6"/>
  <c r="AU107" i="6"/>
  <c r="T108" i="5"/>
  <c r="BJ108" i="6"/>
  <c r="CA108" i="6"/>
  <c r="BA108" i="6"/>
  <c r="AR108" i="6"/>
  <c r="AP108" i="6"/>
  <c r="BW108" i="6"/>
  <c r="AP107" i="6"/>
  <c r="BS108" i="6"/>
  <c r="BL108" i="6"/>
  <c r="BC108" i="6"/>
  <c r="CI108" i="6"/>
  <c r="K109" i="12"/>
  <c r="AT108" i="6"/>
  <c r="CM108" i="6"/>
  <c r="CD108" i="6"/>
  <c r="BO108" i="6"/>
  <c r="BR108" i="6"/>
  <c r="AY107" i="6"/>
  <c r="BN108" i="6"/>
  <c r="AS108" i="6"/>
  <c r="CB108" i="6"/>
  <c r="AV107" i="6"/>
  <c r="A111" i="12"/>
  <c r="F111" i="5"/>
  <c r="E111" i="5"/>
  <c r="D111" i="5"/>
  <c r="B111" i="12" s="1"/>
  <c r="N111" i="5"/>
  <c r="C112" i="5"/>
  <c r="K111" i="5"/>
  <c r="J111" i="5"/>
  <c r="B111" i="6"/>
  <c r="G111" i="5"/>
  <c r="B111" i="5"/>
  <c r="H111" i="5"/>
  <c r="AE111" i="5"/>
  <c r="AD111" i="5"/>
  <c r="D110" i="6"/>
  <c r="A110" i="6" s="1"/>
  <c r="G107" i="12"/>
  <c r="CC108" i="6"/>
  <c r="CF108" i="6"/>
  <c r="BD108" i="6"/>
  <c r="BM108" i="6"/>
  <c r="AR107" i="6"/>
  <c r="BT108" i="6"/>
  <c r="CE108" i="6"/>
  <c r="CD107" i="6"/>
  <c r="BT107" i="6"/>
  <c r="BO107" i="6"/>
  <c r="CL107" i="6"/>
  <c r="BQ107" i="6"/>
  <c r="CA107" i="6"/>
  <c r="BC107" i="6"/>
  <c r="CE107" i="6"/>
  <c r="BE107" i="6"/>
  <c r="BK107" i="6"/>
  <c r="BX107" i="6"/>
  <c r="CJ107" i="6"/>
  <c r="CF107" i="6"/>
  <c r="BM107" i="6"/>
  <c r="CB107" i="6"/>
  <c r="CC107" i="6"/>
  <c r="BS107" i="6"/>
  <c r="BN107" i="6"/>
  <c r="BG107" i="6"/>
  <c r="BP107" i="6"/>
  <c r="BZ107" i="6"/>
  <c r="BV107" i="6"/>
  <c r="BD107" i="6"/>
  <c r="BI107" i="6"/>
  <c r="BF107" i="6"/>
  <c r="CH107" i="6"/>
  <c r="CI107" i="6"/>
  <c r="BY107" i="6"/>
  <c r="BR107" i="6"/>
  <c r="BL107" i="6"/>
  <c r="BW107" i="6"/>
  <c r="BH107" i="6"/>
  <c r="BJ107" i="6"/>
  <c r="CK107" i="6"/>
  <c r="CG107" i="6"/>
  <c r="CM107" i="6"/>
  <c r="BZ108" i="6"/>
  <c r="AY108" i="6"/>
  <c r="AV108" i="6"/>
  <c r="BQ108" i="6"/>
  <c r="BI108" i="6"/>
  <c r="AW107" i="6"/>
  <c r="BF108" i="6"/>
  <c r="CK108" i="6"/>
  <c r="BE108" i="6"/>
  <c r="AX108" i="6"/>
  <c r="BV108" i="6"/>
  <c r="AQ107" i="6"/>
  <c r="BP108" i="6"/>
  <c r="AU108" i="6"/>
  <c r="BG108" i="6"/>
  <c r="AZ108" i="6"/>
  <c r="BY108" i="6"/>
  <c r="BK108" i="6"/>
  <c r="BA107" i="6"/>
  <c r="H109" i="6" a="1"/>
  <c r="H109" i="6" s="1"/>
  <c r="M109" i="6"/>
  <c r="BN109" i="6" s="1"/>
  <c r="L110" i="12" a="1"/>
  <c r="L110" i="12" s="1"/>
  <c r="J110" i="12" a="1"/>
  <c r="J110" i="12" s="1"/>
  <c r="BT106" i="6"/>
  <c r="AS106" i="6"/>
  <c r="CD106" i="6"/>
  <c r="CF106" i="6"/>
  <c r="BD106" i="6"/>
  <c r="AR106" i="6"/>
  <c r="AV106" i="6"/>
  <c r="BV106" i="6"/>
  <c r="AY106" i="6"/>
  <c r="BR106" i="6"/>
  <c r="BN106" i="6"/>
  <c r="BO106" i="6"/>
  <c r="BL106" i="6"/>
  <c r="AW106" i="6"/>
  <c r="BS106" i="6"/>
  <c r="AP106" i="6"/>
  <c r="BF106" i="6"/>
  <c r="CG106" i="6"/>
  <c r="BZ106" i="6"/>
  <c r="BQ106" i="6"/>
  <c r="BJ106" i="6"/>
  <c r="BW106" i="6"/>
  <c r="AQ106" i="6"/>
  <c r="AZ106" i="6"/>
  <c r="CK106" i="6"/>
  <c r="AU106" i="6"/>
  <c r="CI106" i="6"/>
  <c r="BG106" i="6"/>
  <c r="CL106" i="6"/>
  <c r="BY106" i="6"/>
  <c r="BE106" i="6"/>
  <c r="BC106" i="6"/>
  <c r="BH106" i="6"/>
  <c r="AX106" i="6"/>
  <c r="CM106" i="6"/>
  <c r="BI106" i="6"/>
  <c r="CJ106" i="6"/>
  <c r="CB106" i="6"/>
  <c r="CC106" i="6"/>
  <c r="BM106" i="6"/>
  <c r="BA106" i="6"/>
  <c r="BK106" i="6"/>
  <c r="BP106" i="6"/>
  <c r="CE106" i="6"/>
  <c r="BX106" i="6"/>
  <c r="CA106" i="6"/>
  <c r="AT106" i="6"/>
  <c r="B40" i="10"/>
  <c r="B39" i="7"/>
  <c r="C40" i="7" a="1"/>
  <c r="C40" i="7" s="1"/>
  <c r="H15" i="7"/>
  <c r="E15" i="7"/>
  <c r="K110" i="12" l="1"/>
  <c r="BV109" i="6"/>
  <c r="AT109" i="6"/>
  <c r="BG109" i="6"/>
  <c r="BE109" i="6"/>
  <c r="BJ109" i="6"/>
  <c r="BD109" i="6"/>
  <c r="CA109" i="6"/>
  <c r="BL109" i="6"/>
  <c r="BW109" i="6"/>
  <c r="CD109" i="6"/>
  <c r="BP109" i="6"/>
  <c r="CM109" i="6"/>
  <c r="A112" i="12"/>
  <c r="J112" i="5"/>
  <c r="B112" i="6"/>
  <c r="H112" i="5"/>
  <c r="E112" i="5"/>
  <c r="D112" i="5"/>
  <c r="B112" i="12" s="1"/>
  <c r="AE112" i="5"/>
  <c r="AD112" i="5"/>
  <c r="B112" i="5"/>
  <c r="N112" i="5"/>
  <c r="C113" i="5"/>
  <c r="K112" i="5"/>
  <c r="F112" i="5"/>
  <c r="G112" i="5"/>
  <c r="AV109" i="6"/>
  <c r="CC109" i="6"/>
  <c r="T109" i="5"/>
  <c r="D111" i="6"/>
  <c r="A111" i="6" s="1"/>
  <c r="CL109" i="6"/>
  <c r="BF109" i="6"/>
  <c r="BM109" i="6"/>
  <c r="AP109" i="6"/>
  <c r="CE109" i="6"/>
  <c r="BX109" i="6"/>
  <c r="CH109" i="6"/>
  <c r="AU109" i="6"/>
  <c r="BC109" i="6"/>
  <c r="CF109" i="6"/>
  <c r="AW109" i="6"/>
  <c r="BH109" i="6"/>
  <c r="BO109" i="6"/>
  <c r="BQ109" i="6"/>
  <c r="BT109" i="6"/>
  <c r="CB109" i="6"/>
  <c r="BY109" i="6"/>
  <c r="CI109" i="6"/>
  <c r="CG109" i="6"/>
  <c r="L111" i="12" a="1"/>
  <c r="L111" i="12" s="1"/>
  <c r="J111" i="12" a="1"/>
  <c r="J111" i="12" s="1"/>
  <c r="AY109" i="6"/>
  <c r="AX109" i="6"/>
  <c r="M110" i="6"/>
  <c r="BY110" i="6" s="1"/>
  <c r="H110" i="6" a="1"/>
  <c r="H110" i="6" s="1"/>
  <c r="AS109" i="6"/>
  <c r="BS109" i="6"/>
  <c r="BI109" i="6"/>
  <c r="BR109" i="6"/>
  <c r="AZ109" i="6"/>
  <c r="CK109" i="6"/>
  <c r="BZ109" i="6"/>
  <c r="CJ109" i="6"/>
  <c r="BA109" i="6"/>
  <c r="G108" i="12"/>
  <c r="BK109" i="6"/>
  <c r="AR109" i="6"/>
  <c r="AQ109" i="6"/>
  <c r="B41" i="10"/>
  <c r="C41" i="7" a="1"/>
  <c r="C41" i="7" s="1"/>
  <c r="B40" i="7"/>
  <c r="K111" i="12" l="1"/>
  <c r="AZ110" i="6"/>
  <c r="CE110" i="6"/>
  <c r="BL110" i="6"/>
  <c r="BP110" i="6"/>
  <c r="CA110" i="6"/>
  <c r="BG110" i="6"/>
  <c r="CF110" i="6"/>
  <c r="BC110" i="6"/>
  <c r="BH110" i="6"/>
  <c r="CC110" i="6"/>
  <c r="BJ110" i="6"/>
  <c r="CM110" i="6"/>
  <c r="CL110" i="6"/>
  <c r="BO110" i="6"/>
  <c r="CK110" i="6"/>
  <c r="BF110" i="6"/>
  <c r="BI110" i="6"/>
  <c r="T110" i="5"/>
  <c r="AP110" i="6"/>
  <c r="BS110" i="6"/>
  <c r="AS110" i="6"/>
  <c r="CB110" i="6"/>
  <c r="BM110" i="6"/>
  <c r="AQ110" i="6"/>
  <c r="BD110" i="6"/>
  <c r="AV110" i="6"/>
  <c r="BZ110" i="6"/>
  <c r="AU110" i="6"/>
  <c r="AW110" i="6"/>
  <c r="CI110" i="6"/>
  <c r="BV110" i="6"/>
  <c r="AR110" i="6"/>
  <c r="BT110" i="6"/>
  <c r="BW110" i="6"/>
  <c r="CH110" i="6"/>
  <c r="BE110" i="6"/>
  <c r="CG110" i="6"/>
  <c r="M111" i="6"/>
  <c r="BY111" i="6" s="1"/>
  <c r="H111" i="6" a="1"/>
  <c r="H111" i="6" s="1"/>
  <c r="AX110" i="6"/>
  <c r="BK110" i="6"/>
  <c r="BQ110" i="6"/>
  <c r="C114" i="5"/>
  <c r="A113" i="12"/>
  <c r="AE113" i="5"/>
  <c r="B113" i="5"/>
  <c r="N113" i="5"/>
  <c r="H113" i="5"/>
  <c r="G113" i="5"/>
  <c r="F113" i="5"/>
  <c r="E113" i="5"/>
  <c r="AD113" i="5"/>
  <c r="K113" i="5"/>
  <c r="B113" i="6"/>
  <c r="J113" i="5"/>
  <c r="D113" i="5"/>
  <c r="B113" i="12" s="1"/>
  <c r="BX110" i="6"/>
  <c r="CJ110" i="6"/>
  <c r="AY110" i="6"/>
  <c r="CD110" i="6"/>
  <c r="D112" i="6"/>
  <c r="G109" i="12"/>
  <c r="BR110" i="6"/>
  <c r="BA110" i="6"/>
  <c r="BN110" i="6"/>
  <c r="AT110" i="6"/>
  <c r="L112" i="12" a="1"/>
  <c r="L112" i="12" s="1"/>
  <c r="J112" i="12" a="1"/>
  <c r="J112" i="12" s="1"/>
  <c r="B41" i="7"/>
  <c r="C42" i="7" a="1"/>
  <c r="C42" i="7" s="1"/>
  <c r="B42" i="10"/>
  <c r="D8" i="9"/>
  <c r="F106" i="8" s="1"/>
  <c r="AZ111" i="6" l="1"/>
  <c r="CG111" i="6"/>
  <c r="K112" i="12"/>
  <c r="BR111" i="6"/>
  <c r="AV111" i="6"/>
  <c r="H112" i="6" a="1"/>
  <c r="H112" i="6" s="1"/>
  <c r="L113" i="12" a="1"/>
  <c r="L113" i="12" s="1"/>
  <c r="J113" i="12" a="1"/>
  <c r="J113" i="12" s="1"/>
  <c r="BK111" i="6"/>
  <c r="BH111" i="6"/>
  <c r="BT111" i="6"/>
  <c r="BF111" i="6"/>
  <c r="CK111" i="6"/>
  <c r="B114" i="6"/>
  <c r="AE114" i="5"/>
  <c r="A114" i="12"/>
  <c r="H114" i="5"/>
  <c r="G114" i="5"/>
  <c r="F114" i="5"/>
  <c r="B114" i="5"/>
  <c r="AD114" i="5"/>
  <c r="N114" i="5"/>
  <c r="K114" i="5"/>
  <c r="C115" i="5"/>
  <c r="E114" i="5"/>
  <c r="D114" i="5"/>
  <c r="B114" i="12" s="1"/>
  <c r="J114" i="5"/>
  <c r="BV111" i="6"/>
  <c r="CE111" i="6"/>
  <c r="T111" i="5"/>
  <c r="BI111" i="6"/>
  <c r="BA111" i="6"/>
  <c r="BM111" i="6"/>
  <c r="BC111" i="6"/>
  <c r="CH111" i="6"/>
  <c r="BN111" i="6"/>
  <c r="AW111" i="6"/>
  <c r="BZ111" i="6"/>
  <c r="G110" i="12"/>
  <c r="CB111" i="6"/>
  <c r="AP111" i="6"/>
  <c r="CA111" i="6"/>
  <c r="BJ111" i="6"/>
  <c r="CL111" i="6"/>
  <c r="BD111" i="6"/>
  <c r="BO111" i="6"/>
  <c r="CM111" i="6"/>
  <c r="BW111" i="6"/>
  <c r="CC111" i="6"/>
  <c r="AQ111" i="6"/>
  <c r="AR111" i="6"/>
  <c r="CI111" i="6"/>
  <c r="D113" i="6"/>
  <c r="BP111" i="6"/>
  <c r="BE111" i="6"/>
  <c r="AX111" i="6"/>
  <c r="BG111" i="6"/>
  <c r="AT111" i="6"/>
  <c r="BQ111" i="6"/>
  <c r="AY111" i="6"/>
  <c r="BX111" i="6"/>
  <c r="CF111" i="6"/>
  <c r="BS111" i="6"/>
  <c r="CD111" i="6"/>
  <c r="BL111" i="6"/>
  <c r="CJ111" i="6"/>
  <c r="AU111" i="6"/>
  <c r="AS111" i="6"/>
  <c r="A112" i="6"/>
  <c r="B43" i="10"/>
  <c r="B42" i="7"/>
  <c r="C43" i="7" a="1"/>
  <c r="C43" i="7" s="1"/>
  <c r="A11" i="12"/>
  <c r="P11" i="12" s="1"/>
  <c r="O11" i="12" s="1"/>
  <c r="K113" i="12" l="1"/>
  <c r="A113" i="6"/>
  <c r="M113" i="6" s="1"/>
  <c r="CG113" i="6" s="1"/>
  <c r="L114" i="12" a="1"/>
  <c r="L114" i="12" s="1"/>
  <c r="J114" i="12" a="1"/>
  <c r="J114" i="12" s="1"/>
  <c r="G111" i="12"/>
  <c r="B115" i="6"/>
  <c r="G115" i="5"/>
  <c r="A115" i="12"/>
  <c r="B115" i="5"/>
  <c r="C116" i="5" s="1"/>
  <c r="C117" i="5" s="1"/>
  <c r="AE115" i="5"/>
  <c r="AD115" i="5"/>
  <c r="N115" i="5"/>
  <c r="J115" i="5"/>
  <c r="H115" i="5"/>
  <c r="F115" i="5"/>
  <c r="E115" i="5"/>
  <c r="K115" i="5"/>
  <c r="D115" i="5"/>
  <c r="B115" i="12" s="1"/>
  <c r="M112" i="6"/>
  <c r="AS112" i="6" s="1"/>
  <c r="H113" i="6" a="1"/>
  <c r="H113" i="6" s="1"/>
  <c r="D114" i="6"/>
  <c r="T112" i="5"/>
  <c r="C44" i="7" a="1"/>
  <c r="C44" i="7" s="1"/>
  <c r="B43" i="7"/>
  <c r="B44" i="10"/>
  <c r="A117" i="12" l="1"/>
  <c r="B117" i="6"/>
  <c r="D117" i="5"/>
  <c r="B117" i="12" s="1"/>
  <c r="AE117" i="5"/>
  <c r="AD117" i="5"/>
  <c r="N117" i="5"/>
  <c r="J117" i="5"/>
  <c r="K117" i="5"/>
  <c r="C118" i="5"/>
  <c r="A114" i="6"/>
  <c r="M114" i="6" s="1"/>
  <c r="BM114" i="6" s="1"/>
  <c r="K114" i="12"/>
  <c r="AU113" i="6"/>
  <c r="AV112" i="6"/>
  <c r="BI113" i="6"/>
  <c r="BN113" i="6"/>
  <c r="CA113" i="6"/>
  <c r="BC113" i="6"/>
  <c r="BJ113" i="6"/>
  <c r="CM113" i="6"/>
  <c r="BE113" i="6"/>
  <c r="BO113" i="6"/>
  <c r="AW113" i="6"/>
  <c r="CB112" i="6"/>
  <c r="BJ112" i="6"/>
  <c r="BV112" i="6"/>
  <c r="CC112" i="6"/>
  <c r="BO112" i="6"/>
  <c r="CH112" i="6"/>
  <c r="BD112" i="6"/>
  <c r="BC112" i="6"/>
  <c r="BT112" i="6"/>
  <c r="BI112" i="6"/>
  <c r="CF112" i="6"/>
  <c r="CE112" i="6"/>
  <c r="BS112" i="6"/>
  <c r="CM112" i="6"/>
  <c r="CG112" i="6"/>
  <c r="BR112" i="6"/>
  <c r="CJ112" i="6"/>
  <c r="BG112" i="6"/>
  <c r="BN112" i="6"/>
  <c r="BH112" i="6"/>
  <c r="BF112" i="6"/>
  <c r="BX112" i="6"/>
  <c r="BK112" i="6"/>
  <c r="CL112" i="6"/>
  <c r="CA112" i="6"/>
  <c r="CD112" i="6"/>
  <c r="BZ112" i="6"/>
  <c r="BM112" i="6"/>
  <c r="BQ112" i="6"/>
  <c r="BE112" i="6"/>
  <c r="CI112" i="6"/>
  <c r="BY112" i="6"/>
  <c r="CK112" i="6"/>
  <c r="AQ112" i="6"/>
  <c r="BW112" i="6"/>
  <c r="AY112" i="6"/>
  <c r="BL112" i="6"/>
  <c r="BP112" i="6"/>
  <c r="A116" i="12"/>
  <c r="B116" i="6"/>
  <c r="H116" i="5"/>
  <c r="H117" i="5" s="1"/>
  <c r="G116" i="5"/>
  <c r="G117" i="5" s="1"/>
  <c r="W116" i="5"/>
  <c r="H116" i="12" s="1"/>
  <c r="B116" i="5"/>
  <c r="B117" i="5" s="1"/>
  <c r="AE116" i="5"/>
  <c r="N116" i="5"/>
  <c r="AD116" i="5"/>
  <c r="F116" i="5"/>
  <c r="F117" i="5" s="1"/>
  <c r="E116" i="5"/>
  <c r="E117" i="5" s="1"/>
  <c r="AQ113" i="6"/>
  <c r="AZ112" i="6"/>
  <c r="CB113" i="6"/>
  <c r="BF113" i="6"/>
  <c r="G112" i="12"/>
  <c r="CH113" i="6"/>
  <c r="AS113" i="6"/>
  <c r="CE113" i="6"/>
  <c r="BD113" i="6"/>
  <c r="CI113" i="6"/>
  <c r="BR113" i="6"/>
  <c r="BP113" i="6"/>
  <c r="D115" i="6"/>
  <c r="BW113" i="6"/>
  <c r="BG113" i="6"/>
  <c r="AT113" i="6"/>
  <c r="AY113" i="6"/>
  <c r="CC113" i="6"/>
  <c r="AX113" i="6"/>
  <c r="AX112" i="6"/>
  <c r="CF113" i="6"/>
  <c r="BS113" i="6"/>
  <c r="BL113" i="6"/>
  <c r="BK113" i="6"/>
  <c r="BA112" i="6"/>
  <c r="AR112" i="6"/>
  <c r="AR113" i="6"/>
  <c r="BQ113" i="6"/>
  <c r="AZ113" i="6"/>
  <c r="BY113" i="6"/>
  <c r="BX113" i="6"/>
  <c r="BV113" i="6"/>
  <c r="BM113" i="6"/>
  <c r="BZ113" i="6"/>
  <c r="CK113" i="6"/>
  <c r="BH113" i="6"/>
  <c r="CJ113" i="6"/>
  <c r="AT112" i="6"/>
  <c r="AV113" i="6"/>
  <c r="T113" i="5"/>
  <c r="BT113" i="6"/>
  <c r="CD113" i="6"/>
  <c r="AP112" i="6"/>
  <c r="CL113" i="6"/>
  <c r="AW112" i="6"/>
  <c r="AU112" i="6"/>
  <c r="H114" i="6" a="1"/>
  <c r="H114" i="6" s="1"/>
  <c r="BA113" i="6"/>
  <c r="AP113" i="6"/>
  <c r="L115" i="12" a="1"/>
  <c r="L115" i="12" s="1"/>
  <c r="J115" i="12" a="1"/>
  <c r="J115" i="12" s="1"/>
  <c r="B45" i="10"/>
  <c r="B44" i="7"/>
  <c r="C45" i="7" a="1"/>
  <c r="C45" i="7" s="1"/>
  <c r="A118" i="12" l="1"/>
  <c r="B118" i="6"/>
  <c r="C119" i="5"/>
  <c r="C120" i="5" s="1"/>
  <c r="K118" i="5"/>
  <c r="J118" i="5"/>
  <c r="H118" i="5"/>
  <c r="F118" i="5"/>
  <c r="G118" i="5"/>
  <c r="E118" i="5"/>
  <c r="AD118" i="5"/>
  <c r="B118" i="5"/>
  <c r="N118" i="5"/>
  <c r="AE118" i="5"/>
  <c r="D118" i="5"/>
  <c r="B118" i="12" s="1"/>
  <c r="D117" i="6"/>
  <c r="L117" i="12" a="1"/>
  <c r="L117" i="12" s="1"/>
  <c r="J117" i="12" a="1"/>
  <c r="J117" i="12" s="1"/>
  <c r="CA114" i="6"/>
  <c r="BJ114" i="6"/>
  <c r="BT114" i="6"/>
  <c r="AT114" i="6"/>
  <c r="CF114" i="6"/>
  <c r="AU114" i="6"/>
  <c r="BZ114" i="6"/>
  <c r="BN114" i="6"/>
  <c r="BS114" i="6"/>
  <c r="BH114" i="6"/>
  <c r="CL114" i="6"/>
  <c r="H115" i="6" a="1"/>
  <c r="H115" i="6" s="1"/>
  <c r="T114" i="5"/>
  <c r="A115" i="6"/>
  <c r="F116" i="6"/>
  <c r="E116" i="12"/>
  <c r="CM114" i="6"/>
  <c r="BW114" i="6"/>
  <c r="CI114" i="6"/>
  <c r="CG114" i="6"/>
  <c r="AP114" i="6"/>
  <c r="AX114" i="6"/>
  <c r="BC114" i="6"/>
  <c r="BK114" i="6"/>
  <c r="BA114" i="6"/>
  <c r="AY114" i="6"/>
  <c r="CJ114" i="6"/>
  <c r="BI114" i="6"/>
  <c r="CB114" i="6"/>
  <c r="BX114" i="6"/>
  <c r="AV114" i="6"/>
  <c r="BY114" i="6"/>
  <c r="AR114" i="6"/>
  <c r="BV114" i="6"/>
  <c r="AQ114" i="6"/>
  <c r="K115" i="12"/>
  <c r="BL114" i="6"/>
  <c r="BF114" i="6"/>
  <c r="BE114" i="6"/>
  <c r="CH114" i="6"/>
  <c r="BD114" i="6"/>
  <c r="BO114" i="6"/>
  <c r="CK114" i="6"/>
  <c r="CE114" i="6"/>
  <c r="BQ114" i="6"/>
  <c r="BP114" i="6"/>
  <c r="CD114" i="6"/>
  <c r="AZ114" i="6"/>
  <c r="CC114" i="6"/>
  <c r="D116" i="6"/>
  <c r="A116" i="6" s="1"/>
  <c r="AW114" i="6"/>
  <c r="AS114" i="6"/>
  <c r="BR114" i="6"/>
  <c r="BG114" i="6"/>
  <c r="G113" i="12"/>
  <c r="C46" i="7" a="1"/>
  <c r="C46" i="7" s="1"/>
  <c r="B45" i="7"/>
  <c r="B46" i="10"/>
  <c r="A117" i="6" l="1"/>
  <c r="AE120" i="5"/>
  <c r="K120" i="5"/>
  <c r="N120" i="5"/>
  <c r="J120" i="5"/>
  <c r="C121" i="5"/>
  <c r="A120" i="12"/>
  <c r="D120" i="5"/>
  <c r="B120" i="12" s="1"/>
  <c r="AD120" i="5"/>
  <c r="B120" i="6"/>
  <c r="K117" i="12"/>
  <c r="D118" i="6"/>
  <c r="A119" i="12"/>
  <c r="B119" i="6"/>
  <c r="D119" i="5"/>
  <c r="B119" i="12" s="1"/>
  <c r="AE119" i="5"/>
  <c r="N119" i="5"/>
  <c r="AD119" i="5"/>
  <c r="B119" i="5"/>
  <c r="B120" i="5" s="1"/>
  <c r="K119" i="5"/>
  <c r="J119" i="5"/>
  <c r="F119" i="5"/>
  <c r="F120" i="5" s="1"/>
  <c r="E119" i="5"/>
  <c r="E120" i="5" s="1"/>
  <c r="G119" i="5"/>
  <c r="G120" i="5" s="1"/>
  <c r="H119" i="5"/>
  <c r="H120" i="5" s="1"/>
  <c r="L118" i="12" a="1"/>
  <c r="L118" i="12" s="1"/>
  <c r="J118" i="12" a="1"/>
  <c r="J118" i="12" s="1"/>
  <c r="H117" i="6" a="1"/>
  <c r="H117" i="6" s="1"/>
  <c r="G114" i="12"/>
  <c r="T115" i="5"/>
  <c r="G116" i="6"/>
  <c r="M116" i="6"/>
  <c r="CL116" i="6" s="1"/>
  <c r="H116" i="6" a="1"/>
  <c r="H116" i="6" s="1"/>
  <c r="M115" i="6"/>
  <c r="AV115" i="6" s="1"/>
  <c r="C47" i="7" a="1"/>
  <c r="C47" i="7" s="1"/>
  <c r="B46" i="7"/>
  <c r="B47" i="10"/>
  <c r="A118" i="6" l="1"/>
  <c r="M117" i="6"/>
  <c r="CF117" i="6" s="1"/>
  <c r="G121" i="5"/>
  <c r="D121" i="5"/>
  <c r="B121" i="12" s="1"/>
  <c r="B121" i="6"/>
  <c r="E121" i="5"/>
  <c r="AD121" i="5"/>
  <c r="B121" i="5"/>
  <c r="AE121" i="5"/>
  <c r="N121" i="5"/>
  <c r="C122" i="5"/>
  <c r="K121" i="5"/>
  <c r="A121" i="12"/>
  <c r="H121" i="5"/>
  <c r="F121" i="5"/>
  <c r="J121" i="5"/>
  <c r="D120" i="6"/>
  <c r="J120" i="12" a="1"/>
  <c r="J120" i="12" s="1"/>
  <c r="L120" i="12" a="1"/>
  <c r="L120" i="12" s="1"/>
  <c r="D119" i="6"/>
  <c r="K118" i="12"/>
  <c r="L119" i="12" a="1"/>
  <c r="L119" i="12" s="1"/>
  <c r="J119" i="12" a="1"/>
  <c r="J119" i="12" s="1"/>
  <c r="H118" i="6" a="1"/>
  <c r="H118" i="6" s="1"/>
  <c r="T117" i="5"/>
  <c r="CE116" i="6"/>
  <c r="AU115" i="6"/>
  <c r="BS116" i="6"/>
  <c r="AQ115" i="6"/>
  <c r="CF116" i="6"/>
  <c r="BY116" i="6"/>
  <c r="BW116" i="6"/>
  <c r="AW115" i="6"/>
  <c r="BH116" i="6"/>
  <c r="BL116" i="6"/>
  <c r="CH116" i="6"/>
  <c r="BJ116" i="6"/>
  <c r="T116" i="5"/>
  <c r="AW116" i="6"/>
  <c r="AK116" i="6"/>
  <c r="AP116" i="6"/>
  <c r="AO116" i="6"/>
  <c r="BC116" i="6"/>
  <c r="AL116" i="6"/>
  <c r="BA116" i="6"/>
  <c r="AT115" i="6"/>
  <c r="BD116" i="6"/>
  <c r="CI116" i="6"/>
  <c r="BO116" i="6"/>
  <c r="AX116" i="6"/>
  <c r="BN116" i="6"/>
  <c r="AX115" i="6"/>
  <c r="BA115" i="6"/>
  <c r="CC116" i="6"/>
  <c r="AQ116" i="6"/>
  <c r="CB116" i="6"/>
  <c r="BK116" i="6"/>
  <c r="CA116" i="6"/>
  <c r="BE116" i="6"/>
  <c r="BP116" i="6"/>
  <c r="AS116" i="6"/>
  <c r="BX116" i="6"/>
  <c r="CM116" i="6"/>
  <c r="AP115" i="6"/>
  <c r="CD116" i="6"/>
  <c r="AR116" i="6"/>
  <c r="BF116" i="6"/>
  <c r="CJ116" i="6"/>
  <c r="BN115" i="6"/>
  <c r="CD115" i="6"/>
  <c r="CG115" i="6"/>
  <c r="BE115" i="6"/>
  <c r="BS115" i="6"/>
  <c r="BT115" i="6"/>
  <c r="BP115" i="6"/>
  <c r="CC115" i="6"/>
  <c r="CF115" i="6"/>
  <c r="BH115" i="6"/>
  <c r="BD115" i="6"/>
  <c r="BG115" i="6"/>
  <c r="CL115" i="6"/>
  <c r="BO115" i="6"/>
  <c r="CB115" i="6"/>
  <c r="BZ115" i="6"/>
  <c r="BC115" i="6"/>
  <c r="CE115" i="6"/>
  <c r="BM115" i="6"/>
  <c r="CK115" i="6"/>
  <c r="BR115" i="6"/>
  <c r="BL115" i="6"/>
  <c r="BY115" i="6"/>
  <c r="CH115" i="6"/>
  <c r="BF115" i="6"/>
  <c r="BV115" i="6"/>
  <c r="CI115" i="6"/>
  <c r="CJ115" i="6"/>
  <c r="BX115" i="6"/>
  <c r="BI115" i="6"/>
  <c r="CM115" i="6"/>
  <c r="BW115" i="6"/>
  <c r="BK115" i="6"/>
  <c r="CA115" i="6"/>
  <c r="BJ115" i="6"/>
  <c r="BQ115" i="6"/>
  <c r="BQ116" i="6"/>
  <c r="BR116" i="6"/>
  <c r="AN116" i="6"/>
  <c r="G115" i="12"/>
  <c r="AY115" i="6"/>
  <c r="BM116" i="6"/>
  <c r="AS115" i="6"/>
  <c r="AU116" i="6"/>
  <c r="AZ116" i="6"/>
  <c r="CK116" i="6"/>
  <c r="BT116" i="6"/>
  <c r="AM116" i="6"/>
  <c r="AJ116" i="6"/>
  <c r="AV116" i="6"/>
  <c r="AT116" i="6"/>
  <c r="BZ116" i="6"/>
  <c r="AR115" i="6"/>
  <c r="CG116" i="6"/>
  <c r="AY116" i="6"/>
  <c r="BI116" i="6"/>
  <c r="BV116" i="6"/>
  <c r="BG116" i="6"/>
  <c r="AZ115" i="6"/>
  <c r="B47" i="7"/>
  <c r="C48" i="7" a="1"/>
  <c r="C48" i="7" s="1"/>
  <c r="B48" i="10"/>
  <c r="I1" i="7" a="1"/>
  <c r="I1" i="7" s="1"/>
  <c r="E1" i="7" a="1"/>
  <c r="E1" i="7" s="1"/>
  <c r="H1" i="7" a="1"/>
  <c r="H1" i="7" s="1"/>
  <c r="F1" i="7"/>
  <c r="M118" i="6" l="1"/>
  <c r="BK118" i="6" s="1"/>
  <c r="CK117" i="6"/>
  <c r="BJ117" i="6"/>
  <c r="BV117" i="6"/>
  <c r="BE117" i="6"/>
  <c r="BS117" i="6"/>
  <c r="CM117" i="6"/>
  <c r="BY117" i="6"/>
  <c r="BR117" i="6"/>
  <c r="AX117" i="6"/>
  <c r="BQ117" i="6"/>
  <c r="BF117" i="6"/>
  <c r="BL117" i="6"/>
  <c r="BG117" i="6"/>
  <c r="CA117" i="6"/>
  <c r="CC117" i="6"/>
  <c r="CB117" i="6"/>
  <c r="BW117" i="6"/>
  <c r="BA117" i="6"/>
  <c r="BK117" i="6"/>
  <c r="AR117" i="6"/>
  <c r="CH117" i="6"/>
  <c r="AQ117" i="6"/>
  <c r="AW117" i="6"/>
  <c r="BN117" i="6"/>
  <c r="CE117" i="6"/>
  <c r="CJ117" i="6"/>
  <c r="BT117" i="6"/>
  <c r="BC117" i="6"/>
  <c r="BP117" i="6"/>
  <c r="BI117" i="6"/>
  <c r="CI117" i="6"/>
  <c r="BH117" i="6"/>
  <c r="AU117" i="6"/>
  <c r="AZ117" i="6"/>
  <c r="AS117" i="6"/>
  <c r="BZ117" i="6"/>
  <c r="CG117" i="6"/>
  <c r="CD117" i="6"/>
  <c r="BO117" i="6"/>
  <c r="AT117" i="6"/>
  <c r="AY117" i="6"/>
  <c r="BX117" i="6"/>
  <c r="CL117" i="6"/>
  <c r="AV117" i="6"/>
  <c r="AP117" i="6"/>
  <c r="BM117" i="6"/>
  <c r="BD117" i="6"/>
  <c r="K119" i="12"/>
  <c r="AQ118" i="6"/>
  <c r="CC118" i="6"/>
  <c r="J121" i="12" a="1"/>
  <c r="J121" i="12" s="1"/>
  <c r="L121" i="12" a="1"/>
  <c r="L121" i="12" s="1"/>
  <c r="BS118" i="6"/>
  <c r="CJ118" i="6"/>
  <c r="H120" i="6" a="1"/>
  <c r="H120" i="6" s="1"/>
  <c r="BZ118" i="6"/>
  <c r="K120" i="12"/>
  <c r="C123" i="5"/>
  <c r="K122" i="5"/>
  <c r="F122" i="5"/>
  <c r="G122" i="5"/>
  <c r="E122" i="5"/>
  <c r="B122" i="6"/>
  <c r="D122" i="5"/>
  <c r="B122" i="12" s="1"/>
  <c r="AE122" i="5"/>
  <c r="A122" i="12"/>
  <c r="J122" i="5"/>
  <c r="H122" i="5"/>
  <c r="AD122" i="5"/>
  <c r="N122" i="5"/>
  <c r="B122" i="5"/>
  <c r="CL118" i="6"/>
  <c r="D121" i="6"/>
  <c r="BA118" i="6"/>
  <c r="BN118" i="6"/>
  <c r="BD118" i="6"/>
  <c r="AT118" i="6"/>
  <c r="BX118" i="6"/>
  <c r="BW118" i="6"/>
  <c r="BH118" i="6"/>
  <c r="AR118" i="6"/>
  <c r="CF118" i="6"/>
  <c r="AY118" i="6"/>
  <c r="BJ118" i="6"/>
  <c r="BE118" i="6"/>
  <c r="BL118" i="6"/>
  <c r="AU118" i="6"/>
  <c r="BM118" i="6"/>
  <c r="BQ118" i="6"/>
  <c r="BY118" i="6"/>
  <c r="H119" i="6" a="1"/>
  <c r="H119" i="6" s="1"/>
  <c r="CG118" i="6"/>
  <c r="T118" i="5"/>
  <c r="CD118" i="6"/>
  <c r="BI118" i="6"/>
  <c r="CK118" i="6"/>
  <c r="CA118" i="6"/>
  <c r="AP118" i="6"/>
  <c r="AS118" i="6"/>
  <c r="BV118" i="6"/>
  <c r="G117" i="12"/>
  <c r="AW118" i="6"/>
  <c r="BC118" i="6"/>
  <c r="BF118" i="6"/>
  <c r="CH118" i="6"/>
  <c r="CI118" i="6"/>
  <c r="BO118" i="6"/>
  <c r="BR118" i="6"/>
  <c r="BT118" i="6"/>
  <c r="AZ118" i="6"/>
  <c r="CB118" i="6"/>
  <c r="CE118" i="6"/>
  <c r="AX118" i="6"/>
  <c r="A119" i="6"/>
  <c r="G116" i="12"/>
  <c r="B49" i="10"/>
  <c r="B48" i="7"/>
  <c r="C49" i="7" a="1"/>
  <c r="C49" i="7" s="1"/>
  <c r="E14" i="7"/>
  <c r="F14" i="7"/>
  <c r="G1" i="7" s="1"/>
  <c r="H14" i="7"/>
  <c r="AE106" i="8"/>
  <c r="AB72" i="9" s="1"/>
  <c r="AC106" i="8"/>
  <c r="X72" i="9" s="1"/>
  <c r="X106" i="8"/>
  <c r="N72" i="9" s="1"/>
  <c r="Z106" i="8"/>
  <c r="R72" i="9" s="1"/>
  <c r="AB106" i="8"/>
  <c r="V72" i="9" s="1"/>
  <c r="V106" i="8"/>
  <c r="J72" i="9" s="1"/>
  <c r="AA106" i="8"/>
  <c r="T72" i="9" s="1"/>
  <c r="AD106" i="8"/>
  <c r="Z72" i="9" s="1"/>
  <c r="U106" i="8"/>
  <c r="H72" i="9" s="1"/>
  <c r="AF106" i="8"/>
  <c r="AD72" i="9" s="1"/>
  <c r="Y106" i="8"/>
  <c r="P72" i="9" s="1"/>
  <c r="W106" i="8"/>
  <c r="L72" i="9" s="1"/>
  <c r="I14" i="7"/>
  <c r="BG118" i="6" l="1"/>
  <c r="BP118" i="6"/>
  <c r="AV118" i="6"/>
  <c r="CM118" i="6"/>
  <c r="J122" i="12" a="1"/>
  <c r="J122" i="12" s="1"/>
  <c r="L122" i="12" a="1"/>
  <c r="L122" i="12" s="1"/>
  <c r="B123" i="6"/>
  <c r="AE123" i="5"/>
  <c r="AD123" i="5"/>
  <c r="B123" i="5"/>
  <c r="C124" i="5" s="1"/>
  <c r="N123" i="5"/>
  <c r="K123" i="5"/>
  <c r="J123" i="5"/>
  <c r="G123" i="5"/>
  <c r="H123" i="5"/>
  <c r="A123" i="12"/>
  <c r="D123" i="5"/>
  <c r="B123" i="12" s="1"/>
  <c r="F123" i="5"/>
  <c r="E123" i="5"/>
  <c r="H121" i="6" a="1"/>
  <c r="H121" i="6" s="1"/>
  <c r="A120" i="6"/>
  <c r="D122" i="6"/>
  <c r="K121" i="12"/>
  <c r="T120" i="5"/>
  <c r="M119" i="6"/>
  <c r="AZ119" i="6" s="1"/>
  <c r="T119" i="5"/>
  <c r="G118" i="12"/>
  <c r="C50" i="7" a="1"/>
  <c r="C50" i="7" s="1"/>
  <c r="B49" i="7"/>
  <c r="B50" i="10"/>
  <c r="G38" i="7"/>
  <c r="G26" i="7"/>
  <c r="G58" i="7"/>
  <c r="G42" i="7"/>
  <c r="G57" i="7"/>
  <c r="G54" i="7"/>
  <c r="G56" i="7"/>
  <c r="G45" i="7"/>
  <c r="G60" i="7"/>
  <c r="G61" i="7"/>
  <c r="G51" i="7"/>
  <c r="G53" i="7"/>
  <c r="G33" i="7"/>
  <c r="G29" i="7"/>
  <c r="G32" i="7"/>
  <c r="G18" i="7"/>
  <c r="G64" i="7"/>
  <c r="G28" i="7"/>
  <c r="G43" i="7"/>
  <c r="G52" i="7"/>
  <c r="G62" i="7"/>
  <c r="G23" i="7"/>
  <c r="G49" i="7"/>
  <c r="G41" i="7"/>
  <c r="G44" i="7"/>
  <c r="G34" i="7"/>
  <c r="G25" i="7"/>
  <c r="G50" i="7"/>
  <c r="G31" i="7"/>
  <c r="G46" i="7"/>
  <c r="G30" i="7"/>
  <c r="G24" i="7"/>
  <c r="G48" i="7"/>
  <c r="G27" i="7"/>
  <c r="G59" i="7"/>
  <c r="G20" i="7"/>
  <c r="G19" i="7"/>
  <c r="G63" i="7"/>
  <c r="G37" i="7"/>
  <c r="G47" i="7"/>
  <c r="G35" i="7"/>
  <c r="G17" i="7"/>
  <c r="G40" i="7"/>
  <c r="G39" i="7"/>
  <c r="G21" i="7"/>
  <c r="G55" i="7"/>
  <c r="G22" i="7"/>
  <c r="G36" i="7"/>
  <c r="G16" i="7"/>
  <c r="K122" i="12" l="1"/>
  <c r="G124" i="5"/>
  <c r="W124" i="5"/>
  <c r="H124" i="12" s="1"/>
  <c r="E124" i="5"/>
  <c r="AE124" i="5"/>
  <c r="B124" i="6"/>
  <c r="AD124" i="5"/>
  <c r="B124" i="5"/>
  <c r="N124" i="5"/>
  <c r="A124" i="12"/>
  <c r="H124" i="5"/>
  <c r="F124" i="5"/>
  <c r="C125" i="5"/>
  <c r="H122" i="6" a="1"/>
  <c r="H122" i="6" s="1"/>
  <c r="J123" i="12" a="1"/>
  <c r="J123" i="12" s="1"/>
  <c r="L123" i="12" a="1"/>
  <c r="L123" i="12" s="1"/>
  <c r="AP119" i="6"/>
  <c r="A121" i="6"/>
  <c r="M120" i="6"/>
  <c r="D123" i="6"/>
  <c r="G120" i="12"/>
  <c r="AV119" i="6"/>
  <c r="AX119" i="6"/>
  <c r="AT119" i="6"/>
  <c r="T121" i="5"/>
  <c r="AY119" i="6"/>
  <c r="AU119" i="6"/>
  <c r="G119" i="12"/>
  <c r="CM119" i="6"/>
  <c r="BX119" i="6"/>
  <c r="BF119" i="6"/>
  <c r="CA119" i="6"/>
  <c r="BK119" i="6"/>
  <c r="BC119" i="6"/>
  <c r="BZ119" i="6"/>
  <c r="BV119" i="6"/>
  <c r="BN119" i="6"/>
  <c r="CG119" i="6"/>
  <c r="BT119" i="6"/>
  <c r="CD119" i="6"/>
  <c r="CI119" i="6"/>
  <c r="BH119" i="6"/>
  <c r="CL119" i="6"/>
  <c r="BD119" i="6"/>
  <c r="BQ119" i="6"/>
  <c r="BW119" i="6"/>
  <c r="BM119" i="6"/>
  <c r="BE119" i="6"/>
  <c r="CK119" i="6"/>
  <c r="BJ119" i="6"/>
  <c r="CF119" i="6"/>
  <c r="BY119" i="6"/>
  <c r="BR119" i="6"/>
  <c r="CB119" i="6"/>
  <c r="CC119" i="6"/>
  <c r="BL119" i="6"/>
  <c r="BO119" i="6"/>
  <c r="CE119" i="6"/>
  <c r="BP119" i="6"/>
  <c r="CH119" i="6"/>
  <c r="AS119" i="6"/>
  <c r="BS119" i="6"/>
  <c r="CJ119" i="6"/>
  <c r="BI119" i="6"/>
  <c r="BG119" i="6"/>
  <c r="AQ119" i="6"/>
  <c r="AR119" i="6"/>
  <c r="BA119" i="6"/>
  <c r="AW119" i="6"/>
  <c r="B50" i="7"/>
  <c r="C51" i="7" a="1"/>
  <c r="C51" i="7" s="1"/>
  <c r="B51" i="10"/>
  <c r="F6" i="7"/>
  <c r="I74" i="10" a="1"/>
  <c r="I74" i="10" s="1"/>
  <c r="I75" i="10" s="1"/>
  <c r="K123" i="12" l="1"/>
  <c r="A122" i="6"/>
  <c r="M121" i="6"/>
  <c r="H123" i="6" a="1"/>
  <c r="H123" i="6" s="1"/>
  <c r="BQ120" i="6"/>
  <c r="CM120" i="6"/>
  <c r="BY120" i="6"/>
  <c r="BW120" i="6"/>
  <c r="BV120" i="6"/>
  <c r="CI120" i="6"/>
  <c r="BE120" i="6"/>
  <c r="CA120" i="6"/>
  <c r="BL120" i="6"/>
  <c r="BJ120" i="6"/>
  <c r="BT120" i="6"/>
  <c r="BN120" i="6"/>
  <c r="CC120" i="6"/>
  <c r="CG120" i="6"/>
  <c r="BP120" i="6"/>
  <c r="CH120" i="6"/>
  <c r="CF120" i="6"/>
  <c r="BD120" i="6"/>
  <c r="BS120" i="6"/>
  <c r="CE120" i="6"/>
  <c r="CL120" i="6"/>
  <c r="CJ120" i="6"/>
  <c r="BG120" i="6"/>
  <c r="CK120" i="6"/>
  <c r="BR120" i="6"/>
  <c r="CB120" i="6"/>
  <c r="BZ120" i="6"/>
  <c r="BX120" i="6"/>
  <c r="BF120" i="6"/>
  <c r="BO120" i="6"/>
  <c r="BM120" i="6"/>
  <c r="BK120" i="6"/>
  <c r="CD120" i="6"/>
  <c r="BC120" i="6"/>
  <c r="BI120" i="6"/>
  <c r="BH120" i="6"/>
  <c r="AX120" i="6"/>
  <c r="AZ120" i="6"/>
  <c r="BA120" i="6"/>
  <c r="AR120" i="6"/>
  <c r="AS120" i="6"/>
  <c r="AQ120" i="6"/>
  <c r="AU120" i="6"/>
  <c r="AT120" i="6"/>
  <c r="AW120" i="6"/>
  <c r="AY120" i="6"/>
  <c r="AP120" i="6"/>
  <c r="AV120" i="6"/>
  <c r="F124" i="6"/>
  <c r="E124" i="12"/>
  <c r="D124" i="6"/>
  <c r="B125" i="6"/>
  <c r="J125" i="5"/>
  <c r="H125" i="5"/>
  <c r="C126" i="5"/>
  <c r="E125" i="5"/>
  <c r="K125" i="5"/>
  <c r="G125" i="5"/>
  <c r="F125" i="5"/>
  <c r="D125" i="5"/>
  <c r="B125" i="12" s="1"/>
  <c r="AE125" i="5"/>
  <c r="AD125" i="5"/>
  <c r="B125" i="5"/>
  <c r="A125" i="12"/>
  <c r="N125" i="5"/>
  <c r="D125" i="6" s="1"/>
  <c r="G121" i="12"/>
  <c r="T122" i="5"/>
  <c r="B52" i="10"/>
  <c r="C52" i="7" a="1"/>
  <c r="C52" i="7" s="1"/>
  <c r="B51" i="7"/>
  <c r="D1" i="2"/>
  <c r="BJ121" i="6" l="1"/>
  <c r="BQ121" i="6"/>
  <c r="AZ121" i="6"/>
  <c r="CA121" i="6"/>
  <c r="BE121" i="6"/>
  <c r="CK121" i="6"/>
  <c r="CF121" i="6"/>
  <c r="BY121" i="6"/>
  <c r="CL121" i="6"/>
  <c r="CH121" i="6"/>
  <c r="BS121" i="6"/>
  <c r="BL121" i="6"/>
  <c r="BH121" i="6"/>
  <c r="CJ121" i="6"/>
  <c r="BV121" i="6"/>
  <c r="BG121" i="6"/>
  <c r="CC121" i="6"/>
  <c r="BX121" i="6"/>
  <c r="BI121" i="6"/>
  <c r="BP121" i="6"/>
  <c r="AS121" i="6"/>
  <c r="BK121" i="6"/>
  <c r="BD121" i="6"/>
  <c r="CM121" i="6"/>
  <c r="CE121" i="6"/>
  <c r="CG121" i="6"/>
  <c r="BR121" i="6"/>
  <c r="CB121" i="6"/>
  <c r="CI121" i="6"/>
  <c r="BN121" i="6"/>
  <c r="BT121" i="6"/>
  <c r="BF121" i="6"/>
  <c r="BO121" i="6"/>
  <c r="BZ121" i="6"/>
  <c r="BC121" i="6"/>
  <c r="BW121" i="6"/>
  <c r="CD121" i="6"/>
  <c r="BM121" i="6"/>
  <c r="AW121" i="6"/>
  <c r="AQ121" i="6"/>
  <c r="AT121" i="6"/>
  <c r="AP121" i="6"/>
  <c r="AU121" i="6"/>
  <c r="AX121" i="6"/>
  <c r="AY121" i="6"/>
  <c r="BA121" i="6"/>
  <c r="AR121" i="6"/>
  <c r="AV121" i="6"/>
  <c r="T123" i="5"/>
  <c r="A123" i="6"/>
  <c r="M122" i="6"/>
  <c r="H125" i="6" a="1"/>
  <c r="H125" i="6" s="1"/>
  <c r="L125" i="12" a="1"/>
  <c r="L125" i="12" s="1"/>
  <c r="J125" i="12" a="1"/>
  <c r="J125" i="12" s="1"/>
  <c r="G124" i="6"/>
  <c r="H124" i="6" a="1"/>
  <c r="H124" i="6" s="1"/>
  <c r="A126" i="12"/>
  <c r="N126" i="5"/>
  <c r="D126" i="6" s="1"/>
  <c r="B126" i="6"/>
  <c r="AE126" i="5"/>
  <c r="C127" i="5"/>
  <c r="K126" i="5"/>
  <c r="D126" i="5"/>
  <c r="B126" i="12" s="1"/>
  <c r="J126" i="5"/>
  <c r="H126" i="5"/>
  <c r="G126" i="5"/>
  <c r="F126" i="5"/>
  <c r="B126" i="5"/>
  <c r="E126" i="5"/>
  <c r="AD126" i="5"/>
  <c r="G122" i="12"/>
  <c r="B53" i="10"/>
  <c r="C53" i="7" a="1"/>
  <c r="C53" i="7" s="1"/>
  <c r="B52" i="7"/>
  <c r="K125" i="12" l="1"/>
  <c r="G123" i="12"/>
  <c r="T124" i="5"/>
  <c r="J127" i="5"/>
  <c r="K127" i="5"/>
  <c r="N127" i="5"/>
  <c r="D127" i="6" s="1"/>
  <c r="A127" i="12"/>
  <c r="F127" i="5"/>
  <c r="B127" i="6"/>
  <c r="E127" i="5"/>
  <c r="D127" i="5"/>
  <c r="B127" i="12" s="1"/>
  <c r="H127" i="5"/>
  <c r="AE127" i="5"/>
  <c r="G127" i="5"/>
  <c r="AD127" i="5"/>
  <c r="B127" i="5"/>
  <c r="C128" i="5" s="1"/>
  <c r="T125" i="5"/>
  <c r="H126" i="6" a="1"/>
  <c r="H126" i="6" s="1"/>
  <c r="CK122" i="6"/>
  <c r="BJ122" i="6"/>
  <c r="BT122" i="6"/>
  <c r="BR122" i="6"/>
  <c r="CM122" i="6"/>
  <c r="BY122" i="6"/>
  <c r="BH122" i="6"/>
  <c r="CI122" i="6"/>
  <c r="CA122" i="6"/>
  <c r="BL122" i="6"/>
  <c r="BC122" i="6"/>
  <c r="BN122" i="6"/>
  <c r="BG122" i="6"/>
  <c r="CC122" i="6"/>
  <c r="CF122" i="6"/>
  <c r="AZ122" i="6"/>
  <c r="BP122" i="6"/>
  <c r="CJ122" i="6"/>
  <c r="CD122" i="6"/>
  <c r="BD122" i="6"/>
  <c r="BX122" i="6"/>
  <c r="CH122" i="6"/>
  <c r="BQ122" i="6"/>
  <c r="AQ122" i="6"/>
  <c r="CL122" i="6"/>
  <c r="BK122" i="6"/>
  <c r="BV122" i="6"/>
  <c r="BE122" i="6"/>
  <c r="CB122" i="6"/>
  <c r="BZ122" i="6"/>
  <c r="AX122" i="6"/>
  <c r="BI122" i="6"/>
  <c r="AR122" i="6"/>
  <c r="BS122" i="6"/>
  <c r="BO122" i="6"/>
  <c r="BM122" i="6"/>
  <c r="AV122" i="6"/>
  <c r="CE122" i="6"/>
  <c r="AP122" i="6"/>
  <c r="BW122" i="6"/>
  <c r="CG122" i="6"/>
  <c r="BF122" i="6"/>
  <c r="AY122" i="6"/>
  <c r="AW122" i="6"/>
  <c r="AU122" i="6"/>
  <c r="AT122" i="6"/>
  <c r="BA122" i="6"/>
  <c r="AS122" i="6"/>
  <c r="M123" i="6"/>
  <c r="A124" i="6"/>
  <c r="L126" i="12" a="1"/>
  <c r="L126" i="12" s="1"/>
  <c r="J126" i="12" a="1"/>
  <c r="J126" i="12" s="1"/>
  <c r="B54" i="10"/>
  <c r="C54" i="7" a="1"/>
  <c r="C54" i="7" s="1"/>
  <c r="B53" i="7"/>
  <c r="A125" i="6" l="1"/>
  <c r="M124" i="6"/>
  <c r="BI123" i="6"/>
  <c r="BP123" i="6"/>
  <c r="BN123" i="6"/>
  <c r="BW123" i="6"/>
  <c r="BD123" i="6"/>
  <c r="CE123" i="6"/>
  <c r="BY123" i="6"/>
  <c r="CK123" i="6"/>
  <c r="BR123" i="6"/>
  <c r="CB123" i="6"/>
  <c r="CJ123" i="6"/>
  <c r="CG123" i="6"/>
  <c r="BF123" i="6"/>
  <c r="BO123" i="6"/>
  <c r="CL123" i="6"/>
  <c r="BX123" i="6"/>
  <c r="BT123" i="6"/>
  <c r="BC123" i="6"/>
  <c r="BZ123" i="6"/>
  <c r="BK123" i="6"/>
  <c r="CH123" i="6"/>
  <c r="BH123" i="6"/>
  <c r="BM123" i="6"/>
  <c r="CM123" i="6"/>
  <c r="CD123" i="6"/>
  <c r="AZ123" i="6"/>
  <c r="AR123" i="6"/>
  <c r="BQ123" i="6"/>
  <c r="BL123" i="6"/>
  <c r="BS123" i="6"/>
  <c r="CF123" i="6"/>
  <c r="BE123" i="6"/>
  <c r="CI123" i="6"/>
  <c r="BV123" i="6"/>
  <c r="BG123" i="6"/>
  <c r="CC123" i="6"/>
  <c r="CA123" i="6"/>
  <c r="BJ123" i="6"/>
  <c r="AU123" i="6"/>
  <c r="BA123" i="6"/>
  <c r="AV123" i="6"/>
  <c r="AQ123" i="6"/>
  <c r="AT123" i="6"/>
  <c r="AX123" i="6"/>
  <c r="AP123" i="6"/>
  <c r="AY123" i="6"/>
  <c r="AS123" i="6"/>
  <c r="AW123" i="6"/>
  <c r="T126" i="5"/>
  <c r="G125" i="12"/>
  <c r="G124" i="12"/>
  <c r="J127" i="12" a="1"/>
  <c r="J127" i="12" s="1"/>
  <c r="L127" i="12" a="1"/>
  <c r="L127" i="12" s="1"/>
  <c r="G128" i="5"/>
  <c r="C129" i="5"/>
  <c r="W128" i="5"/>
  <c r="H128" i="12" s="1"/>
  <c r="F128" i="5"/>
  <c r="E128" i="5"/>
  <c r="B128" i="6"/>
  <c r="AD128" i="5"/>
  <c r="AE128" i="5"/>
  <c r="B128" i="5"/>
  <c r="A128" i="12"/>
  <c r="N128" i="5"/>
  <c r="D128" i="6" s="1"/>
  <c r="H128" i="5"/>
  <c r="K126" i="12"/>
  <c r="H127" i="6" a="1"/>
  <c r="H127" i="6" s="1"/>
  <c r="T127" i="5" s="1"/>
  <c r="B54" i="7"/>
  <c r="C55" i="7" a="1"/>
  <c r="C55" i="7" s="1"/>
  <c r="B55" i="10"/>
  <c r="K127" i="12" l="1"/>
  <c r="H128" i="6" a="1"/>
  <c r="H128" i="6" s="1"/>
  <c r="G128" i="6"/>
  <c r="D129" i="5"/>
  <c r="B129" i="12" s="1"/>
  <c r="E129" i="5"/>
  <c r="F129" i="5"/>
  <c r="AD129" i="5"/>
  <c r="A129" i="12"/>
  <c r="J129" i="5"/>
  <c r="B129" i="5"/>
  <c r="B129" i="6"/>
  <c r="N129" i="5"/>
  <c r="D129" i="6" s="1"/>
  <c r="C130" i="5"/>
  <c r="AE129" i="5"/>
  <c r="K129" i="5"/>
  <c r="H129" i="5"/>
  <c r="G129" i="5"/>
  <c r="F128" i="6"/>
  <c r="E128" i="12"/>
  <c r="G127" i="12"/>
  <c r="BW124" i="6"/>
  <c r="BR124" i="6"/>
  <c r="CK124" i="6"/>
  <c r="BJ124" i="6"/>
  <c r="BF124" i="6"/>
  <c r="CB124" i="6"/>
  <c r="CM124" i="6"/>
  <c r="BY124" i="6"/>
  <c r="CD124" i="6"/>
  <c r="BQ124" i="6"/>
  <c r="CA124" i="6"/>
  <c r="BL124" i="6"/>
  <c r="BH124" i="6"/>
  <c r="BN124" i="6"/>
  <c r="CH124" i="6"/>
  <c r="BE124" i="6"/>
  <c r="BO124" i="6"/>
  <c r="BP124" i="6"/>
  <c r="BV124" i="6"/>
  <c r="BC124" i="6"/>
  <c r="CJ124" i="6"/>
  <c r="BI124" i="6"/>
  <c r="CF124" i="6"/>
  <c r="BS124" i="6"/>
  <c r="AZ124" i="6"/>
  <c r="BX124" i="6"/>
  <c r="CI124" i="6"/>
  <c r="CL124" i="6"/>
  <c r="BK124" i="6"/>
  <c r="BG124" i="6"/>
  <c r="BD124" i="6"/>
  <c r="BZ124" i="6"/>
  <c r="CG124" i="6"/>
  <c r="CC124" i="6"/>
  <c r="CE124" i="6"/>
  <c r="BM124" i="6"/>
  <c r="BT124" i="6"/>
  <c r="AJ124" i="6"/>
  <c r="AP124" i="6"/>
  <c r="AU124" i="6"/>
  <c r="AK124" i="6"/>
  <c r="AQ124" i="6"/>
  <c r="AO124" i="6"/>
  <c r="AN124" i="6"/>
  <c r="AL124" i="6"/>
  <c r="AS124" i="6"/>
  <c r="AR124" i="6"/>
  <c r="AW124" i="6"/>
  <c r="AM124" i="6"/>
  <c r="AY124" i="6"/>
  <c r="AT124" i="6"/>
  <c r="BA124" i="6"/>
  <c r="AX124" i="6"/>
  <c r="AV124" i="6"/>
  <c r="M125" i="6"/>
  <c r="A126" i="6"/>
  <c r="G126" i="12"/>
  <c r="C56" i="7" a="1"/>
  <c r="C56" i="7" s="1"/>
  <c r="B55" i="7"/>
  <c r="B56" i="10"/>
  <c r="M126" i="6" l="1"/>
  <c r="A127" i="6"/>
  <c r="CH125" i="6"/>
  <c r="BF125" i="6"/>
  <c r="BD125" i="6"/>
  <c r="BO125" i="6"/>
  <c r="CG125" i="6"/>
  <c r="CK125" i="6"/>
  <c r="BR125" i="6"/>
  <c r="CM125" i="6"/>
  <c r="CF125" i="6"/>
  <c r="CD125" i="6"/>
  <c r="BI125" i="6"/>
  <c r="BG125" i="6"/>
  <c r="AP125" i="6"/>
  <c r="BS125" i="6"/>
  <c r="BK125" i="6"/>
  <c r="BC125" i="6"/>
  <c r="CB125" i="6"/>
  <c r="BZ125" i="6"/>
  <c r="CE125" i="6"/>
  <c r="BH125" i="6"/>
  <c r="BL125" i="6"/>
  <c r="BA125" i="6"/>
  <c r="BQ125" i="6"/>
  <c r="CA125" i="6"/>
  <c r="BX125" i="6"/>
  <c r="CI125" i="6"/>
  <c r="BP125" i="6"/>
  <c r="BY125" i="6"/>
  <c r="CC125" i="6"/>
  <c r="CL125" i="6"/>
  <c r="BE125" i="6"/>
  <c r="BN125" i="6"/>
  <c r="CJ125" i="6"/>
  <c r="AU125" i="6"/>
  <c r="BV125" i="6"/>
  <c r="BM125" i="6"/>
  <c r="AX125" i="6"/>
  <c r="BW125" i="6"/>
  <c r="BJ125" i="6"/>
  <c r="BT125" i="6"/>
  <c r="AZ125" i="6"/>
  <c r="AW125" i="6"/>
  <c r="AT125" i="6"/>
  <c r="AR125" i="6"/>
  <c r="AS125" i="6"/>
  <c r="AV125" i="6"/>
  <c r="AY125" i="6"/>
  <c r="AQ125" i="6"/>
  <c r="B130" i="6"/>
  <c r="F130" i="5"/>
  <c r="AE130" i="5"/>
  <c r="N130" i="5"/>
  <c r="D130" i="6" s="1"/>
  <c r="C131" i="5"/>
  <c r="E130" i="5"/>
  <c r="J130" i="5"/>
  <c r="D130" i="5"/>
  <c r="B130" i="12" s="1"/>
  <c r="G130" i="5"/>
  <c r="A130" i="12"/>
  <c r="AD130" i="5"/>
  <c r="B130" i="5"/>
  <c r="K130" i="5"/>
  <c r="H130" i="5"/>
  <c r="H129" i="6" a="1"/>
  <c r="H129" i="6" s="1"/>
  <c r="T128" i="5"/>
  <c r="J129" i="12" a="1"/>
  <c r="J129" i="12" s="1"/>
  <c r="L129" i="12" a="1"/>
  <c r="L129" i="12" s="1"/>
  <c r="B57" i="10"/>
  <c r="C57" i="7" a="1"/>
  <c r="C57" i="7" s="1"/>
  <c r="B56" i="7"/>
  <c r="AD131" i="5" l="1"/>
  <c r="C132" i="5"/>
  <c r="A131" i="12"/>
  <c r="K131" i="5"/>
  <c r="B131" i="6"/>
  <c r="J131" i="5"/>
  <c r="H131" i="5"/>
  <c r="F131" i="5"/>
  <c r="G131" i="5"/>
  <c r="D131" i="5"/>
  <c r="B131" i="12" s="1"/>
  <c r="B131" i="5"/>
  <c r="E131" i="5"/>
  <c r="AE131" i="5"/>
  <c r="N131" i="5"/>
  <c r="D131" i="6" s="1"/>
  <c r="M127" i="6"/>
  <c r="A128" i="6"/>
  <c r="CG126" i="6"/>
  <c r="BG126" i="6"/>
  <c r="CM126" i="6"/>
  <c r="BX126" i="6"/>
  <c r="BQ126" i="6"/>
  <c r="CA126" i="6"/>
  <c r="BS126" i="6"/>
  <c r="BN126" i="6"/>
  <c r="CB126" i="6"/>
  <c r="BM126" i="6"/>
  <c r="CD126" i="6"/>
  <c r="BF126" i="6"/>
  <c r="CI126" i="6"/>
  <c r="CL126" i="6"/>
  <c r="CJ126" i="6"/>
  <c r="BT126" i="6"/>
  <c r="BI126" i="6"/>
  <c r="BO126" i="6"/>
  <c r="BV126" i="6"/>
  <c r="CE126" i="6"/>
  <c r="BP126" i="6"/>
  <c r="BR126" i="6"/>
  <c r="CH126" i="6"/>
  <c r="BC126" i="6"/>
  <c r="AR126" i="6"/>
  <c r="BE126" i="6"/>
  <c r="BK126" i="6"/>
  <c r="BD126" i="6"/>
  <c r="CK126" i="6"/>
  <c r="BZ126" i="6"/>
  <c r="AX126" i="6"/>
  <c r="AT126" i="6"/>
  <c r="AP126" i="6"/>
  <c r="CC126" i="6"/>
  <c r="AY126" i="6"/>
  <c r="BL126" i="6"/>
  <c r="BJ126" i="6"/>
  <c r="BH126" i="6"/>
  <c r="BW126" i="6"/>
  <c r="BY126" i="6"/>
  <c r="CF126" i="6"/>
  <c r="AU126" i="6"/>
  <c r="AW126" i="6"/>
  <c r="AZ126" i="6"/>
  <c r="BA126" i="6"/>
  <c r="AQ126" i="6"/>
  <c r="AV126" i="6"/>
  <c r="AS126" i="6"/>
  <c r="K129" i="12"/>
  <c r="G128" i="12"/>
  <c r="T129" i="5"/>
  <c r="J130" i="12" a="1"/>
  <c r="J130" i="12" s="1"/>
  <c r="L130" i="12" a="1"/>
  <c r="L130" i="12" s="1"/>
  <c r="H130" i="6" a="1"/>
  <c r="H130" i="6" s="1"/>
  <c r="T130" i="5" s="1"/>
  <c r="G130" i="12" s="1"/>
  <c r="B58" i="10"/>
  <c r="B57" i="7"/>
  <c r="C58" i="7" a="1"/>
  <c r="C58" i="7" s="1"/>
  <c r="K130" i="12" l="1"/>
  <c r="M128" i="6"/>
  <c r="A129" i="6"/>
  <c r="H131" i="6" a="1"/>
  <c r="H131" i="6" s="1"/>
  <c r="J131" i="12" a="1"/>
  <c r="J131" i="12" s="1"/>
  <c r="L131" i="12" a="1"/>
  <c r="L131" i="12" s="1"/>
  <c r="BY127" i="6"/>
  <c r="BZ127" i="6"/>
  <c r="BF127" i="6"/>
  <c r="CB127" i="6"/>
  <c r="CC127" i="6"/>
  <c r="BW127" i="6"/>
  <c r="CD127" i="6"/>
  <c r="BI127" i="6"/>
  <c r="BP127" i="6"/>
  <c r="BT127" i="6"/>
  <c r="CL127" i="6"/>
  <c r="BH127" i="6"/>
  <c r="BE127" i="6"/>
  <c r="CA127" i="6"/>
  <c r="CH127" i="6"/>
  <c r="BS127" i="6"/>
  <c r="BG127" i="6"/>
  <c r="BK127" i="6"/>
  <c r="CK127" i="6"/>
  <c r="BM127" i="6"/>
  <c r="BD127" i="6"/>
  <c r="CG127" i="6"/>
  <c r="CF127" i="6"/>
  <c r="BV127" i="6"/>
  <c r="BN127" i="6"/>
  <c r="BR127" i="6"/>
  <c r="CM127" i="6"/>
  <c r="BL127" i="6"/>
  <c r="CJ127" i="6"/>
  <c r="CE127" i="6"/>
  <c r="BQ127" i="6"/>
  <c r="BX127" i="6"/>
  <c r="BO127" i="6"/>
  <c r="BC127" i="6"/>
  <c r="BJ127" i="6"/>
  <c r="CI127" i="6"/>
  <c r="AP127" i="6"/>
  <c r="AX127" i="6"/>
  <c r="AW127" i="6"/>
  <c r="AZ127" i="6"/>
  <c r="AQ127" i="6"/>
  <c r="BA127" i="6"/>
  <c r="AS127" i="6"/>
  <c r="AY127" i="6"/>
  <c r="AT127" i="6"/>
  <c r="AR127" i="6"/>
  <c r="AU127" i="6"/>
  <c r="AV127" i="6"/>
  <c r="F132" i="5"/>
  <c r="A132" i="12"/>
  <c r="H132" i="5"/>
  <c r="E132" i="5"/>
  <c r="D132" i="5"/>
  <c r="B132" i="12" s="1"/>
  <c r="C133" i="5"/>
  <c r="AD132" i="5"/>
  <c r="K132" i="5"/>
  <c r="B132" i="5"/>
  <c r="B132" i="6"/>
  <c r="G132" i="5"/>
  <c r="N132" i="5"/>
  <c r="D132" i="6" s="1"/>
  <c r="AE132" i="5"/>
  <c r="J132" i="5"/>
  <c r="G129" i="12"/>
  <c r="B58" i="7"/>
  <c r="C59" i="7" a="1"/>
  <c r="C59" i="7" s="1"/>
  <c r="B59" i="10"/>
  <c r="K131" i="12" l="1"/>
  <c r="H133" i="5"/>
  <c r="F133" i="5"/>
  <c r="E133" i="5"/>
  <c r="AE133" i="5"/>
  <c r="W133" i="5"/>
  <c r="H133" i="12" s="1"/>
  <c r="C134" i="5"/>
  <c r="A133" i="12"/>
  <c r="B133" i="5"/>
  <c r="G133" i="5"/>
  <c r="B133" i="6"/>
  <c r="AD133" i="5"/>
  <c r="N133" i="5"/>
  <c r="D133" i="6" s="1"/>
  <c r="M129" i="6"/>
  <c r="A130" i="6"/>
  <c r="H132" i="6" a="1"/>
  <c r="H132" i="6" s="1"/>
  <c r="J132" i="12" a="1"/>
  <c r="J132" i="12" s="1"/>
  <c r="L132" i="12" a="1"/>
  <c r="L132" i="12" s="1"/>
  <c r="BO128" i="6"/>
  <c r="BC128" i="6"/>
  <c r="BZ128" i="6"/>
  <c r="CI128" i="6"/>
  <c r="BQ128" i="6"/>
  <c r="AO128" i="6"/>
  <c r="CB128" i="6"/>
  <c r="BT128" i="6"/>
  <c r="BV128" i="6"/>
  <c r="BX128" i="6"/>
  <c r="BG128" i="6"/>
  <c r="BP128" i="6"/>
  <c r="CJ128" i="6"/>
  <c r="BH128" i="6"/>
  <c r="CE128" i="6"/>
  <c r="CA128" i="6"/>
  <c r="BR128" i="6"/>
  <c r="BN128" i="6"/>
  <c r="AP128" i="6"/>
  <c r="BM128" i="6"/>
  <c r="CF128" i="6"/>
  <c r="BW128" i="6"/>
  <c r="CH128" i="6"/>
  <c r="BJ128" i="6"/>
  <c r="BL128" i="6"/>
  <c r="CC128" i="6"/>
  <c r="BI128" i="6"/>
  <c r="BE128" i="6"/>
  <c r="BS128" i="6"/>
  <c r="CK128" i="6"/>
  <c r="CG128" i="6"/>
  <c r="CM128" i="6"/>
  <c r="CL128" i="6"/>
  <c r="BD128" i="6"/>
  <c r="CD128" i="6"/>
  <c r="BF128" i="6"/>
  <c r="BK128" i="6"/>
  <c r="BY128" i="6"/>
  <c r="AY128" i="6"/>
  <c r="AV128" i="6"/>
  <c r="AR128" i="6"/>
  <c r="AT128" i="6"/>
  <c r="AZ128" i="6"/>
  <c r="AN128" i="6"/>
  <c r="AU128" i="6"/>
  <c r="AM128" i="6"/>
  <c r="AW128" i="6"/>
  <c r="AX128" i="6"/>
  <c r="BA128" i="6"/>
  <c r="AS128" i="6"/>
  <c r="AJ128" i="6"/>
  <c r="AK128" i="6"/>
  <c r="AQ128" i="6"/>
  <c r="AL128" i="6"/>
  <c r="T131" i="5"/>
  <c r="B60" i="10"/>
  <c r="B59" i="7"/>
  <c r="C60" i="7" a="1"/>
  <c r="C60" i="7" s="1"/>
  <c r="K132" i="12" l="1"/>
  <c r="E133" i="12"/>
  <c r="F133" i="6"/>
  <c r="M130" i="6"/>
  <c r="A131" i="6"/>
  <c r="BR129" i="6"/>
  <c r="BO129" i="6"/>
  <c r="BC129" i="6"/>
  <c r="BI129" i="6"/>
  <c r="CK129" i="6"/>
  <c r="CB129" i="6"/>
  <c r="BW129" i="6"/>
  <c r="CL129" i="6"/>
  <c r="BE129" i="6"/>
  <c r="BJ129" i="6"/>
  <c r="CF129" i="6"/>
  <c r="BM129" i="6"/>
  <c r="AT129" i="6"/>
  <c r="AR129" i="6"/>
  <c r="CD129" i="6"/>
  <c r="BD129" i="6"/>
  <c r="AU129" i="6"/>
  <c r="BA129" i="6"/>
  <c r="BH129" i="6"/>
  <c r="BY129" i="6"/>
  <c r="CH129" i="6"/>
  <c r="CI129" i="6"/>
  <c r="CA129" i="6"/>
  <c r="BP129" i="6"/>
  <c r="AY129" i="6"/>
  <c r="BS129" i="6"/>
  <c r="BZ129" i="6"/>
  <c r="BX129" i="6"/>
  <c r="CJ129" i="6"/>
  <c r="CC129" i="6"/>
  <c r="BV129" i="6"/>
  <c r="BT129" i="6"/>
  <c r="BL129" i="6"/>
  <c r="CG129" i="6"/>
  <c r="BQ129" i="6"/>
  <c r="BN129" i="6"/>
  <c r="CE129" i="6"/>
  <c r="BF129" i="6"/>
  <c r="BK129" i="6"/>
  <c r="CM129" i="6"/>
  <c r="BG129" i="6"/>
  <c r="AP129" i="6"/>
  <c r="AX129" i="6"/>
  <c r="AQ129" i="6"/>
  <c r="AZ129" i="6"/>
  <c r="AV129" i="6"/>
  <c r="AW129" i="6"/>
  <c r="AS129" i="6"/>
  <c r="H133" i="6" a="1"/>
  <c r="H133" i="6" s="1"/>
  <c r="G133" i="6"/>
  <c r="T132" i="5"/>
  <c r="H134" i="5"/>
  <c r="F134" i="5"/>
  <c r="B134" i="5"/>
  <c r="W134" i="5"/>
  <c r="H134" i="12" s="1"/>
  <c r="B134" i="6"/>
  <c r="G134" i="5"/>
  <c r="E134" i="5"/>
  <c r="AD134" i="5"/>
  <c r="A134" i="12"/>
  <c r="C135" i="5"/>
  <c r="AE134" i="5"/>
  <c r="N134" i="5"/>
  <c r="D134" i="6" s="1"/>
  <c r="G131" i="12"/>
  <c r="B61" i="10"/>
  <c r="B60" i="7"/>
  <c r="C61" i="7" a="1"/>
  <c r="C61" i="7" s="1"/>
  <c r="F134" i="6" l="1"/>
  <c r="E134" i="12"/>
  <c r="H134" i="6" a="1"/>
  <c r="H134" i="6" s="1"/>
  <c r="T134" i="5" s="1"/>
  <c r="G134" i="12" s="1"/>
  <c r="G134" i="6"/>
  <c r="J135" i="5"/>
  <c r="K135" i="5"/>
  <c r="B135" i="6"/>
  <c r="AD135" i="5"/>
  <c r="F135" i="5"/>
  <c r="G135" i="5"/>
  <c r="AE135" i="5"/>
  <c r="E135" i="5"/>
  <c r="A135" i="12"/>
  <c r="D135" i="5"/>
  <c r="B135" i="12" s="1"/>
  <c r="N135" i="5"/>
  <c r="D135" i="6" s="1"/>
  <c r="H135" i="5"/>
  <c r="B135" i="5"/>
  <c r="C136" i="5"/>
  <c r="T133" i="5"/>
  <c r="G132" i="12"/>
  <c r="M131" i="6"/>
  <c r="A132" i="6"/>
  <c r="BN130" i="6"/>
  <c r="BR130" i="6"/>
  <c r="BL130" i="6"/>
  <c r="BK130" i="6"/>
  <c r="BS130" i="6"/>
  <c r="BI130" i="6"/>
  <c r="BM130" i="6"/>
  <c r="CA130" i="6"/>
  <c r="BX130" i="6"/>
  <c r="BV130" i="6"/>
  <c r="CE130" i="6"/>
  <c r="BO130" i="6"/>
  <c r="BT130" i="6"/>
  <c r="CB130" i="6"/>
  <c r="BF130" i="6"/>
  <c r="AZ130" i="6"/>
  <c r="BE130" i="6"/>
  <c r="BD130" i="6"/>
  <c r="CJ130" i="6"/>
  <c r="AV130" i="6"/>
  <c r="BP130" i="6"/>
  <c r="BW130" i="6"/>
  <c r="CG130" i="6"/>
  <c r="BJ130" i="6"/>
  <c r="BZ130" i="6"/>
  <c r="CM130" i="6"/>
  <c r="CL130" i="6"/>
  <c r="BY130" i="6"/>
  <c r="BG130" i="6"/>
  <c r="BC130" i="6"/>
  <c r="CD130" i="6"/>
  <c r="CH130" i="6"/>
  <c r="CF130" i="6"/>
  <c r="CC130" i="6"/>
  <c r="CI130" i="6"/>
  <c r="BQ130" i="6"/>
  <c r="BH130" i="6"/>
  <c r="CK130" i="6"/>
  <c r="AR130" i="6"/>
  <c r="AT130" i="6"/>
  <c r="AS130" i="6"/>
  <c r="AY130" i="6"/>
  <c r="AQ130" i="6"/>
  <c r="BA130" i="6"/>
  <c r="AP130" i="6"/>
  <c r="AW130" i="6"/>
  <c r="AU130" i="6"/>
  <c r="AX130" i="6"/>
  <c r="B61" i="7"/>
  <c r="C62" i="7" a="1"/>
  <c r="C62" i="7" s="1"/>
  <c r="B62" i="10"/>
  <c r="G133" i="12" l="1"/>
  <c r="N136" i="5"/>
  <c r="D136" i="6" s="1"/>
  <c r="J136" i="5"/>
  <c r="D136" i="5"/>
  <c r="B136" i="12" s="1"/>
  <c r="AD136" i="5"/>
  <c r="H136" i="5"/>
  <c r="C137" i="5"/>
  <c r="E136" i="5"/>
  <c r="A136" i="12"/>
  <c r="F136" i="5"/>
  <c r="B136" i="6"/>
  <c r="K136" i="5"/>
  <c r="B136" i="5"/>
  <c r="G136" i="5"/>
  <c r="AE136" i="5"/>
  <c r="M132" i="6"/>
  <c r="A133" i="6"/>
  <c r="H135" i="6" a="1"/>
  <c r="H135" i="6" s="1"/>
  <c r="BR131" i="6"/>
  <c r="CJ131" i="6"/>
  <c r="BW131" i="6"/>
  <c r="CC131" i="6"/>
  <c r="BL131" i="6"/>
  <c r="BY131" i="6"/>
  <c r="BP131" i="6"/>
  <c r="BT131" i="6"/>
  <c r="CD131" i="6"/>
  <c r="AY131" i="6"/>
  <c r="CM131" i="6"/>
  <c r="BD131" i="6"/>
  <c r="BM131" i="6"/>
  <c r="BG131" i="6"/>
  <c r="BV131" i="6"/>
  <c r="CB131" i="6"/>
  <c r="BN131" i="6"/>
  <c r="BC131" i="6"/>
  <c r="CA131" i="6"/>
  <c r="BQ131" i="6"/>
  <c r="BI131" i="6"/>
  <c r="CL131" i="6"/>
  <c r="BH131" i="6"/>
  <c r="BS131" i="6"/>
  <c r="CH131" i="6"/>
  <c r="BJ131" i="6"/>
  <c r="BF131" i="6"/>
  <c r="CK131" i="6"/>
  <c r="CI131" i="6"/>
  <c r="AR131" i="6"/>
  <c r="BK131" i="6"/>
  <c r="BO131" i="6"/>
  <c r="CE131" i="6"/>
  <c r="BZ131" i="6"/>
  <c r="CG131" i="6"/>
  <c r="CF131" i="6"/>
  <c r="AZ131" i="6"/>
  <c r="AQ131" i="6"/>
  <c r="BX131" i="6"/>
  <c r="BE131" i="6"/>
  <c r="AW131" i="6"/>
  <c r="AT131" i="6"/>
  <c r="AV131" i="6"/>
  <c r="AP131" i="6"/>
  <c r="AS131" i="6"/>
  <c r="BA131" i="6"/>
  <c r="AU131" i="6"/>
  <c r="AX131" i="6"/>
  <c r="J135" i="12" a="1"/>
  <c r="J135" i="12" s="1"/>
  <c r="L135" i="12" a="1"/>
  <c r="L135" i="12" s="1"/>
  <c r="C63" i="7" a="1"/>
  <c r="C63" i="7" s="1"/>
  <c r="B62" i="7"/>
  <c r="B63" i="10"/>
  <c r="U107" i="8"/>
  <c r="J10" i="13"/>
  <c r="CL132" i="6" l="1"/>
  <c r="BA132" i="6"/>
  <c r="BK132" i="6"/>
  <c r="BM132" i="6"/>
  <c r="CB132" i="6"/>
  <c r="BX132" i="6"/>
  <c r="BQ132" i="6"/>
  <c r="BG132" i="6"/>
  <c r="CC132" i="6"/>
  <c r="CM132" i="6"/>
  <c r="BI132" i="6"/>
  <c r="BO132" i="6"/>
  <c r="CI132" i="6"/>
  <c r="BF132" i="6"/>
  <c r="BW132" i="6"/>
  <c r="BV132" i="6"/>
  <c r="BL132" i="6"/>
  <c r="BP132" i="6"/>
  <c r="BE132" i="6"/>
  <c r="BN132" i="6"/>
  <c r="CH132" i="6"/>
  <c r="BS132" i="6"/>
  <c r="CK132" i="6"/>
  <c r="AV132" i="6"/>
  <c r="BY132" i="6"/>
  <c r="CD132" i="6"/>
  <c r="BD132" i="6"/>
  <c r="CG132" i="6"/>
  <c r="BC132" i="6"/>
  <c r="AU132" i="6"/>
  <c r="CE132" i="6"/>
  <c r="BT132" i="6"/>
  <c r="AR132" i="6"/>
  <c r="BH132" i="6"/>
  <c r="BZ132" i="6"/>
  <c r="BR132" i="6"/>
  <c r="CA132" i="6"/>
  <c r="BJ132" i="6"/>
  <c r="CJ132" i="6"/>
  <c r="CF132" i="6"/>
  <c r="AY132" i="6"/>
  <c r="AX132" i="6"/>
  <c r="AT132" i="6"/>
  <c r="AS132" i="6"/>
  <c r="AQ132" i="6"/>
  <c r="AW132" i="6"/>
  <c r="AP132" i="6"/>
  <c r="AZ132" i="6"/>
  <c r="J136" i="12" a="1"/>
  <c r="J136" i="12" s="1"/>
  <c r="L136" i="12" a="1"/>
  <c r="L136" i="12" s="1"/>
  <c r="K135" i="12"/>
  <c r="B137" i="5"/>
  <c r="E137" i="5"/>
  <c r="N137" i="5"/>
  <c r="D137" i="6" s="1"/>
  <c r="H137" i="5"/>
  <c r="J137" i="5"/>
  <c r="A137" i="12"/>
  <c r="D137" i="5"/>
  <c r="B137" i="12" s="1"/>
  <c r="AD137" i="5"/>
  <c r="AE137" i="5"/>
  <c r="F137" i="5"/>
  <c r="K137" i="5"/>
  <c r="C138" i="5"/>
  <c r="B137" i="6"/>
  <c r="G137" i="5"/>
  <c r="H136" i="6" a="1"/>
  <c r="H136" i="6" s="1"/>
  <c r="T135" i="5"/>
  <c r="M133" i="6"/>
  <c r="A134" i="6"/>
  <c r="B64" i="10"/>
  <c r="B63" i="7"/>
  <c r="C64" i="7" a="1"/>
  <c r="C64" i="7" s="1"/>
  <c r="V107" i="8"/>
  <c r="H138" i="5" l="1"/>
  <c r="N138" i="5"/>
  <c r="D138" i="6" s="1"/>
  <c r="G138" i="5"/>
  <c r="AD138" i="5"/>
  <c r="J138" i="5"/>
  <c r="AE138" i="5"/>
  <c r="B138" i="6"/>
  <c r="E138" i="5"/>
  <c r="C139" i="5"/>
  <c r="K138" i="5"/>
  <c r="F138" i="5"/>
  <c r="D138" i="5"/>
  <c r="B138" i="12" s="1"/>
  <c r="B138" i="5"/>
  <c r="A138" i="12"/>
  <c r="H137" i="6" a="1"/>
  <c r="H137" i="6" s="1"/>
  <c r="G135" i="12"/>
  <c r="T136" i="5"/>
  <c r="M134" i="6"/>
  <c r="A135" i="6"/>
  <c r="CE133" i="6"/>
  <c r="CF133" i="6"/>
  <c r="BC133" i="6"/>
  <c r="BO133" i="6"/>
  <c r="BK133" i="6"/>
  <c r="BL133" i="6"/>
  <c r="CL133" i="6"/>
  <c r="BP133" i="6"/>
  <c r="AR133" i="6"/>
  <c r="CM133" i="6"/>
  <c r="BE133" i="6"/>
  <c r="CI133" i="6"/>
  <c r="CC133" i="6"/>
  <c r="CA133" i="6"/>
  <c r="AN133" i="6"/>
  <c r="CD133" i="6"/>
  <c r="BG133" i="6"/>
  <c r="BN133" i="6"/>
  <c r="BW133" i="6"/>
  <c r="BI133" i="6"/>
  <c r="BX133" i="6"/>
  <c r="BY133" i="6"/>
  <c r="BV133" i="6"/>
  <c r="BQ133" i="6"/>
  <c r="BH133" i="6"/>
  <c r="CK133" i="6"/>
  <c r="BF133" i="6"/>
  <c r="BT133" i="6"/>
  <c r="CJ133" i="6"/>
  <c r="BJ133" i="6"/>
  <c r="CG133" i="6"/>
  <c r="BZ133" i="6"/>
  <c r="AM133" i="6"/>
  <c r="AW133" i="6"/>
  <c r="BD133" i="6"/>
  <c r="BS133" i="6"/>
  <c r="AQ133" i="6"/>
  <c r="CB133" i="6"/>
  <c r="AP133" i="6"/>
  <c r="AU133" i="6"/>
  <c r="CH133" i="6"/>
  <c r="AZ133" i="6"/>
  <c r="BR133" i="6"/>
  <c r="BM133" i="6"/>
  <c r="AK133" i="6"/>
  <c r="AX133" i="6"/>
  <c r="AS133" i="6"/>
  <c r="AT133" i="6"/>
  <c r="AL133" i="6"/>
  <c r="BA133" i="6"/>
  <c r="AJ133" i="6"/>
  <c r="AO133" i="6"/>
  <c r="AY133" i="6"/>
  <c r="AV133" i="6"/>
  <c r="J137" i="12" a="1"/>
  <c r="J137" i="12" s="1"/>
  <c r="L137" i="12" a="1"/>
  <c r="L137" i="12" s="1"/>
  <c r="K136" i="12"/>
  <c r="B64" i="7"/>
  <c r="C10" i="7"/>
  <c r="L138" i="12" l="1" a="1"/>
  <c r="L138" i="12" s="1"/>
  <c r="J138" i="12" a="1"/>
  <c r="J138" i="12" s="1"/>
  <c r="M135" i="6"/>
  <c r="A136" i="6"/>
  <c r="G136" i="12"/>
  <c r="H138" i="6" a="1"/>
  <c r="H138" i="6" s="1"/>
  <c r="CA134" i="6"/>
  <c r="BV134" i="6"/>
  <c r="BS134" i="6"/>
  <c r="CK134" i="6"/>
  <c r="BP134" i="6"/>
  <c r="BF134" i="6"/>
  <c r="BR134" i="6"/>
  <c r="CF134" i="6"/>
  <c r="BZ134" i="6"/>
  <c r="BK134" i="6"/>
  <c r="CL134" i="6"/>
  <c r="AV134" i="6"/>
  <c r="BC134" i="6"/>
  <c r="BY134" i="6"/>
  <c r="BX134" i="6"/>
  <c r="BG134" i="6"/>
  <c r="BH134" i="6"/>
  <c r="CD134" i="6"/>
  <c r="CG134" i="6"/>
  <c r="BO134" i="6"/>
  <c r="BN134" i="6"/>
  <c r="CH134" i="6"/>
  <c r="BW134" i="6"/>
  <c r="CE134" i="6"/>
  <c r="CJ134" i="6"/>
  <c r="CI134" i="6"/>
  <c r="AQ134" i="6"/>
  <c r="BT134" i="6"/>
  <c r="BM134" i="6"/>
  <c r="BJ134" i="6"/>
  <c r="BL134" i="6"/>
  <c r="BI134" i="6"/>
  <c r="CB134" i="6"/>
  <c r="BE134" i="6"/>
  <c r="BQ134" i="6"/>
  <c r="CM134" i="6"/>
  <c r="AR134" i="6"/>
  <c r="BD134" i="6"/>
  <c r="CC134" i="6"/>
  <c r="AO134" i="6"/>
  <c r="AZ134" i="6"/>
  <c r="AM134" i="6"/>
  <c r="AN134" i="6"/>
  <c r="AL134" i="6"/>
  <c r="AW134" i="6"/>
  <c r="AT134" i="6"/>
  <c r="AU134" i="6"/>
  <c r="AS134" i="6"/>
  <c r="AK134" i="6"/>
  <c r="AX134" i="6"/>
  <c r="BA134" i="6"/>
  <c r="AY134" i="6"/>
  <c r="AJ134" i="6"/>
  <c r="AP134" i="6"/>
  <c r="K137" i="12"/>
  <c r="F139" i="5"/>
  <c r="A139" i="12"/>
  <c r="E139" i="5"/>
  <c r="D139" i="5"/>
  <c r="B139" i="12" s="1"/>
  <c r="B139" i="6"/>
  <c r="B139" i="5"/>
  <c r="G139" i="5"/>
  <c r="C140" i="5"/>
  <c r="N139" i="5"/>
  <c r="D139" i="6" s="1"/>
  <c r="AD139" i="5"/>
  <c r="K139" i="5"/>
  <c r="AE139" i="5"/>
  <c r="J139" i="5"/>
  <c r="H139" i="5"/>
  <c r="T137" i="5"/>
  <c r="X107" i="8"/>
  <c r="K138" i="12" l="1"/>
  <c r="G140" i="5"/>
  <c r="J140" i="5"/>
  <c r="H140" i="5"/>
  <c r="F140" i="5"/>
  <c r="D140" i="5"/>
  <c r="B140" i="12" s="1"/>
  <c r="E140" i="5"/>
  <c r="B140" i="6"/>
  <c r="AE140" i="5"/>
  <c r="AD140" i="5"/>
  <c r="C141" i="5"/>
  <c r="A140" i="12"/>
  <c r="B140" i="5"/>
  <c r="K140" i="5"/>
  <c r="N140" i="5"/>
  <c r="D140" i="6" s="1"/>
  <c r="T138" i="5"/>
  <c r="G137" i="12"/>
  <c r="A137" i="6"/>
  <c r="M136" i="6"/>
  <c r="CF135" i="6"/>
  <c r="BD135" i="6"/>
  <c r="BN135" i="6"/>
  <c r="BX135" i="6"/>
  <c r="BP135" i="6"/>
  <c r="BW135" i="6"/>
  <c r="BT135" i="6"/>
  <c r="CC135" i="6"/>
  <c r="BC135" i="6"/>
  <c r="CM135" i="6"/>
  <c r="CJ135" i="6"/>
  <c r="CK135" i="6"/>
  <c r="BZ135" i="6"/>
  <c r="BV135" i="6"/>
  <c r="BS135" i="6"/>
  <c r="BK135" i="6"/>
  <c r="CG135" i="6"/>
  <c r="CI135" i="6"/>
  <c r="BM135" i="6"/>
  <c r="CD135" i="6"/>
  <c r="AR135" i="6"/>
  <c r="AU135" i="6"/>
  <c r="BQ135" i="6"/>
  <c r="AX135" i="6"/>
  <c r="BE135" i="6"/>
  <c r="CA135" i="6"/>
  <c r="AS135" i="6"/>
  <c r="BL135" i="6"/>
  <c r="AV135" i="6"/>
  <c r="BI135" i="6"/>
  <c r="AY135" i="6"/>
  <c r="BO135" i="6"/>
  <c r="BH135" i="6"/>
  <c r="BY135" i="6"/>
  <c r="BJ135" i="6"/>
  <c r="AP135" i="6"/>
  <c r="BF135" i="6"/>
  <c r="CE135" i="6"/>
  <c r="AZ135" i="6"/>
  <c r="CH135" i="6"/>
  <c r="BG135" i="6"/>
  <c r="CL135" i="6"/>
  <c r="AW135" i="6"/>
  <c r="BR135" i="6"/>
  <c r="AT135" i="6"/>
  <c r="CB135" i="6"/>
  <c r="BA135" i="6"/>
  <c r="AQ135" i="6"/>
  <c r="J139" i="12" a="1"/>
  <c r="J139" i="12" s="1"/>
  <c r="L139" i="12" a="1"/>
  <c r="L139" i="12" s="1"/>
  <c r="H139" i="6" a="1"/>
  <c r="H139" i="6" s="1"/>
  <c r="K139" i="12" l="1"/>
  <c r="G138" i="12"/>
  <c r="BJ136" i="6"/>
  <c r="BH136" i="6"/>
  <c r="BL136" i="6"/>
  <c r="BP136" i="6"/>
  <c r="CG136" i="6"/>
  <c r="CD136" i="6"/>
  <c r="BQ136" i="6"/>
  <c r="BI136" i="6"/>
  <c r="BR136" i="6"/>
  <c r="BD136" i="6"/>
  <c r="BF136" i="6"/>
  <c r="BM136" i="6"/>
  <c r="BT136" i="6"/>
  <c r="BE136" i="6"/>
  <c r="CK136" i="6"/>
  <c r="BS136" i="6"/>
  <c r="CI136" i="6"/>
  <c r="BZ136" i="6"/>
  <c r="BK136" i="6"/>
  <c r="BC136" i="6"/>
  <c r="CH136" i="6"/>
  <c r="CB136" i="6"/>
  <c r="CE136" i="6"/>
  <c r="BW136" i="6"/>
  <c r="CM136" i="6"/>
  <c r="BX136" i="6"/>
  <c r="CL136" i="6"/>
  <c r="CF136" i="6"/>
  <c r="CJ136" i="6"/>
  <c r="BY136" i="6"/>
  <c r="BG136" i="6"/>
  <c r="BV136" i="6"/>
  <c r="CC136" i="6"/>
  <c r="BN136" i="6"/>
  <c r="CA136" i="6"/>
  <c r="BO136" i="6"/>
  <c r="AQ136" i="6"/>
  <c r="AP136" i="6"/>
  <c r="AY136" i="6"/>
  <c r="AU136" i="6"/>
  <c r="AW136" i="6"/>
  <c r="AT136" i="6"/>
  <c r="AZ136" i="6"/>
  <c r="BA136" i="6"/>
  <c r="AR136" i="6"/>
  <c r="AS136" i="6"/>
  <c r="AX136" i="6"/>
  <c r="AV136" i="6"/>
  <c r="H140" i="6" a="1"/>
  <c r="H140" i="6" s="1"/>
  <c r="M137" i="6"/>
  <c r="A138" i="6"/>
  <c r="T139" i="5"/>
  <c r="L140" i="12" a="1"/>
  <c r="L140" i="12" s="1"/>
  <c r="J140" i="12" a="1"/>
  <c r="J140" i="12" s="1"/>
  <c r="F141" i="5"/>
  <c r="AD141" i="5"/>
  <c r="A141" i="12"/>
  <c r="H141" i="5"/>
  <c r="W141" i="5"/>
  <c r="H141" i="12" s="1"/>
  <c r="G141" i="5"/>
  <c r="E141" i="5"/>
  <c r="C142" i="5"/>
  <c r="C143" i="5" s="1"/>
  <c r="AE141" i="5"/>
  <c r="B141" i="5"/>
  <c r="B141" i="6"/>
  <c r="N141" i="5"/>
  <c r="D141" i="6" s="1"/>
  <c r="Z107" i="8"/>
  <c r="A143" i="12" l="1"/>
  <c r="B143" i="6"/>
  <c r="D143" i="5"/>
  <c r="B143" i="12" s="1"/>
  <c r="AD143" i="5"/>
  <c r="C144" i="5"/>
  <c r="K143" i="5"/>
  <c r="J143" i="5"/>
  <c r="AE143" i="5"/>
  <c r="N143" i="5"/>
  <c r="G139" i="12"/>
  <c r="CE137" i="6"/>
  <c r="BW137" i="6"/>
  <c r="CD137" i="6"/>
  <c r="CI137" i="6"/>
  <c r="BR137" i="6"/>
  <c r="CJ137" i="6"/>
  <c r="BC137" i="6"/>
  <c r="BD137" i="6"/>
  <c r="CB137" i="6"/>
  <c r="CC137" i="6"/>
  <c r="BK137" i="6"/>
  <c r="CH137" i="6"/>
  <c r="BO137" i="6"/>
  <c r="CM137" i="6"/>
  <c r="CF137" i="6"/>
  <c r="BT137" i="6"/>
  <c r="AT137" i="6"/>
  <c r="BI137" i="6"/>
  <c r="CK137" i="6"/>
  <c r="CG137" i="6"/>
  <c r="AS137" i="6"/>
  <c r="BX137" i="6"/>
  <c r="BN137" i="6"/>
  <c r="BJ137" i="6"/>
  <c r="BZ137" i="6"/>
  <c r="BP137" i="6"/>
  <c r="BL137" i="6"/>
  <c r="BH137" i="6"/>
  <c r="BE137" i="6"/>
  <c r="BF137" i="6"/>
  <c r="BG137" i="6"/>
  <c r="BV137" i="6"/>
  <c r="AR137" i="6"/>
  <c r="BM137" i="6"/>
  <c r="AX137" i="6"/>
  <c r="AP137" i="6"/>
  <c r="BA137" i="6"/>
  <c r="CL137" i="6"/>
  <c r="BY137" i="6"/>
  <c r="AW137" i="6"/>
  <c r="CA137" i="6"/>
  <c r="BQ137" i="6"/>
  <c r="BS137" i="6"/>
  <c r="AZ137" i="6"/>
  <c r="AQ137" i="6"/>
  <c r="AY137" i="6"/>
  <c r="AU137" i="6"/>
  <c r="AV137" i="6"/>
  <c r="H141" i="6" a="1"/>
  <c r="H141" i="6" s="1"/>
  <c r="M138" i="6"/>
  <c r="A139" i="6"/>
  <c r="T140" i="5"/>
  <c r="N142" i="5"/>
  <c r="D142" i="6" s="1"/>
  <c r="G142" i="5"/>
  <c r="G143" i="5" s="1"/>
  <c r="H142" i="5"/>
  <c r="H143" i="5" s="1"/>
  <c r="A142" i="12"/>
  <c r="E142" i="5"/>
  <c r="E143" i="5" s="1"/>
  <c r="D142" i="5"/>
  <c r="B142" i="12" s="1"/>
  <c r="AE142" i="5"/>
  <c r="B142" i="6"/>
  <c r="AD142" i="5"/>
  <c r="J142" i="5"/>
  <c r="F142" i="5"/>
  <c r="K142" i="5"/>
  <c r="B142" i="5"/>
  <c r="B143" i="5" s="1"/>
  <c r="K140" i="12"/>
  <c r="F143" i="5" l="1"/>
  <c r="D143" i="6"/>
  <c r="L143" i="12" a="1"/>
  <c r="L143" i="12" s="1"/>
  <c r="J143" i="12" a="1"/>
  <c r="J143" i="12" s="1"/>
  <c r="A144" i="12"/>
  <c r="J144" i="5"/>
  <c r="G144" i="5"/>
  <c r="H144" i="5"/>
  <c r="B144" i="6"/>
  <c r="F144" i="5"/>
  <c r="D144" i="5"/>
  <c r="B144" i="12" s="1"/>
  <c r="AE144" i="5"/>
  <c r="N144" i="5"/>
  <c r="AD144" i="5"/>
  <c r="B144" i="5"/>
  <c r="C145" i="5"/>
  <c r="K144" i="5"/>
  <c r="E144" i="5"/>
  <c r="L142" i="12" a="1"/>
  <c r="L142" i="12" s="1"/>
  <c r="J142" i="12" a="1"/>
  <c r="J142" i="12" s="1"/>
  <c r="T141" i="5"/>
  <c r="H142" i="6" a="1"/>
  <c r="H142" i="6" s="1"/>
  <c r="T142" i="5" s="1"/>
  <c r="G142" i="12" s="1"/>
  <c r="G140" i="12"/>
  <c r="A140" i="6"/>
  <c r="M139" i="6"/>
  <c r="CC138" i="6"/>
  <c r="CM138" i="6"/>
  <c r="BH138" i="6"/>
  <c r="BW138" i="6"/>
  <c r="AV138" i="6"/>
  <c r="BR138" i="6"/>
  <c r="BV138" i="6"/>
  <c r="BY138" i="6"/>
  <c r="CH138" i="6"/>
  <c r="CI138" i="6"/>
  <c r="BQ138" i="6"/>
  <c r="BM138" i="6"/>
  <c r="BP138" i="6"/>
  <c r="BK138" i="6"/>
  <c r="BI138" i="6"/>
  <c r="CL138" i="6"/>
  <c r="CG138" i="6"/>
  <c r="CB138" i="6"/>
  <c r="CD138" i="6"/>
  <c r="BZ138" i="6"/>
  <c r="BG138" i="6"/>
  <c r="CK138" i="6"/>
  <c r="BS138" i="6"/>
  <c r="CF138" i="6"/>
  <c r="AT138" i="6"/>
  <c r="BX138" i="6"/>
  <c r="BD138" i="6"/>
  <c r="CJ138" i="6"/>
  <c r="BC138" i="6"/>
  <c r="BT138" i="6"/>
  <c r="CE138" i="6"/>
  <c r="CA138" i="6"/>
  <c r="BF138" i="6"/>
  <c r="BO138" i="6"/>
  <c r="BL138" i="6"/>
  <c r="BE138" i="6"/>
  <c r="BN138" i="6"/>
  <c r="BJ138" i="6"/>
  <c r="AQ138" i="6"/>
  <c r="AY138" i="6"/>
  <c r="BA138" i="6"/>
  <c r="AZ138" i="6"/>
  <c r="AU138" i="6"/>
  <c r="AW138" i="6"/>
  <c r="AP138" i="6"/>
  <c r="AR138" i="6"/>
  <c r="AX138" i="6"/>
  <c r="AS138" i="6"/>
  <c r="AB107" i="8"/>
  <c r="K143" i="12" l="1"/>
  <c r="A145" i="12"/>
  <c r="AD145" i="5"/>
  <c r="B145" i="5"/>
  <c r="N145" i="5"/>
  <c r="K145" i="5"/>
  <c r="J145" i="5"/>
  <c r="B145" i="6"/>
  <c r="H145" i="5"/>
  <c r="G145" i="5"/>
  <c r="F145" i="5"/>
  <c r="E145" i="5"/>
  <c r="AE145" i="5"/>
  <c r="C146" i="5"/>
  <c r="D145" i="5"/>
  <c r="B145" i="12" s="1"/>
  <c r="D144" i="6"/>
  <c r="H143" i="6" a="1"/>
  <c r="H143" i="6" s="1"/>
  <c r="L144" i="12" a="1"/>
  <c r="L144" i="12" s="1"/>
  <c r="J144" i="12" a="1"/>
  <c r="J144" i="12" s="1"/>
  <c r="K142" i="12"/>
  <c r="G141" i="12"/>
  <c r="CM139" i="6"/>
  <c r="BH139" i="6"/>
  <c r="CC139" i="6"/>
  <c r="BV139" i="6"/>
  <c r="BG139" i="6"/>
  <c r="CF139" i="6"/>
  <c r="BX139" i="6"/>
  <c r="CD139" i="6"/>
  <c r="CG139" i="6"/>
  <c r="CI139" i="6"/>
  <c r="BF139" i="6"/>
  <c r="CB139" i="6"/>
  <c r="BR139" i="6"/>
  <c r="BT139" i="6"/>
  <c r="BC139" i="6"/>
  <c r="CA139" i="6"/>
  <c r="BP139" i="6"/>
  <c r="CJ139" i="6"/>
  <c r="BJ139" i="6"/>
  <c r="BY139" i="6"/>
  <c r="BZ139" i="6"/>
  <c r="BQ139" i="6"/>
  <c r="CH139" i="6"/>
  <c r="BN139" i="6"/>
  <c r="BS139" i="6"/>
  <c r="BK139" i="6"/>
  <c r="BL139" i="6"/>
  <c r="BD139" i="6"/>
  <c r="BE139" i="6"/>
  <c r="BM139" i="6"/>
  <c r="CE139" i="6"/>
  <c r="BW139" i="6"/>
  <c r="CK139" i="6"/>
  <c r="BO139" i="6"/>
  <c r="CL139" i="6"/>
  <c r="BI139" i="6"/>
  <c r="AR139" i="6"/>
  <c r="AP139" i="6"/>
  <c r="AX139" i="6"/>
  <c r="AW139" i="6"/>
  <c r="AZ139" i="6"/>
  <c r="BA139" i="6"/>
  <c r="AT139" i="6"/>
  <c r="AU139" i="6"/>
  <c r="AV139" i="6"/>
  <c r="AQ139" i="6"/>
  <c r="AS139" i="6"/>
  <c r="AY139" i="6"/>
  <c r="M140" i="6"/>
  <c r="A141" i="6"/>
  <c r="A146" i="12" l="1"/>
  <c r="F146" i="5"/>
  <c r="E146" i="5"/>
  <c r="AE146" i="5"/>
  <c r="D146" i="5"/>
  <c r="B146" i="12" s="1"/>
  <c r="AD146" i="5"/>
  <c r="B146" i="5"/>
  <c r="C147" i="5"/>
  <c r="K146" i="5"/>
  <c r="J146" i="5"/>
  <c r="B146" i="6"/>
  <c r="G146" i="5"/>
  <c r="N146" i="5"/>
  <c r="H146" i="5"/>
  <c r="D145" i="6"/>
  <c r="K144" i="12"/>
  <c r="T143" i="5"/>
  <c r="L145" i="12" a="1"/>
  <c r="L145" i="12" s="1"/>
  <c r="J145" i="12" a="1"/>
  <c r="J145" i="12" s="1"/>
  <c r="H144" i="6" a="1"/>
  <c r="H144" i="6" s="1"/>
  <c r="BT140" i="6"/>
  <c r="BZ140" i="6"/>
  <c r="CE140" i="6"/>
  <c r="CK140" i="6"/>
  <c r="BL140" i="6"/>
  <c r="BP140" i="6"/>
  <c r="CL140" i="6"/>
  <c r="CB140" i="6"/>
  <c r="BS140" i="6"/>
  <c r="BG140" i="6"/>
  <c r="CH140" i="6"/>
  <c r="BK140" i="6"/>
  <c r="CD140" i="6"/>
  <c r="CG140" i="6"/>
  <c r="BC140" i="6"/>
  <c r="AT140" i="6"/>
  <c r="BD140" i="6"/>
  <c r="CI140" i="6"/>
  <c r="CM140" i="6"/>
  <c r="BY140" i="6"/>
  <c r="BM140" i="6"/>
  <c r="BV140" i="6"/>
  <c r="CA140" i="6"/>
  <c r="BI140" i="6"/>
  <c r="BR140" i="6"/>
  <c r="BJ140" i="6"/>
  <c r="CF140" i="6"/>
  <c r="CC140" i="6"/>
  <c r="BF140" i="6"/>
  <c r="AY140" i="6"/>
  <c r="CJ140" i="6"/>
  <c r="AS140" i="6"/>
  <c r="BN140" i="6"/>
  <c r="BW140" i="6"/>
  <c r="AU140" i="6"/>
  <c r="BO140" i="6"/>
  <c r="BX140" i="6"/>
  <c r="BH140" i="6"/>
  <c r="BQ140" i="6"/>
  <c r="BE140" i="6"/>
  <c r="AR140" i="6"/>
  <c r="AZ140" i="6"/>
  <c r="BA140" i="6"/>
  <c r="AV140" i="6"/>
  <c r="AP140" i="6"/>
  <c r="AQ140" i="6"/>
  <c r="AW140" i="6"/>
  <c r="AX140" i="6"/>
  <c r="A142" i="6"/>
  <c r="M141" i="6"/>
  <c r="AD107" i="8"/>
  <c r="K145" i="12" l="1"/>
  <c r="G143" i="12"/>
  <c r="L146" i="12" a="1"/>
  <c r="L146" i="12" s="1"/>
  <c r="J146" i="12" a="1"/>
  <c r="J146" i="12" s="1"/>
  <c r="H145" i="6" a="1"/>
  <c r="H145" i="6" s="1"/>
  <c r="A147" i="12"/>
  <c r="B147" i="6"/>
  <c r="J147" i="5"/>
  <c r="H147" i="5"/>
  <c r="G147" i="5"/>
  <c r="F147" i="5"/>
  <c r="D147" i="5"/>
  <c r="B147" i="12" s="1"/>
  <c r="AE147" i="5"/>
  <c r="AD147" i="5"/>
  <c r="B147" i="5"/>
  <c r="N147" i="5"/>
  <c r="C148" i="5"/>
  <c r="K147" i="5"/>
  <c r="E147" i="5"/>
  <c r="M142" i="6"/>
  <c r="BS142" i="6" s="1"/>
  <c r="A143" i="6"/>
  <c r="T144" i="5"/>
  <c r="D146" i="6"/>
  <c r="BA141" i="6"/>
  <c r="BT141" i="6"/>
  <c r="CA141" i="6"/>
  <c r="CL141" i="6"/>
  <c r="CJ141" i="6"/>
  <c r="CE141" i="6"/>
  <c r="BL141" i="6"/>
  <c r="BH141" i="6"/>
  <c r="BS141" i="6"/>
  <c r="CG141" i="6"/>
  <c r="BP141" i="6"/>
  <c r="CM141" i="6"/>
  <c r="CI141" i="6"/>
  <c r="BM141" i="6"/>
  <c r="BX141" i="6"/>
  <c r="BQ141" i="6"/>
  <c r="CC141" i="6"/>
  <c r="CH141" i="6"/>
  <c r="CF141" i="6"/>
  <c r="BG141" i="6"/>
  <c r="BD141" i="6"/>
  <c r="BW141" i="6"/>
  <c r="CB141" i="6"/>
  <c r="CK141" i="6"/>
  <c r="BK141" i="6"/>
  <c r="BZ141" i="6"/>
  <c r="BN141" i="6"/>
  <c r="BJ141" i="6"/>
  <c r="AX141" i="6"/>
  <c r="BI141" i="6"/>
  <c r="CD141" i="6"/>
  <c r="BO141" i="6"/>
  <c r="BC141" i="6"/>
  <c r="BR141" i="6"/>
  <c r="BF141" i="6"/>
  <c r="BE141" i="6"/>
  <c r="AW141" i="6"/>
  <c r="BY141" i="6"/>
  <c r="BV141" i="6"/>
  <c r="AS141" i="6"/>
  <c r="AV141" i="6"/>
  <c r="AM141" i="6"/>
  <c r="AR141" i="6"/>
  <c r="AJ141" i="6"/>
  <c r="AT141" i="6"/>
  <c r="AO141" i="6"/>
  <c r="AK141" i="6"/>
  <c r="AN141" i="6"/>
  <c r="AY141" i="6"/>
  <c r="AQ141" i="6"/>
  <c r="AP141" i="6"/>
  <c r="AZ141" i="6"/>
  <c r="AL141" i="6"/>
  <c r="AU141" i="6"/>
  <c r="AE107" i="8"/>
  <c r="AT142" i="6" l="1"/>
  <c r="CC142" i="6"/>
  <c r="BI142" i="6"/>
  <c r="AY142" i="6"/>
  <c r="BN142" i="6"/>
  <c r="CB142" i="6"/>
  <c r="AV142" i="6"/>
  <c r="BE142" i="6"/>
  <c r="CF142" i="6"/>
  <c r="BR142" i="6"/>
  <c r="BV142" i="6"/>
  <c r="CI142" i="6"/>
  <c r="BH142" i="6"/>
  <c r="M143" i="6"/>
  <c r="A144" i="6"/>
  <c r="BW142" i="6"/>
  <c r="CJ142" i="6"/>
  <c r="AZ142" i="6"/>
  <c r="AU142" i="6"/>
  <c r="CD142" i="6"/>
  <c r="BO142" i="6"/>
  <c r="BQ142" i="6"/>
  <c r="BA142" i="6"/>
  <c r="CM142" i="6"/>
  <c r="BY142" i="6"/>
  <c r="AW142" i="6"/>
  <c r="CG142" i="6"/>
  <c r="BP142" i="6"/>
  <c r="BT142" i="6"/>
  <c r="CA142" i="6"/>
  <c r="AQ142" i="6"/>
  <c r="CK142" i="6"/>
  <c r="AR142" i="6"/>
  <c r="BZ142" i="6"/>
  <c r="AX142" i="6"/>
  <c r="BJ142" i="6"/>
  <c r="G144" i="12"/>
  <c r="BK142" i="6"/>
  <c r="CE142" i="6"/>
  <c r="L147" i="12" a="1"/>
  <c r="L147" i="12" s="1"/>
  <c r="J147" i="12" a="1"/>
  <c r="J147" i="12" s="1"/>
  <c r="CH142" i="6"/>
  <c r="BF142" i="6"/>
  <c r="AP142" i="6"/>
  <c r="BM142" i="6"/>
  <c r="BD142" i="6"/>
  <c r="A148" i="12"/>
  <c r="B148" i="6"/>
  <c r="AD148" i="5"/>
  <c r="B148" i="5"/>
  <c r="C149" i="5"/>
  <c r="N148" i="5"/>
  <c r="K148" i="5"/>
  <c r="J148" i="5"/>
  <c r="H148" i="5"/>
  <c r="G148" i="5"/>
  <c r="F148" i="5"/>
  <c r="E148" i="5"/>
  <c r="AE148" i="5"/>
  <c r="D148" i="5"/>
  <c r="B148" i="12" s="1"/>
  <c r="K146" i="12"/>
  <c r="CL142" i="6"/>
  <c r="BX142" i="6"/>
  <c r="BL142" i="6"/>
  <c r="AS142" i="6"/>
  <c r="BG142" i="6"/>
  <c r="BC142" i="6"/>
  <c r="H146" i="6" a="1"/>
  <c r="H146" i="6" s="1"/>
  <c r="D147" i="6"/>
  <c r="T145" i="5"/>
  <c r="H147" i="6" l="1" a="1"/>
  <c r="H147" i="6" s="1"/>
  <c r="T146" i="5"/>
  <c r="K147" i="12"/>
  <c r="L148" i="12" a="1"/>
  <c r="L148" i="12" s="1"/>
  <c r="J148" i="12" a="1"/>
  <c r="J148" i="12" s="1"/>
  <c r="A149" i="12"/>
  <c r="B149" i="6"/>
  <c r="F149" i="5"/>
  <c r="E149" i="5"/>
  <c r="D149" i="5"/>
  <c r="B149" i="12" s="1"/>
  <c r="AE149" i="5"/>
  <c r="AD149" i="5"/>
  <c r="B149" i="5"/>
  <c r="C150" i="5"/>
  <c r="K149" i="5"/>
  <c r="J149" i="5"/>
  <c r="G149" i="5"/>
  <c r="N149" i="5"/>
  <c r="H149" i="5"/>
  <c r="M144" i="6"/>
  <c r="A145" i="6"/>
  <c r="D148" i="6"/>
  <c r="G145" i="12"/>
  <c r="CG143" i="6"/>
  <c r="BE143" i="6"/>
  <c r="BM143" i="6"/>
  <c r="BT143" i="6"/>
  <c r="CK143" i="6"/>
  <c r="BK143" i="6"/>
  <c r="BZ143" i="6"/>
  <c r="BA143" i="6"/>
  <c r="BH143" i="6"/>
  <c r="CB143" i="6"/>
  <c r="BY143" i="6"/>
  <c r="BF143" i="6"/>
  <c r="AS143" i="6"/>
  <c r="BO143" i="6"/>
  <c r="BL143" i="6"/>
  <c r="BD143" i="6"/>
  <c r="BX143" i="6"/>
  <c r="CI143" i="6"/>
  <c r="BI143" i="6"/>
  <c r="CE143" i="6"/>
  <c r="BC143" i="6"/>
  <c r="BR143" i="6"/>
  <c r="CJ143" i="6"/>
  <c r="AW143" i="6"/>
  <c r="CD143" i="6"/>
  <c r="CF143" i="6"/>
  <c r="CL143" i="6"/>
  <c r="BS143" i="6"/>
  <c r="CH143" i="6"/>
  <c r="BG143" i="6"/>
  <c r="CM143" i="6"/>
  <c r="BW143" i="6"/>
  <c r="BN143" i="6"/>
  <c r="BV143" i="6"/>
  <c r="CA143" i="6"/>
  <c r="BJ143" i="6"/>
  <c r="AV143" i="6"/>
  <c r="BQ143" i="6"/>
  <c r="BP143" i="6"/>
  <c r="CC143" i="6"/>
  <c r="AQ143" i="6"/>
  <c r="AR143" i="6"/>
  <c r="AX143" i="6"/>
  <c r="AZ143" i="6"/>
  <c r="AP143" i="6"/>
  <c r="AT143" i="6"/>
  <c r="AY143" i="6"/>
  <c r="AU143" i="6"/>
  <c r="K148" i="12" l="1"/>
  <c r="T147" i="5"/>
  <c r="G146" i="12"/>
  <c r="H148" i="6" a="1"/>
  <c r="H148" i="6" s="1"/>
  <c r="BN144" i="6"/>
  <c r="CF144" i="6"/>
  <c r="CH144" i="6"/>
  <c r="BS144" i="6"/>
  <c r="AR144" i="6"/>
  <c r="CI144" i="6"/>
  <c r="BG144" i="6"/>
  <c r="BV144" i="6"/>
  <c r="BT144" i="6"/>
  <c r="BF144" i="6"/>
  <c r="BW144" i="6"/>
  <c r="CE144" i="6"/>
  <c r="CL144" i="6"/>
  <c r="BJ144" i="6"/>
  <c r="BR144" i="6"/>
  <c r="CM144" i="6"/>
  <c r="AU144" i="6"/>
  <c r="BZ144" i="6"/>
  <c r="CD144" i="6"/>
  <c r="BP144" i="6"/>
  <c r="CC144" i="6"/>
  <c r="CJ144" i="6"/>
  <c r="CA144" i="6"/>
  <c r="BL144" i="6"/>
  <c r="BC144" i="6"/>
  <c r="BM144" i="6"/>
  <c r="BQ144" i="6"/>
  <c r="BK144" i="6"/>
  <c r="BX144" i="6"/>
  <c r="CG144" i="6"/>
  <c r="BE144" i="6"/>
  <c r="BI144" i="6"/>
  <c r="BY144" i="6"/>
  <c r="BO144" i="6"/>
  <c r="CK144" i="6"/>
  <c r="BH144" i="6"/>
  <c r="CB144" i="6"/>
  <c r="BD144" i="6"/>
  <c r="AX144" i="6"/>
  <c r="AS144" i="6"/>
  <c r="AQ144" i="6"/>
  <c r="AP144" i="6"/>
  <c r="AZ144" i="6"/>
  <c r="AY144" i="6"/>
  <c r="AT144" i="6"/>
  <c r="AV144" i="6"/>
  <c r="BA144" i="6"/>
  <c r="AW144" i="6"/>
  <c r="L149" i="12" a="1"/>
  <c r="L149" i="12" s="1"/>
  <c r="J149" i="12" a="1"/>
  <c r="J149" i="12" s="1"/>
  <c r="A146" i="6"/>
  <c r="M145" i="6"/>
  <c r="A150" i="12"/>
  <c r="B150" i="6"/>
  <c r="J150" i="5"/>
  <c r="G150" i="5"/>
  <c r="H150" i="5"/>
  <c r="F150" i="5"/>
  <c r="D150" i="5"/>
  <c r="B150" i="12" s="1"/>
  <c r="AE150" i="5"/>
  <c r="AD150" i="5"/>
  <c r="B150" i="5"/>
  <c r="N150" i="5"/>
  <c r="C151" i="5"/>
  <c r="K150" i="5"/>
  <c r="E150" i="5"/>
  <c r="D149" i="6"/>
  <c r="K149" i="12" l="1"/>
  <c r="CE145" i="6"/>
  <c r="BX145" i="6"/>
  <c r="CM145" i="6"/>
  <c r="BH145" i="6"/>
  <c r="BR145" i="6"/>
  <c r="CL145" i="6"/>
  <c r="CI145" i="6"/>
  <c r="CA145" i="6"/>
  <c r="AR145" i="6"/>
  <c r="CB145" i="6"/>
  <c r="BF145" i="6"/>
  <c r="BZ145" i="6"/>
  <c r="BW145" i="6"/>
  <c r="CK145" i="6"/>
  <c r="BM145" i="6"/>
  <c r="BJ145" i="6"/>
  <c r="BV145" i="6"/>
  <c r="CH145" i="6"/>
  <c r="BS145" i="6"/>
  <c r="CD145" i="6"/>
  <c r="BE145" i="6"/>
  <c r="BN145" i="6"/>
  <c r="CF145" i="6"/>
  <c r="BT145" i="6"/>
  <c r="BK145" i="6"/>
  <c r="BQ145" i="6"/>
  <c r="BP145" i="6"/>
  <c r="CG145" i="6"/>
  <c r="BY145" i="6"/>
  <c r="BG145" i="6"/>
  <c r="BO145" i="6"/>
  <c r="BI145" i="6"/>
  <c r="AP145" i="6"/>
  <c r="CC145" i="6"/>
  <c r="BC145" i="6"/>
  <c r="AV145" i="6"/>
  <c r="CJ145" i="6"/>
  <c r="BD145" i="6"/>
  <c r="BL145" i="6"/>
  <c r="AT145" i="6"/>
  <c r="AW145" i="6"/>
  <c r="BA145" i="6"/>
  <c r="AS145" i="6"/>
  <c r="AQ145" i="6"/>
  <c r="AU145" i="6"/>
  <c r="AZ145" i="6"/>
  <c r="AY145" i="6"/>
  <c r="AX145" i="6"/>
  <c r="L150" i="12" a="1"/>
  <c r="L150" i="12" s="1"/>
  <c r="J150" i="12" a="1"/>
  <c r="J150" i="12" s="1"/>
  <c r="A147" i="6"/>
  <c r="M146" i="6"/>
  <c r="H149" i="6" a="1"/>
  <c r="H149" i="6" s="1"/>
  <c r="A151" i="12"/>
  <c r="B151" i="6"/>
  <c r="AD151" i="5"/>
  <c r="B151" i="5"/>
  <c r="N151" i="5"/>
  <c r="C152" i="5"/>
  <c r="K151" i="5"/>
  <c r="J151" i="5"/>
  <c r="H151" i="5"/>
  <c r="G151" i="5"/>
  <c r="F151" i="5"/>
  <c r="D151" i="5"/>
  <c r="B151" i="12" s="1"/>
  <c r="E151" i="5"/>
  <c r="AE151" i="5"/>
  <c r="D150" i="6"/>
  <c r="T148" i="5"/>
  <c r="G147" i="12"/>
  <c r="D151" i="6" l="1"/>
  <c r="CJ146" i="6"/>
  <c r="BH146" i="6"/>
  <c r="BP146" i="6"/>
  <c r="CA146" i="6"/>
  <c r="CK146" i="6"/>
  <c r="BX146" i="6"/>
  <c r="BD146" i="6"/>
  <c r="BI146" i="6"/>
  <c r="BQ146" i="6"/>
  <c r="BK146" i="6"/>
  <c r="BG146" i="6"/>
  <c r="BS146" i="6"/>
  <c r="BY146" i="6"/>
  <c r="CH146" i="6"/>
  <c r="CE146" i="6"/>
  <c r="CB146" i="6"/>
  <c r="BV146" i="6"/>
  <c r="BR146" i="6"/>
  <c r="BO146" i="6"/>
  <c r="BN146" i="6"/>
  <c r="BC146" i="6"/>
  <c r="BW146" i="6"/>
  <c r="CM146" i="6"/>
  <c r="CI146" i="6"/>
  <c r="BF146" i="6"/>
  <c r="CD146" i="6"/>
  <c r="CL146" i="6"/>
  <c r="BL146" i="6"/>
  <c r="BE146" i="6"/>
  <c r="BZ146" i="6"/>
  <c r="BT146" i="6"/>
  <c r="CC146" i="6"/>
  <c r="BJ146" i="6"/>
  <c r="CG146" i="6"/>
  <c r="BM146" i="6"/>
  <c r="CF146" i="6"/>
  <c r="AT146" i="6"/>
  <c r="AW146" i="6"/>
  <c r="AU146" i="6"/>
  <c r="AV146" i="6"/>
  <c r="AR146" i="6"/>
  <c r="BA146" i="6"/>
  <c r="AY146" i="6"/>
  <c r="AX146" i="6"/>
  <c r="AZ146" i="6"/>
  <c r="AQ146" i="6"/>
  <c r="AS146" i="6"/>
  <c r="AP146" i="6"/>
  <c r="T149" i="5"/>
  <c r="A148" i="6"/>
  <c r="M147" i="6"/>
  <c r="L151" i="12" a="1"/>
  <c r="L151" i="12" s="1"/>
  <c r="J151" i="12" a="1"/>
  <c r="J151" i="12" s="1"/>
  <c r="G148" i="12"/>
  <c r="K150" i="12"/>
  <c r="H150" i="6" a="1"/>
  <c r="H150" i="6" s="1"/>
  <c r="A152" i="12"/>
  <c r="B152" i="6"/>
  <c r="F152" i="5"/>
  <c r="AE152" i="5"/>
  <c r="E152" i="5"/>
  <c r="D152" i="5"/>
  <c r="B152" i="12" s="1"/>
  <c r="AD152" i="5"/>
  <c r="B152" i="5"/>
  <c r="C153" i="5"/>
  <c r="K152" i="5"/>
  <c r="J152" i="5"/>
  <c r="H152" i="5"/>
  <c r="G152" i="5"/>
  <c r="N152" i="5"/>
  <c r="L152" i="12" l="1" a="1"/>
  <c r="L152" i="12" s="1"/>
  <c r="J152" i="12" a="1"/>
  <c r="J152" i="12" s="1"/>
  <c r="A153" i="12"/>
  <c r="B153" i="6"/>
  <c r="J153" i="5"/>
  <c r="H153" i="5"/>
  <c r="G153" i="5"/>
  <c r="F153" i="5"/>
  <c r="D153" i="5"/>
  <c r="B153" i="12" s="1"/>
  <c r="AE153" i="5"/>
  <c r="AD153" i="5"/>
  <c r="B153" i="5"/>
  <c r="N153" i="5"/>
  <c r="C154" i="5"/>
  <c r="K153" i="5"/>
  <c r="E153" i="5"/>
  <c r="D152" i="6"/>
  <c r="T150" i="5"/>
  <c r="BE147" i="6"/>
  <c r="BZ147" i="6"/>
  <c r="CE147" i="6"/>
  <c r="BS147" i="6"/>
  <c r="BW147" i="6"/>
  <c r="BM147" i="6"/>
  <c r="BR147" i="6"/>
  <c r="BN147" i="6"/>
  <c r="CC147" i="6"/>
  <c r="CH147" i="6"/>
  <c r="BF147" i="6"/>
  <c r="BL147" i="6"/>
  <c r="BP147" i="6"/>
  <c r="BV147" i="6"/>
  <c r="CB147" i="6"/>
  <c r="CK147" i="6"/>
  <c r="BD147" i="6"/>
  <c r="CJ147" i="6"/>
  <c r="BI147" i="6"/>
  <c r="CM147" i="6"/>
  <c r="BG147" i="6"/>
  <c r="BQ147" i="6"/>
  <c r="BY147" i="6"/>
  <c r="BX147" i="6"/>
  <c r="BK147" i="6"/>
  <c r="CA147" i="6"/>
  <c r="BO147" i="6"/>
  <c r="CG147" i="6"/>
  <c r="CL147" i="6"/>
  <c r="BC147" i="6"/>
  <c r="BT147" i="6"/>
  <c r="CF147" i="6"/>
  <c r="CI147" i="6"/>
  <c r="BH147" i="6"/>
  <c r="BJ147" i="6"/>
  <c r="CD147" i="6"/>
  <c r="AZ147" i="6"/>
  <c r="BA147" i="6"/>
  <c r="AY147" i="6"/>
  <c r="AT147" i="6"/>
  <c r="AW147" i="6"/>
  <c r="AX147" i="6"/>
  <c r="AV147" i="6"/>
  <c r="AR147" i="6"/>
  <c r="AQ147" i="6"/>
  <c r="AS147" i="6"/>
  <c r="AP147" i="6"/>
  <c r="AU147" i="6"/>
  <c r="H151" i="6" a="1"/>
  <c r="H151" i="6" s="1"/>
  <c r="A149" i="6"/>
  <c r="M148" i="6"/>
  <c r="G149" i="12"/>
  <c r="K151" i="12"/>
  <c r="K152" i="12" l="1"/>
  <c r="T151" i="5"/>
  <c r="L153" i="12" a="1"/>
  <c r="L153" i="12" s="1"/>
  <c r="J153" i="12" a="1"/>
  <c r="J153" i="12" s="1"/>
  <c r="G150" i="12"/>
  <c r="BW148" i="6"/>
  <c r="BC148" i="6"/>
  <c r="BJ148" i="6"/>
  <c r="BQ148" i="6"/>
  <c r="CG148" i="6"/>
  <c r="AQ148" i="6"/>
  <c r="BL148" i="6"/>
  <c r="BH148" i="6"/>
  <c r="CE148" i="6"/>
  <c r="CJ148" i="6"/>
  <c r="AR148" i="6"/>
  <c r="BG148" i="6"/>
  <c r="BT148" i="6"/>
  <c r="BO148" i="6"/>
  <c r="BR148" i="6"/>
  <c r="CM148" i="6"/>
  <c r="BX148" i="6"/>
  <c r="CD148" i="6"/>
  <c r="BZ148" i="6"/>
  <c r="BM148" i="6"/>
  <c r="CH148" i="6"/>
  <c r="BF148" i="6"/>
  <c r="CA148" i="6"/>
  <c r="BK148" i="6"/>
  <c r="CK148" i="6"/>
  <c r="BV148" i="6"/>
  <c r="BN148" i="6"/>
  <c r="BD148" i="6"/>
  <c r="BI148" i="6"/>
  <c r="CC148" i="6"/>
  <c r="BA148" i="6"/>
  <c r="CF148" i="6"/>
  <c r="BY148" i="6"/>
  <c r="CL148" i="6"/>
  <c r="BE148" i="6"/>
  <c r="BP148" i="6"/>
  <c r="BS148" i="6"/>
  <c r="CB148" i="6"/>
  <c r="CI148" i="6"/>
  <c r="AZ148" i="6"/>
  <c r="AX148" i="6"/>
  <c r="AP148" i="6"/>
  <c r="AT148" i="6"/>
  <c r="AY148" i="6"/>
  <c r="AU148" i="6"/>
  <c r="AS148" i="6"/>
  <c r="AW148" i="6"/>
  <c r="AV148" i="6"/>
  <c r="M149" i="6"/>
  <c r="A150" i="6"/>
  <c r="A154" i="12"/>
  <c r="B154" i="6"/>
  <c r="AD154" i="5"/>
  <c r="B154" i="5"/>
  <c r="N154" i="5"/>
  <c r="C155" i="5"/>
  <c r="K154" i="5"/>
  <c r="J154" i="5"/>
  <c r="H154" i="5"/>
  <c r="G154" i="5"/>
  <c r="D154" i="5"/>
  <c r="B154" i="12" s="1"/>
  <c r="F154" i="5"/>
  <c r="E154" i="5"/>
  <c r="AE154" i="5"/>
  <c r="H152" i="6" a="1"/>
  <c r="H152" i="6" s="1"/>
  <c r="D153" i="6"/>
  <c r="K153" i="12" l="1"/>
  <c r="A155" i="12"/>
  <c r="B155" i="6"/>
  <c r="F155" i="5"/>
  <c r="E155" i="5"/>
  <c r="D155" i="5"/>
  <c r="B155" i="12" s="1"/>
  <c r="AD155" i="5"/>
  <c r="B155" i="5"/>
  <c r="C156" i="5" s="1"/>
  <c r="N155" i="5"/>
  <c r="K155" i="5"/>
  <c r="H155" i="5"/>
  <c r="J155" i="5"/>
  <c r="G155" i="5"/>
  <c r="AE155" i="5"/>
  <c r="A151" i="6"/>
  <c r="M150" i="6"/>
  <c r="G151" i="12"/>
  <c r="D154" i="6"/>
  <c r="T152" i="5"/>
  <c r="H153" i="6" a="1"/>
  <c r="H153" i="6" s="1"/>
  <c r="BP149" i="6"/>
  <c r="CD149" i="6"/>
  <c r="BX149" i="6"/>
  <c r="BR149" i="6"/>
  <c r="BE149" i="6"/>
  <c r="CL149" i="6"/>
  <c r="BC149" i="6"/>
  <c r="BN149" i="6"/>
  <c r="AS149" i="6"/>
  <c r="BD149" i="6"/>
  <c r="BQ149" i="6"/>
  <c r="BF149" i="6"/>
  <c r="CH149" i="6"/>
  <c r="CK149" i="6"/>
  <c r="CF149" i="6"/>
  <c r="CB149" i="6"/>
  <c r="CE149" i="6"/>
  <c r="BO149" i="6"/>
  <c r="BK149" i="6"/>
  <c r="BT149" i="6"/>
  <c r="BY149" i="6"/>
  <c r="CI149" i="6"/>
  <c r="BW149" i="6"/>
  <c r="CA149" i="6"/>
  <c r="CM149" i="6"/>
  <c r="BJ149" i="6"/>
  <c r="CG149" i="6"/>
  <c r="AQ149" i="6"/>
  <c r="CC149" i="6"/>
  <c r="BV149" i="6"/>
  <c r="BZ149" i="6"/>
  <c r="BS149" i="6"/>
  <c r="BL149" i="6"/>
  <c r="BM149" i="6"/>
  <c r="BG149" i="6"/>
  <c r="BI149" i="6"/>
  <c r="BH149" i="6"/>
  <c r="AR149" i="6"/>
  <c r="AV149" i="6"/>
  <c r="CJ149" i="6"/>
  <c r="AZ149" i="6"/>
  <c r="AU149" i="6"/>
  <c r="AW149" i="6"/>
  <c r="AT149" i="6"/>
  <c r="AX149" i="6"/>
  <c r="AY149" i="6"/>
  <c r="BA149" i="6"/>
  <c r="AP149" i="6"/>
  <c r="L154" i="12" a="1"/>
  <c r="L154" i="12" s="1"/>
  <c r="J154" i="12" a="1"/>
  <c r="J154" i="12" s="1"/>
  <c r="AF156" i="5"/>
  <c r="K154" i="12" l="1"/>
  <c r="AG156" i="5"/>
  <c r="S156" i="5"/>
  <c r="F156" i="12" s="1"/>
  <c r="T153" i="5"/>
  <c r="H154" i="6" a="1"/>
  <c r="H154" i="6" s="1"/>
  <c r="G152" i="12"/>
  <c r="L155" i="12" a="1"/>
  <c r="L155" i="12" s="1"/>
  <c r="J155" i="12" a="1"/>
  <c r="J155" i="12" s="1"/>
  <c r="CA150" i="6"/>
  <c r="BF150" i="6"/>
  <c r="BQ150" i="6"/>
  <c r="CH150" i="6"/>
  <c r="BN150" i="6"/>
  <c r="CF150" i="6"/>
  <c r="BV150" i="6"/>
  <c r="BO150" i="6"/>
  <c r="BY150" i="6"/>
  <c r="BL150" i="6"/>
  <c r="BI150" i="6"/>
  <c r="BE150" i="6"/>
  <c r="BG150" i="6"/>
  <c r="AZ150" i="6"/>
  <c r="CJ150" i="6"/>
  <c r="BR150" i="6"/>
  <c r="CI150" i="6"/>
  <c r="CE150" i="6"/>
  <c r="BX150" i="6"/>
  <c r="AR150" i="6"/>
  <c r="CG150" i="6"/>
  <c r="BW150" i="6"/>
  <c r="BM150" i="6"/>
  <c r="BD150" i="6"/>
  <c r="CD150" i="6"/>
  <c r="CM150" i="6"/>
  <c r="CK150" i="6"/>
  <c r="BT150" i="6"/>
  <c r="BJ150" i="6"/>
  <c r="CL150" i="6"/>
  <c r="AQ150" i="6"/>
  <c r="BH150" i="6"/>
  <c r="CC150" i="6"/>
  <c r="BS150" i="6"/>
  <c r="AU150" i="6"/>
  <c r="BK150" i="6"/>
  <c r="BC150" i="6"/>
  <c r="CB150" i="6"/>
  <c r="BZ150" i="6"/>
  <c r="BP150" i="6"/>
  <c r="AX150" i="6"/>
  <c r="AT150" i="6"/>
  <c r="AY150" i="6"/>
  <c r="BA150" i="6"/>
  <c r="AS150" i="6"/>
  <c r="AW150" i="6"/>
  <c r="AV150" i="6"/>
  <c r="AP150" i="6"/>
  <c r="A156" i="12"/>
  <c r="B156" i="6"/>
  <c r="G156" i="5"/>
  <c r="H156" i="5"/>
  <c r="W156" i="5"/>
  <c r="H156" i="12" s="1"/>
  <c r="F156" i="5"/>
  <c r="E156" i="5"/>
  <c r="AE156" i="5"/>
  <c r="AD156" i="5"/>
  <c r="B156" i="5"/>
  <c r="N156" i="5"/>
  <c r="C157" i="5"/>
  <c r="M151" i="6"/>
  <c r="A152" i="6"/>
  <c r="D155" i="6"/>
  <c r="H155" i="6" l="1" a="1"/>
  <c r="H155" i="6" s="1"/>
  <c r="A157" i="12"/>
  <c r="B157" i="6"/>
  <c r="AD157" i="5"/>
  <c r="B157" i="5"/>
  <c r="C158" i="5" s="1"/>
  <c r="K157" i="5"/>
  <c r="N157" i="5"/>
  <c r="J157" i="5"/>
  <c r="H157" i="5"/>
  <c r="G157" i="5"/>
  <c r="F157" i="5"/>
  <c r="E157" i="5"/>
  <c r="D157" i="5"/>
  <c r="B157" i="12" s="1"/>
  <c r="AE157" i="5"/>
  <c r="T154" i="5"/>
  <c r="K155" i="12"/>
  <c r="D156" i="6"/>
  <c r="M152" i="6"/>
  <c r="A153" i="6"/>
  <c r="G153" i="12"/>
  <c r="CF151" i="6"/>
  <c r="BK151" i="6"/>
  <c r="BE151" i="6"/>
  <c r="BR151" i="6"/>
  <c r="CM151" i="6"/>
  <c r="BS151" i="6"/>
  <c r="CK151" i="6"/>
  <c r="CJ151" i="6"/>
  <c r="CA151" i="6"/>
  <c r="BG151" i="6"/>
  <c r="BT151" i="6"/>
  <c r="CD151" i="6"/>
  <c r="BQ151" i="6"/>
  <c r="CC151" i="6"/>
  <c r="CG151" i="6"/>
  <c r="BH151" i="6"/>
  <c r="CE151" i="6"/>
  <c r="BN151" i="6"/>
  <c r="BJ151" i="6"/>
  <c r="BL151" i="6"/>
  <c r="BO151" i="6"/>
  <c r="BI151" i="6"/>
  <c r="BF151" i="6"/>
  <c r="BZ151" i="6"/>
  <c r="BD151" i="6"/>
  <c r="CB151" i="6"/>
  <c r="BY151" i="6"/>
  <c r="CI151" i="6"/>
  <c r="CL151" i="6"/>
  <c r="BC151" i="6"/>
  <c r="CH151" i="6"/>
  <c r="BP151" i="6"/>
  <c r="BM151" i="6"/>
  <c r="BW151" i="6"/>
  <c r="BV151" i="6"/>
  <c r="BX151" i="6"/>
  <c r="AS151" i="6"/>
  <c r="AZ151" i="6"/>
  <c r="AW151" i="6"/>
  <c r="AV151" i="6"/>
  <c r="BA151" i="6"/>
  <c r="AU151" i="6"/>
  <c r="AR151" i="6"/>
  <c r="AY151" i="6"/>
  <c r="AX151" i="6"/>
  <c r="AQ151" i="6"/>
  <c r="AT151" i="6"/>
  <c r="AP151" i="6"/>
  <c r="E156" i="12"/>
  <c r="F156" i="6"/>
  <c r="AF158" i="5"/>
  <c r="AG158" i="5" l="1"/>
  <c r="S158" i="5"/>
  <c r="F158" i="12" s="1"/>
  <c r="A158" i="12"/>
  <c r="B158" i="6"/>
  <c r="W158" i="5"/>
  <c r="H158" i="12" s="1"/>
  <c r="F158" i="5"/>
  <c r="E158" i="5"/>
  <c r="AE158" i="5"/>
  <c r="AD158" i="5"/>
  <c r="B158" i="5"/>
  <c r="N158" i="5"/>
  <c r="C159" i="5"/>
  <c r="H158" i="5"/>
  <c r="G158" i="5"/>
  <c r="D157" i="6"/>
  <c r="T155" i="5"/>
  <c r="L157" i="12" a="1"/>
  <c r="L157" i="12" s="1"/>
  <c r="J157" i="12" a="1"/>
  <c r="J157" i="12" s="1"/>
  <c r="G154" i="12"/>
  <c r="M153" i="6"/>
  <c r="A154" i="6"/>
  <c r="H156" i="6" a="1"/>
  <c r="H156" i="6" s="1"/>
  <c r="G156" i="6"/>
  <c r="CF152" i="6"/>
  <c r="BO152" i="6"/>
  <c r="BC152" i="6"/>
  <c r="BS152" i="6"/>
  <c r="BX152" i="6"/>
  <c r="BW152" i="6"/>
  <c r="BQ152" i="6"/>
  <c r="CI152" i="6"/>
  <c r="BG152" i="6"/>
  <c r="CG152" i="6"/>
  <c r="BD152" i="6"/>
  <c r="AZ152" i="6"/>
  <c r="BT152" i="6"/>
  <c r="CH152" i="6"/>
  <c r="BK152" i="6"/>
  <c r="BH152" i="6"/>
  <c r="BN152" i="6"/>
  <c r="BJ152" i="6"/>
  <c r="CM152" i="6"/>
  <c r="BV152" i="6"/>
  <c r="CB152" i="6"/>
  <c r="CE152" i="6"/>
  <c r="AV152" i="6"/>
  <c r="BZ152" i="6"/>
  <c r="BL152" i="6"/>
  <c r="BR152" i="6"/>
  <c r="BY152" i="6"/>
  <c r="BF152" i="6"/>
  <c r="CA152" i="6"/>
  <c r="CD152" i="6"/>
  <c r="BM152" i="6"/>
  <c r="BE152" i="6"/>
  <c r="BI152" i="6"/>
  <c r="CJ152" i="6"/>
  <c r="CL152" i="6"/>
  <c r="AX152" i="6"/>
  <c r="CK152" i="6"/>
  <c r="BP152" i="6"/>
  <c r="CC152" i="6"/>
  <c r="AQ152" i="6"/>
  <c r="BA152" i="6"/>
  <c r="AP152" i="6"/>
  <c r="AT152" i="6"/>
  <c r="AY152" i="6"/>
  <c r="AR152" i="6"/>
  <c r="AW152" i="6"/>
  <c r="AS152" i="6"/>
  <c r="AU152" i="6"/>
  <c r="K157" i="12" l="1"/>
  <c r="H157" i="6" a="1"/>
  <c r="H157" i="6" s="1"/>
  <c r="A159" i="12"/>
  <c r="B159" i="6"/>
  <c r="C160" i="5"/>
  <c r="G159" i="5"/>
  <c r="H159" i="5"/>
  <c r="F159" i="5"/>
  <c r="E159" i="5"/>
  <c r="AE159" i="5"/>
  <c r="AD159" i="5"/>
  <c r="B159" i="5"/>
  <c r="N159" i="5"/>
  <c r="D158" i="6"/>
  <c r="A155" i="6"/>
  <c r="M154" i="6"/>
  <c r="BK153" i="6"/>
  <c r="CF153" i="6"/>
  <c r="BR153" i="6"/>
  <c r="AX153" i="6"/>
  <c r="CA153" i="6"/>
  <c r="BN153" i="6"/>
  <c r="BV153" i="6"/>
  <c r="AW153" i="6"/>
  <c r="BD153" i="6"/>
  <c r="CG153" i="6"/>
  <c r="CH153" i="6"/>
  <c r="CD153" i="6"/>
  <c r="BO153" i="6"/>
  <c r="BQ153" i="6"/>
  <c r="CE153" i="6"/>
  <c r="BT153" i="6"/>
  <c r="AU153" i="6"/>
  <c r="AQ153" i="6"/>
  <c r="BH153" i="6"/>
  <c r="CK153" i="6"/>
  <c r="BE153" i="6"/>
  <c r="BJ153" i="6"/>
  <c r="BC153" i="6"/>
  <c r="BM153" i="6"/>
  <c r="CJ153" i="6"/>
  <c r="BF153" i="6"/>
  <c r="BY153" i="6"/>
  <c r="CB153" i="6"/>
  <c r="BL153" i="6"/>
  <c r="CL153" i="6"/>
  <c r="CC153" i="6"/>
  <c r="CM153" i="6"/>
  <c r="BW153" i="6"/>
  <c r="BA153" i="6"/>
  <c r="AZ153" i="6"/>
  <c r="BZ153" i="6"/>
  <c r="BI153" i="6"/>
  <c r="BS153" i="6"/>
  <c r="BP153" i="6"/>
  <c r="BX153" i="6"/>
  <c r="BG153" i="6"/>
  <c r="CI153" i="6"/>
  <c r="AR153" i="6"/>
  <c r="AS153" i="6"/>
  <c r="AT153" i="6"/>
  <c r="AP153" i="6"/>
  <c r="AV153" i="6"/>
  <c r="AY153" i="6"/>
  <c r="E158" i="12"/>
  <c r="F158" i="6"/>
  <c r="G155" i="12"/>
  <c r="T156" i="5"/>
  <c r="D159" i="6" l="1"/>
  <c r="CI154" i="6"/>
  <c r="BF154" i="6"/>
  <c r="BO154" i="6"/>
  <c r="BH154" i="6"/>
  <c r="CL154" i="6"/>
  <c r="BW154" i="6"/>
  <c r="BJ154" i="6"/>
  <c r="BY154" i="6"/>
  <c r="CJ154" i="6"/>
  <c r="BZ154" i="6"/>
  <c r="BM154" i="6"/>
  <c r="BC154" i="6"/>
  <c r="CD154" i="6"/>
  <c r="CA154" i="6"/>
  <c r="BQ154" i="6"/>
  <c r="CH154" i="6"/>
  <c r="BX154" i="6"/>
  <c r="CG154" i="6"/>
  <c r="CM154" i="6"/>
  <c r="AX154" i="6"/>
  <c r="BE154" i="6"/>
  <c r="BV154" i="6"/>
  <c r="BL154" i="6"/>
  <c r="CK154" i="6"/>
  <c r="BI154" i="6"/>
  <c r="AQ154" i="6"/>
  <c r="CC154" i="6"/>
  <c r="BT154" i="6"/>
  <c r="CF154" i="6"/>
  <c r="BS154" i="6"/>
  <c r="CE154" i="6"/>
  <c r="CB154" i="6"/>
  <c r="BP154" i="6"/>
  <c r="BK154" i="6"/>
  <c r="BN154" i="6"/>
  <c r="BG154" i="6"/>
  <c r="BR154" i="6"/>
  <c r="BD154" i="6"/>
  <c r="AV154" i="6"/>
  <c r="AT154" i="6"/>
  <c r="AY154" i="6"/>
  <c r="AR154" i="6"/>
  <c r="AZ154" i="6"/>
  <c r="BA154" i="6"/>
  <c r="AU154" i="6"/>
  <c r="AW154" i="6"/>
  <c r="AS154" i="6"/>
  <c r="AP154" i="6"/>
  <c r="A156" i="6"/>
  <c r="M155" i="6"/>
  <c r="G156" i="12"/>
  <c r="AC156" i="5" a="1"/>
  <c r="AC156" i="5" s="1"/>
  <c r="G158" i="6"/>
  <c r="H158" i="6" a="1"/>
  <c r="H158" i="6" s="1"/>
  <c r="B160" i="6"/>
  <c r="A160" i="12"/>
  <c r="B160" i="5"/>
  <c r="AE160" i="5"/>
  <c r="AD160" i="5"/>
  <c r="K160" i="5"/>
  <c r="J160" i="5"/>
  <c r="H160" i="5"/>
  <c r="C161" i="5"/>
  <c r="G160" i="5"/>
  <c r="E160" i="5"/>
  <c r="F160" i="5"/>
  <c r="D160" i="5"/>
  <c r="B160" i="12" s="1"/>
  <c r="N160" i="5"/>
  <c r="T157" i="5"/>
  <c r="CA155" i="6" l="1"/>
  <c r="BZ155" i="6"/>
  <c r="BQ155" i="6"/>
  <c r="BN155" i="6"/>
  <c r="CL155" i="6"/>
  <c r="CC155" i="6"/>
  <c r="BW155" i="6"/>
  <c r="BK155" i="6"/>
  <c r="BV155" i="6"/>
  <c r="BF155" i="6"/>
  <c r="BY155" i="6"/>
  <c r="BI155" i="6"/>
  <c r="BS155" i="6"/>
  <c r="CG155" i="6"/>
  <c r="CF155" i="6"/>
  <c r="CB155" i="6"/>
  <c r="BT155" i="6"/>
  <c r="BP155" i="6"/>
  <c r="BE155" i="6"/>
  <c r="BR155" i="6"/>
  <c r="BO155" i="6"/>
  <c r="BH155" i="6"/>
  <c r="CE155" i="6"/>
  <c r="BD155" i="6"/>
  <c r="BC155" i="6"/>
  <c r="BM155" i="6"/>
  <c r="CK155" i="6"/>
  <c r="BJ155" i="6"/>
  <c r="BX155" i="6"/>
  <c r="CD155" i="6"/>
  <c r="CI155" i="6"/>
  <c r="CJ155" i="6"/>
  <c r="CM155" i="6"/>
  <c r="BG155" i="6"/>
  <c r="BL155" i="6"/>
  <c r="CH155" i="6"/>
  <c r="AT155" i="6"/>
  <c r="AV155" i="6"/>
  <c r="BA155" i="6"/>
  <c r="AX155" i="6"/>
  <c r="AZ155" i="6"/>
  <c r="AW155" i="6"/>
  <c r="AY155" i="6"/>
  <c r="AQ155" i="6"/>
  <c r="AP155" i="6"/>
  <c r="AS155" i="6"/>
  <c r="AU155" i="6"/>
  <c r="AR155" i="6"/>
  <c r="M156" i="6"/>
  <c r="A157" i="6"/>
  <c r="B161" i="6"/>
  <c r="A161" i="12"/>
  <c r="D161" i="5"/>
  <c r="B161" i="12" s="1"/>
  <c r="AE161" i="5"/>
  <c r="N161" i="5"/>
  <c r="AD161" i="5"/>
  <c r="K161" i="5"/>
  <c r="J161" i="5"/>
  <c r="H161" i="5"/>
  <c r="G161" i="5"/>
  <c r="F161" i="5"/>
  <c r="C162" i="5"/>
  <c r="E161" i="5"/>
  <c r="B161" i="5"/>
  <c r="D160" i="6"/>
  <c r="L160" i="12" a="1"/>
  <c r="L160" i="12" s="1"/>
  <c r="J160" i="12" a="1"/>
  <c r="J160" i="12" s="1"/>
  <c r="T158" i="5"/>
  <c r="H159" i="6" a="1"/>
  <c r="H159" i="6" s="1"/>
  <c r="G157" i="12"/>
  <c r="G158" i="12" l="1"/>
  <c r="AC158" i="5" a="1"/>
  <c r="AC158" i="5" s="1"/>
  <c r="H160" i="6" a="1"/>
  <c r="H160" i="6" s="1"/>
  <c r="D161" i="6"/>
  <c r="A162" i="12"/>
  <c r="B162" i="6"/>
  <c r="J162" i="5"/>
  <c r="H162" i="5"/>
  <c r="D162" i="5"/>
  <c r="B162" i="12" s="1"/>
  <c r="N162" i="5"/>
  <c r="K162" i="5"/>
  <c r="G162" i="5"/>
  <c r="AE162" i="5"/>
  <c r="F162" i="5"/>
  <c r="AD162" i="5"/>
  <c r="E162" i="5"/>
  <c r="B162" i="5"/>
  <c r="C163" i="5" s="1"/>
  <c r="K160" i="12"/>
  <c r="T159" i="5"/>
  <c r="L161" i="12" a="1"/>
  <c r="L161" i="12" s="1"/>
  <c r="J161" i="12" a="1"/>
  <c r="J161" i="12" s="1"/>
  <c r="A158" i="6"/>
  <c r="M157" i="6"/>
  <c r="BS156" i="6"/>
  <c r="CA156" i="6"/>
  <c r="BO156" i="6"/>
  <c r="BX156" i="6"/>
  <c r="BG156" i="6"/>
  <c r="CJ156" i="6"/>
  <c r="BJ156" i="6"/>
  <c r="BN156" i="6"/>
  <c r="BF156" i="6"/>
  <c r="BC156" i="6"/>
  <c r="BP156" i="6"/>
  <c r="BR156" i="6"/>
  <c r="CI156" i="6"/>
  <c r="CF156" i="6"/>
  <c r="CL156" i="6"/>
  <c r="BY156" i="6"/>
  <c r="BZ156" i="6"/>
  <c r="CC156" i="6"/>
  <c r="BI156" i="6"/>
  <c r="CH156" i="6"/>
  <c r="BQ156" i="6"/>
  <c r="CG156" i="6"/>
  <c r="BM156" i="6"/>
  <c r="BL156" i="6"/>
  <c r="BH156" i="6"/>
  <c r="BW156" i="6"/>
  <c r="BT156" i="6"/>
  <c r="CM156" i="6"/>
  <c r="CE156" i="6"/>
  <c r="CB156" i="6"/>
  <c r="CK156" i="6"/>
  <c r="BK156" i="6"/>
  <c r="BE156" i="6"/>
  <c r="CD156" i="6"/>
  <c r="BD156" i="6"/>
  <c r="BV156" i="6"/>
  <c r="AQ156" i="6"/>
  <c r="AT156" i="6"/>
  <c r="AK156" i="6"/>
  <c r="AO156" i="6"/>
  <c r="AP156" i="6"/>
  <c r="AX156" i="6"/>
  <c r="AS156" i="6"/>
  <c r="AN156" i="6"/>
  <c r="AJ156" i="6"/>
  <c r="AV156" i="6"/>
  <c r="AM156" i="6"/>
  <c r="AZ156" i="6"/>
  <c r="BA156" i="6"/>
  <c r="AY156" i="6"/>
  <c r="AU156" i="6"/>
  <c r="AW156" i="6"/>
  <c r="AL156" i="6"/>
  <c r="AR156" i="6"/>
  <c r="AE163" i="5" l="1"/>
  <c r="N163" i="5"/>
  <c r="D163" i="6" s="1"/>
  <c r="A163" i="12"/>
  <c r="H163" i="5"/>
  <c r="W163" i="5"/>
  <c r="H163" i="12" s="1"/>
  <c r="B163" i="5"/>
  <c r="E163" i="5"/>
  <c r="B163" i="6"/>
  <c r="I163" i="5"/>
  <c r="G163" i="5"/>
  <c r="F163" i="5"/>
  <c r="C164" i="5"/>
  <c r="AD163" i="5"/>
  <c r="M158" i="6"/>
  <c r="A159" i="6"/>
  <c r="D162" i="6"/>
  <c r="H161" i="6" a="1"/>
  <c r="H161" i="6" s="1"/>
  <c r="T160" i="5"/>
  <c r="K161" i="12"/>
  <c r="L162" i="12" a="1"/>
  <c r="L162" i="12" s="1"/>
  <c r="J162" i="12" a="1"/>
  <c r="J162" i="12" s="1"/>
  <c r="G159" i="12"/>
  <c r="CM157" i="6"/>
  <c r="BT157" i="6"/>
  <c r="BO157" i="6"/>
  <c r="AQ157" i="6"/>
  <c r="BV157" i="6"/>
  <c r="BN157" i="6"/>
  <c r="CD157" i="6"/>
  <c r="CE157" i="6"/>
  <c r="CA157" i="6"/>
  <c r="BE157" i="6"/>
  <c r="BR157" i="6"/>
  <c r="BI157" i="6"/>
  <c r="BJ157" i="6"/>
  <c r="CC157" i="6"/>
  <c r="CL157" i="6"/>
  <c r="BF157" i="6"/>
  <c r="CI157" i="6"/>
  <c r="BD157" i="6"/>
  <c r="BZ157" i="6"/>
  <c r="BS157" i="6"/>
  <c r="AW157" i="6"/>
  <c r="BA157" i="6"/>
  <c r="BM157" i="6"/>
  <c r="CH157" i="6"/>
  <c r="BX157" i="6"/>
  <c r="BC157" i="6"/>
  <c r="CJ157" i="6"/>
  <c r="AZ157" i="6"/>
  <c r="BQ157" i="6"/>
  <c r="BH157" i="6"/>
  <c r="AV157" i="6"/>
  <c r="CK157" i="6"/>
  <c r="BW157" i="6"/>
  <c r="AT157" i="6"/>
  <c r="BY157" i="6"/>
  <c r="CG157" i="6"/>
  <c r="BG157" i="6"/>
  <c r="CB157" i="6"/>
  <c r="BK157" i="6"/>
  <c r="BL157" i="6"/>
  <c r="BP157" i="6"/>
  <c r="AP157" i="6"/>
  <c r="CF157" i="6"/>
  <c r="AS157" i="6"/>
  <c r="AX157" i="6"/>
  <c r="AY157" i="6"/>
  <c r="AR157" i="6"/>
  <c r="AU157" i="6"/>
  <c r="G160" i="12" l="1"/>
  <c r="J163" i="6" a="1"/>
  <c r="J163" i="6" s="1"/>
  <c r="A163" i="6"/>
  <c r="H162" i="6" a="1"/>
  <c r="H162" i="6" s="1"/>
  <c r="T161" i="5"/>
  <c r="A160" i="6"/>
  <c r="M159" i="6"/>
  <c r="CE158" i="6"/>
  <c r="CL158" i="6"/>
  <c r="CG158" i="6"/>
  <c r="BK158" i="6"/>
  <c r="BR158" i="6"/>
  <c r="CF158" i="6"/>
  <c r="BV158" i="6"/>
  <c r="BO158" i="6"/>
  <c r="BL158" i="6"/>
  <c r="BF158" i="6"/>
  <c r="BN158" i="6"/>
  <c r="BD158" i="6"/>
  <c r="BJ158" i="6"/>
  <c r="BI158" i="6"/>
  <c r="CD158" i="6"/>
  <c r="CK158" i="6"/>
  <c r="BG158" i="6"/>
  <c r="BQ158" i="6"/>
  <c r="CC158" i="6"/>
  <c r="BT158" i="6"/>
  <c r="CH158" i="6"/>
  <c r="CA158" i="6"/>
  <c r="BE158" i="6"/>
  <c r="BM158" i="6"/>
  <c r="BC158" i="6"/>
  <c r="BY158" i="6"/>
  <c r="CB158" i="6"/>
  <c r="BH158" i="6"/>
  <c r="CJ158" i="6"/>
  <c r="CM158" i="6"/>
  <c r="CI158" i="6"/>
  <c r="BX158" i="6"/>
  <c r="BW158" i="6"/>
  <c r="BS158" i="6"/>
  <c r="BZ158" i="6"/>
  <c r="BP158" i="6"/>
  <c r="AS158" i="6"/>
  <c r="AW158" i="6"/>
  <c r="AK158" i="6"/>
  <c r="AT158" i="6"/>
  <c r="AY158" i="6"/>
  <c r="AO158" i="6"/>
  <c r="AZ158" i="6"/>
  <c r="AJ158" i="6"/>
  <c r="BA158" i="6"/>
  <c r="AX158" i="6"/>
  <c r="AU158" i="6"/>
  <c r="AL158" i="6"/>
  <c r="AP158" i="6"/>
  <c r="AQ158" i="6"/>
  <c r="AV158" i="6"/>
  <c r="AM158" i="6"/>
  <c r="AN158" i="6"/>
  <c r="AR158" i="6"/>
  <c r="G163" i="6"/>
  <c r="M163" i="6"/>
  <c r="BT163" i="6" s="1"/>
  <c r="H163" i="6" a="1"/>
  <c r="H163" i="6" s="1"/>
  <c r="T163" i="5" s="1"/>
  <c r="G163" i="12" s="1"/>
  <c r="K162" i="12"/>
  <c r="B164" i="6"/>
  <c r="AD164" i="5"/>
  <c r="AE164" i="5"/>
  <c r="K164" i="5"/>
  <c r="E164" i="5"/>
  <c r="A164" i="12"/>
  <c r="G164" i="5"/>
  <c r="D164" i="5"/>
  <c r="B164" i="12" s="1"/>
  <c r="H164" i="5"/>
  <c r="J164" i="5"/>
  <c r="B164" i="5"/>
  <c r="N164" i="5"/>
  <c r="D164" i="6" s="1"/>
  <c r="F164" i="5"/>
  <c r="F41" i="8" l="1"/>
  <c r="F42" i="8" s="1"/>
  <c r="F44" i="8"/>
  <c r="F45" i="8" s="1"/>
  <c r="F47" i="8"/>
  <c r="F48" i="8" s="1"/>
  <c r="F53" i="8"/>
  <c r="F54" i="8" s="1"/>
  <c r="F50" i="8"/>
  <c r="F51" i="8" s="1"/>
  <c r="F59" i="8"/>
  <c r="F60" i="8" s="1"/>
  <c r="F56" i="8"/>
  <c r="F57" i="8" s="1"/>
  <c r="F62" i="8"/>
  <c r="F63" i="8" s="1"/>
  <c r="F65" i="8"/>
  <c r="F66" i="8" s="1"/>
  <c r="F68" i="8"/>
  <c r="F69" i="8" s="1"/>
  <c r="F71" i="8"/>
  <c r="F72" i="8" s="1"/>
  <c r="F80" i="8"/>
  <c r="F81" i="8" s="1"/>
  <c r="F77" i="8"/>
  <c r="F78" i="8" s="1"/>
  <c r="F74" i="8"/>
  <c r="F75" i="8" s="1"/>
  <c r="F89" i="8"/>
  <c r="F90" i="8" s="1"/>
  <c r="F83" i="8"/>
  <c r="F84" i="8" s="1"/>
  <c r="F92" i="8"/>
  <c r="F93" i="8" s="1"/>
  <c r="F86" i="8"/>
  <c r="F87" i="8" s="1"/>
  <c r="AR163" i="6"/>
  <c r="T162" i="5"/>
  <c r="BM163" i="6"/>
  <c r="BG163" i="6"/>
  <c r="BF163" i="6"/>
  <c r="AT163" i="6"/>
  <c r="A161" i="6"/>
  <c r="M160" i="6"/>
  <c r="H164" i="6" a="1"/>
  <c r="H164" i="6" s="1"/>
  <c r="T164" i="5" s="1"/>
  <c r="G164" i="12" s="1"/>
  <c r="BI163" i="6"/>
  <c r="AV163" i="6"/>
  <c r="CI163" i="6"/>
  <c r="BN163" i="6"/>
  <c r="CC163" i="6"/>
  <c r="A164" i="6"/>
  <c r="AN163" i="6"/>
  <c r="AQ163" i="6"/>
  <c r="CK163" i="6"/>
  <c r="AW163" i="6"/>
  <c r="BO163" i="6"/>
  <c r="CB163" i="6"/>
  <c r="BS163" i="6"/>
  <c r="G161" i="12"/>
  <c r="AJ163" i="6"/>
  <c r="L164" i="12" a="1"/>
  <c r="L164" i="12" s="1"/>
  <c r="J164" i="12" a="1"/>
  <c r="J164" i="12" s="1"/>
  <c r="AY163" i="6"/>
  <c r="BZ163" i="6"/>
  <c r="CG163" i="6"/>
  <c r="BX163" i="6"/>
  <c r="CH163" i="6"/>
  <c r="BE163" i="6"/>
  <c r="CJ163" i="6"/>
  <c r="AO163" i="6"/>
  <c r="BL163" i="6"/>
  <c r="BC163" i="6"/>
  <c r="CA163" i="6"/>
  <c r="BA163" i="6"/>
  <c r="BQ163" i="6"/>
  <c r="AX163" i="6"/>
  <c r="CE163" i="6"/>
  <c r="CM163" i="6"/>
  <c r="BV163" i="6"/>
  <c r="BH163" i="6"/>
  <c r="CL163" i="6"/>
  <c r="BP163" i="6"/>
  <c r="BY163" i="6"/>
  <c r="BJ163" i="6"/>
  <c r="AL163" i="6"/>
  <c r="AP163" i="6"/>
  <c r="AS163" i="6"/>
  <c r="BR163" i="6"/>
  <c r="BK163" i="6"/>
  <c r="AZ163" i="6"/>
  <c r="CD163" i="6"/>
  <c r="BD163" i="6"/>
  <c r="CJ159" i="6"/>
  <c r="BD159" i="6"/>
  <c r="BC159" i="6"/>
  <c r="BY159" i="6"/>
  <c r="BX159" i="6"/>
  <c r="AQ159" i="6"/>
  <c r="BK159" i="6"/>
  <c r="CB159" i="6"/>
  <c r="CH159" i="6"/>
  <c r="CD159" i="6"/>
  <c r="BV159" i="6"/>
  <c r="AW159" i="6"/>
  <c r="CF159" i="6"/>
  <c r="BL159" i="6"/>
  <c r="BR159" i="6"/>
  <c r="BM159" i="6"/>
  <c r="BT159" i="6"/>
  <c r="BG159" i="6"/>
  <c r="BE159" i="6"/>
  <c r="CL159" i="6"/>
  <c r="BH159" i="6"/>
  <c r="CE159" i="6"/>
  <c r="AS159" i="6"/>
  <c r="CI159" i="6"/>
  <c r="BW159" i="6"/>
  <c r="CA159" i="6"/>
  <c r="CG159" i="6"/>
  <c r="BF159" i="6"/>
  <c r="CM159" i="6"/>
  <c r="CK159" i="6"/>
  <c r="BJ159" i="6"/>
  <c r="BI159" i="6"/>
  <c r="BQ159" i="6"/>
  <c r="CC159" i="6"/>
  <c r="AZ159" i="6"/>
  <c r="AR159" i="6"/>
  <c r="BN159" i="6"/>
  <c r="BZ159" i="6"/>
  <c r="BP159" i="6"/>
  <c r="BS159" i="6"/>
  <c r="BO159" i="6"/>
  <c r="BA159" i="6"/>
  <c r="AT159" i="6"/>
  <c r="AP159" i="6"/>
  <c r="AU159" i="6"/>
  <c r="AY159" i="6"/>
  <c r="AX159" i="6"/>
  <c r="AV159" i="6"/>
  <c r="CF163" i="6"/>
  <c r="AM163" i="6"/>
  <c r="AK163" i="6"/>
  <c r="BW163" i="6"/>
  <c r="AU163" i="6"/>
  <c r="M80" i="8" l="1"/>
  <c r="Q80" i="8" s="1"/>
  <c r="J80" i="8"/>
  <c r="M71" i="8"/>
  <c r="P71" i="8" s="1"/>
  <c r="J71" i="8"/>
  <c r="M68" i="8"/>
  <c r="P68" i="8" s="1"/>
  <c r="J68" i="8"/>
  <c r="M65" i="8"/>
  <c r="Q65" i="8" s="1"/>
  <c r="J65" i="8"/>
  <c r="M62" i="8"/>
  <c r="P62" i="8" s="1"/>
  <c r="J62" i="8"/>
  <c r="M56" i="8"/>
  <c r="J56" i="8"/>
  <c r="M86" i="8"/>
  <c r="J86" i="8"/>
  <c r="J59" i="8"/>
  <c r="M59" i="8"/>
  <c r="P59" i="8" s="1"/>
  <c r="M92" i="8"/>
  <c r="Q92" i="8" s="1"/>
  <c r="J92" i="8"/>
  <c r="M50" i="8"/>
  <c r="P50" i="8" s="1"/>
  <c r="J50" i="8"/>
  <c r="M83" i="8"/>
  <c r="P83" i="8" s="1"/>
  <c r="J83" i="8"/>
  <c r="J53" i="8"/>
  <c r="M53" i="8"/>
  <c r="P53" i="8" s="1"/>
  <c r="J89" i="8"/>
  <c r="M89" i="8"/>
  <c r="M47" i="8"/>
  <c r="J47" i="8"/>
  <c r="M74" i="8"/>
  <c r="J74" i="8"/>
  <c r="M44" i="8"/>
  <c r="P44" i="8" s="1"/>
  <c r="J44" i="8"/>
  <c r="M77" i="8"/>
  <c r="O77" i="8" s="1"/>
  <c r="J77" i="8"/>
  <c r="J41" i="8"/>
  <c r="M41" i="8"/>
  <c r="Q41" i="8" s="1"/>
  <c r="K164" i="12"/>
  <c r="CC160" i="6"/>
  <c r="CM160" i="6"/>
  <c r="CJ160" i="6"/>
  <c r="BP160" i="6"/>
  <c r="BW160" i="6"/>
  <c r="BR160" i="6"/>
  <c r="BD160" i="6"/>
  <c r="CD160" i="6"/>
  <c r="CI160" i="6"/>
  <c r="BQ160" i="6"/>
  <c r="CG160" i="6"/>
  <c r="BV160" i="6"/>
  <c r="CB160" i="6"/>
  <c r="BE160" i="6"/>
  <c r="CL160" i="6"/>
  <c r="BM160" i="6"/>
  <c r="BZ160" i="6"/>
  <c r="BO160" i="6"/>
  <c r="BT160" i="6"/>
  <c r="AY160" i="6"/>
  <c r="BC160" i="6"/>
  <c r="CF160" i="6"/>
  <c r="BY160" i="6"/>
  <c r="CA160" i="6"/>
  <c r="BL160" i="6"/>
  <c r="BJ160" i="6"/>
  <c r="BK160" i="6"/>
  <c r="AT160" i="6"/>
  <c r="CK160" i="6"/>
  <c r="BX160" i="6"/>
  <c r="BG160" i="6"/>
  <c r="CH160" i="6"/>
  <c r="CE160" i="6"/>
  <c r="BS160" i="6"/>
  <c r="BN160" i="6"/>
  <c r="BH160" i="6"/>
  <c r="BI160" i="6"/>
  <c r="BF160" i="6"/>
  <c r="AS160" i="6"/>
  <c r="AW160" i="6"/>
  <c r="AV160" i="6"/>
  <c r="AZ160" i="6"/>
  <c r="AX160" i="6"/>
  <c r="BA160" i="6"/>
  <c r="AU160" i="6"/>
  <c r="AR160" i="6"/>
  <c r="AQ160" i="6"/>
  <c r="AP160" i="6"/>
  <c r="M161" i="6"/>
  <c r="A162" i="6"/>
  <c r="G162" i="12"/>
  <c r="P80" i="8" l="1"/>
  <c r="N44" i="8"/>
  <c r="O59" i="8"/>
  <c r="O62" i="8"/>
  <c r="Q62" i="8"/>
  <c r="N92" i="8"/>
  <c r="Q77" i="8"/>
  <c r="Q50" i="8"/>
  <c r="Q68" i="8"/>
  <c r="P77" i="8"/>
  <c r="Q53" i="8"/>
  <c r="O68" i="8"/>
  <c r="R68" i="8" s="1"/>
  <c r="O92" i="8"/>
  <c r="Q71" i="8"/>
  <c r="N59" i="8"/>
  <c r="R59" i="8" s="1"/>
  <c r="N83" i="8"/>
  <c r="N77" i="8"/>
  <c r="R77" i="8" s="1"/>
  <c r="P74" i="8"/>
  <c r="A83" i="8"/>
  <c r="S85" i="8"/>
  <c r="S58" i="8"/>
  <c r="A56" i="8"/>
  <c r="S76" i="8"/>
  <c r="A74" i="8"/>
  <c r="A47" i="8"/>
  <c r="S49" i="8"/>
  <c r="S55" i="8"/>
  <c r="A53" i="8"/>
  <c r="O83" i="8"/>
  <c r="R83" i="8" s="1"/>
  <c r="Q56" i="8"/>
  <c r="S91" i="8"/>
  <c r="A89" i="8"/>
  <c r="A86" i="8"/>
  <c r="S88" i="8"/>
  <c r="A65" i="8"/>
  <c r="S67" i="8"/>
  <c r="Q74" i="8"/>
  <c r="N86" i="8"/>
  <c r="P65" i="8"/>
  <c r="N68" i="8"/>
  <c r="O86" i="8"/>
  <c r="O65" i="8"/>
  <c r="N80" i="8"/>
  <c r="S43" i="8"/>
  <c r="A41" i="8"/>
  <c r="S46" i="8"/>
  <c r="A44" i="8"/>
  <c r="O47" i="8"/>
  <c r="S61" i="8"/>
  <c r="A59" i="8"/>
  <c r="N56" i="8"/>
  <c r="N62" i="8"/>
  <c r="R62" i="8" s="1"/>
  <c r="O80" i="8"/>
  <c r="O44" i="8"/>
  <c r="R44" i="8" s="1"/>
  <c r="N89" i="8"/>
  <c r="N53" i="8"/>
  <c r="Q59" i="8"/>
  <c r="O56" i="8"/>
  <c r="S73" i="8"/>
  <c r="A71" i="8"/>
  <c r="Q44" i="8"/>
  <c r="N47" i="8"/>
  <c r="O89" i="8"/>
  <c r="O53" i="8"/>
  <c r="S94" i="8"/>
  <c r="A92" i="8"/>
  <c r="P56" i="8"/>
  <c r="N65" i="8"/>
  <c r="N71" i="8"/>
  <c r="N41" i="8"/>
  <c r="P47" i="8"/>
  <c r="P89" i="8"/>
  <c r="S52" i="8"/>
  <c r="A50" i="8"/>
  <c r="O41" i="8"/>
  <c r="A77" i="8"/>
  <c r="S79" i="8"/>
  <c r="N74" i="8"/>
  <c r="Q47" i="8"/>
  <c r="Q89" i="8"/>
  <c r="Q83" i="8"/>
  <c r="N50" i="8"/>
  <c r="P92" i="8"/>
  <c r="P86" i="8"/>
  <c r="A62" i="8"/>
  <c r="S64" i="8"/>
  <c r="O71" i="8"/>
  <c r="P41" i="8"/>
  <c r="O74" i="8"/>
  <c r="O50" i="8"/>
  <c r="Q86" i="8"/>
  <c r="S70" i="8"/>
  <c r="A68" i="8"/>
  <c r="A80" i="8"/>
  <c r="S82" i="8"/>
  <c r="M162" i="6"/>
  <c r="M164" i="6" s="1"/>
  <c r="CG161" i="6"/>
  <c r="BW161" i="6"/>
  <c r="CE161" i="6"/>
  <c r="BT161" i="6"/>
  <c r="BJ161" i="6"/>
  <c r="BZ161" i="6"/>
  <c r="CC161" i="6"/>
  <c r="BH161" i="6"/>
  <c r="BF161" i="6"/>
  <c r="BK161" i="6"/>
  <c r="CF161" i="6"/>
  <c r="AQ161" i="6"/>
  <c r="CK161" i="6"/>
  <c r="BY161" i="6"/>
  <c r="CM161" i="6"/>
  <c r="BQ161" i="6"/>
  <c r="BE161" i="6"/>
  <c r="CD161" i="6"/>
  <c r="CA161" i="6"/>
  <c r="CH161" i="6"/>
  <c r="BN161" i="6"/>
  <c r="CJ161" i="6"/>
  <c r="BX161" i="6"/>
  <c r="BS161" i="6"/>
  <c r="CL161" i="6"/>
  <c r="BV161" i="6"/>
  <c r="BP161" i="6"/>
  <c r="BD161" i="6"/>
  <c r="BO161" i="6"/>
  <c r="BI161" i="6"/>
  <c r="BM161" i="6"/>
  <c r="AV161" i="6"/>
  <c r="CB161" i="6"/>
  <c r="BL161" i="6"/>
  <c r="CI161" i="6"/>
  <c r="BG161" i="6"/>
  <c r="BR161" i="6"/>
  <c r="BC161" i="6"/>
  <c r="AY161" i="6"/>
  <c r="AU161" i="6"/>
  <c r="BA161" i="6"/>
  <c r="AP161" i="6"/>
  <c r="AT161" i="6"/>
  <c r="AR161" i="6"/>
  <c r="AS161" i="6"/>
  <c r="AX161" i="6"/>
  <c r="AW161" i="6"/>
  <c r="AZ161" i="6"/>
  <c r="R50" i="8" l="1"/>
  <c r="R80" i="8"/>
  <c r="R92" i="8"/>
  <c r="R65" i="8"/>
  <c r="R71" i="8"/>
  <c r="F73" i="8" s="1"/>
  <c r="R53" i="8"/>
  <c r="F55" i="8" s="1"/>
  <c r="R86" i="8"/>
  <c r="R56" i="8"/>
  <c r="F58" i="8" s="1"/>
  <c r="R47" i="8"/>
  <c r="F49" i="8" s="1"/>
  <c r="R74" i="8"/>
  <c r="F76" i="8" s="1"/>
  <c r="R89" i="8"/>
  <c r="F91" i="8" s="1"/>
  <c r="R41" i="8"/>
  <c r="F43" i="8" s="1"/>
  <c r="F85" i="8"/>
  <c r="F46" i="8"/>
  <c r="F79" i="8"/>
  <c r="D77" i="8"/>
  <c r="C77" i="8"/>
  <c r="F67" i="8"/>
  <c r="F64" i="8"/>
  <c r="F88" i="8"/>
  <c r="F82" i="8"/>
  <c r="F52" i="8"/>
  <c r="F70" i="8"/>
  <c r="C59" i="8"/>
  <c r="F61" i="8"/>
  <c r="D59" i="8"/>
  <c r="F94" i="8"/>
  <c r="BL164" i="6"/>
  <c r="BX164" i="6"/>
  <c r="BE164" i="6"/>
  <c r="CD164" i="6"/>
  <c r="BH164" i="6"/>
  <c r="BZ164" i="6"/>
  <c r="BT164" i="6"/>
  <c r="CM164" i="6"/>
  <c r="CL164" i="6"/>
  <c r="BJ164" i="6"/>
  <c r="BY164" i="6"/>
  <c r="CJ164" i="6"/>
  <c r="BS164" i="6"/>
  <c r="BI164" i="6"/>
  <c r="CE164" i="6"/>
  <c r="CC164" i="6"/>
  <c r="BR164" i="6"/>
  <c r="BC164" i="6"/>
  <c r="BN164" i="6"/>
  <c r="BP164" i="6"/>
  <c r="CG164" i="6"/>
  <c r="BM164" i="6"/>
  <c r="CK164" i="6"/>
  <c r="CA164" i="6"/>
  <c r="BQ164" i="6"/>
  <c r="BV164" i="6"/>
  <c r="BG164" i="6"/>
  <c r="BW164" i="6"/>
  <c r="BF164" i="6"/>
  <c r="CI164" i="6"/>
  <c r="CH164" i="6"/>
  <c r="AY164" i="6"/>
  <c r="BK164" i="6"/>
  <c r="BO164" i="6"/>
  <c r="CF164" i="6"/>
  <c r="CB164" i="6"/>
  <c r="BD164" i="6"/>
  <c r="BA164" i="6"/>
  <c r="AZ164" i="6"/>
  <c r="BW162" i="6"/>
  <c r="CD162" i="6"/>
  <c r="BE162" i="6"/>
  <c r="BJ162" i="6"/>
  <c r="CK162" i="6"/>
  <c r="CF162" i="6"/>
  <c r="CM162" i="6"/>
  <c r="BS162" i="6"/>
  <c r="BV162" i="6"/>
  <c r="CC162" i="6"/>
  <c r="CJ162" i="6"/>
  <c r="AP162" i="6"/>
  <c r="CA162" i="6"/>
  <c r="BG162" i="6"/>
  <c r="BD162" i="6"/>
  <c r="BI162" i="6"/>
  <c r="BN162" i="6"/>
  <c r="CI162" i="6"/>
  <c r="CG162" i="6"/>
  <c r="BX162" i="6"/>
  <c r="BK162" i="6"/>
  <c r="CB162" i="6"/>
  <c r="BL162" i="6"/>
  <c r="BF162" i="6"/>
  <c r="CH162" i="6"/>
  <c r="BY162" i="6"/>
  <c r="BO162" i="6"/>
  <c r="BQ162" i="6"/>
  <c r="CL162" i="6"/>
  <c r="BC162" i="6"/>
  <c r="CE162" i="6"/>
  <c r="BR162" i="6"/>
  <c r="BT162" i="6"/>
  <c r="BZ162" i="6"/>
  <c r="BM162" i="6"/>
  <c r="AS162" i="6"/>
  <c r="BP162" i="6"/>
  <c r="BH162" i="6"/>
  <c r="BA162" i="6"/>
  <c r="AR162" i="6"/>
  <c r="AX162" i="6"/>
  <c r="AU162" i="6"/>
  <c r="AV162" i="6"/>
  <c r="AY162" i="6"/>
  <c r="AZ162" i="6"/>
  <c r="AQ162" i="6"/>
  <c r="AT162" i="6"/>
  <c r="AW162" i="6"/>
  <c r="K23" i="5" l="1"/>
  <c r="K17" i="5"/>
  <c r="AH23" i="13" l="1"/>
  <c r="AD23" i="13" l="1"/>
  <c r="AD22" i="13"/>
  <c r="AC23" i="13"/>
  <c r="AF21" i="13"/>
  <c r="AH22" i="13"/>
  <c r="AG17" i="13"/>
  <c r="AC17" i="13"/>
  <c r="AG21" i="13"/>
  <c r="AD20" i="13"/>
  <c r="AF20" i="13"/>
  <c r="AH20" i="13"/>
  <c r="AD16" i="13"/>
  <c r="AH12" i="13"/>
  <c r="AD17" i="13"/>
  <c r="AG16" i="13"/>
  <c r="AC22" i="13"/>
  <c r="AC12" i="13"/>
  <c r="AC15" i="13"/>
  <c r="AG19" i="13"/>
  <c r="AF12" i="13"/>
  <c r="AC18" i="13"/>
  <c r="AH19" i="13"/>
  <c r="AC20" i="13"/>
  <c r="AF23" i="13"/>
  <c r="AF22" i="13"/>
  <c r="AF17" i="13"/>
  <c r="AC16" i="13"/>
  <c r="AH21" i="13"/>
  <c r="AF15" i="13"/>
  <c r="AC19" i="13"/>
  <c r="AH18" i="13"/>
  <c r="AH16" i="13"/>
  <c r="AC21" i="13"/>
  <c r="AG15" i="13"/>
  <c r="AG12" i="13"/>
  <c r="AG18" i="13"/>
  <c r="AH15" i="13"/>
  <c r="AF19" i="13"/>
  <c r="AD18" i="13"/>
  <c r="AD12" i="13"/>
  <c r="AH14" i="13" l="1"/>
  <c r="O14" i="13" s="1"/>
  <c r="O28" i="13" s="1"/>
  <c r="D47" i="2" l="1"/>
  <c r="D48" i="2"/>
  <c r="D53" i="2"/>
  <c r="D52" i="2"/>
  <c r="AD6" i="13"/>
  <c r="AE6" i="13" s="1"/>
  <c r="D54" i="2"/>
  <c r="D51" i="2"/>
  <c r="F33" i="14"/>
  <c r="D46" i="2" l="1"/>
  <c r="D50" i="2"/>
  <c r="J175" i="12" l="1"/>
  <c r="S77" i="10"/>
  <c r="C11" i="10" s="1"/>
  <c r="AG14" i="13" l="1"/>
  <c r="U14" i="13" s="1"/>
  <c r="AD4" i="13" s="1"/>
  <c r="AD14" i="13"/>
  <c r="S14" i="13" s="1"/>
  <c r="M27" i="13" s="1"/>
  <c r="AC14" i="13"/>
  <c r="R14" i="13" s="1"/>
  <c r="M26" i="13" s="1"/>
  <c r="AF14" i="13"/>
  <c r="T14" i="13" s="1"/>
  <c r="AD3" i="13" s="1"/>
  <c r="AD2" i="13" l="1"/>
  <c r="AC27" i="13" l="1"/>
  <c r="AD27" i="13"/>
  <c r="AC26" i="13" l="1"/>
  <c r="AD26" i="13"/>
  <c r="W107" i="8" l="1"/>
  <c r="Y107" i="8" l="1"/>
  <c r="AA107" i="8" l="1"/>
  <c r="AC107" i="8" l="1"/>
  <c r="K41" i="5" l="1"/>
  <c r="K33" i="5"/>
  <c r="AF107" i="8"/>
  <c r="T107" i="8" s="1"/>
  <c r="F18" i="6" l="1"/>
  <c r="E18" i="12"/>
  <c r="F18" i="12"/>
  <c r="G18" i="6"/>
  <c r="G23" i="6"/>
  <c r="F23" i="6"/>
  <c r="E23" i="12"/>
  <c r="N33" i="6" l="1"/>
  <c r="J33" i="6" s="1" a="1"/>
  <c r="J33" i="6" s="1"/>
  <c r="N34" i="6"/>
  <c r="N36" i="6"/>
  <c r="N35" i="6"/>
  <c r="N37" i="6"/>
  <c r="N38" i="6"/>
  <c r="N39" i="6"/>
  <c r="N40" i="6"/>
  <c r="N41" i="6"/>
  <c r="J41" i="6" s="1" a="1"/>
  <c r="J41" i="6" s="1"/>
  <c r="N42" i="6"/>
  <c r="N43" i="6"/>
  <c r="N44" i="6"/>
  <c r="N45" i="6"/>
  <c r="N46" i="6"/>
  <c r="N47" i="6"/>
  <c r="N48" i="6"/>
  <c r="J48" i="6" s="1" a="1"/>
  <c r="J48" i="6" s="1"/>
  <c r="N31" i="6"/>
  <c r="N32" i="6"/>
  <c r="N24" i="6"/>
  <c r="N25" i="6"/>
  <c r="N26" i="6"/>
  <c r="N27" i="6"/>
  <c r="N28" i="6"/>
  <c r="N29" i="6"/>
  <c r="N30" i="6"/>
  <c r="N163" i="6"/>
  <c r="N164" i="6"/>
  <c r="F21" i="6" l="1"/>
  <c r="E21" i="12"/>
  <c r="G21" i="6"/>
  <c r="N22" i="6" l="1"/>
  <c r="AP18" i="6" l="1"/>
  <c r="AQ18" i="6"/>
  <c r="AR18" i="6"/>
  <c r="AT18" i="6"/>
  <c r="AS18" i="6"/>
  <c r="AU18" i="6"/>
  <c r="AV18" i="6"/>
  <c r="AW18" i="6"/>
  <c r="AX18" i="6"/>
  <c r="AQ24" i="6"/>
  <c r="AR24" i="6"/>
  <c r="AU24" i="6"/>
  <c r="AS24" i="6"/>
  <c r="AX24" i="6"/>
  <c r="AV24" i="6"/>
  <c r="AT24" i="6"/>
  <c r="AP24" i="6"/>
  <c r="AW24" i="6"/>
  <c r="AQ25" i="6"/>
  <c r="AR25" i="6"/>
  <c r="AU25" i="6"/>
  <c r="AP25" i="6"/>
  <c r="AS25" i="6"/>
  <c r="AW25" i="6"/>
  <c r="AT25" i="6"/>
  <c r="AV25" i="6"/>
  <c r="AX25" i="6"/>
  <c r="AW26" i="6"/>
  <c r="AP26" i="6"/>
  <c r="AQ26" i="6"/>
  <c r="AS26" i="6"/>
  <c r="AV26" i="6"/>
  <c r="AT26" i="6"/>
  <c r="AU26" i="6"/>
  <c r="AX26" i="6"/>
  <c r="AR26" i="6"/>
  <c r="AP27" i="6"/>
  <c r="AR27" i="6"/>
  <c r="AW27" i="6"/>
  <c r="AV27" i="6"/>
  <c r="AX27" i="6"/>
  <c r="AT27" i="6"/>
  <c r="AS27" i="6"/>
  <c r="AU27" i="6"/>
  <c r="AQ27" i="6"/>
  <c r="AU22" i="6" l="1"/>
  <c r="AT22" i="6"/>
  <c r="AV22" i="6"/>
  <c r="AW22" i="6"/>
  <c r="AS22" i="6"/>
  <c r="AQ22" i="6"/>
  <c r="AX22" i="6"/>
  <c r="AP22" i="6"/>
  <c r="AR22" i="6"/>
  <c r="AS164" i="6"/>
  <c r="AW164" i="6"/>
  <c r="AQ164" i="6"/>
  <c r="AT164" i="6"/>
  <c r="AV164" i="6"/>
  <c r="AX164" i="6"/>
  <c r="AP164" i="6"/>
  <c r="AU164" i="6"/>
  <c r="AR164" i="6"/>
  <c r="AR19" i="6"/>
  <c r="AS19" i="6"/>
  <c r="AP19" i="6"/>
  <c r="AX19" i="6"/>
  <c r="AT19" i="6"/>
  <c r="AV19" i="6"/>
  <c r="AU19" i="6"/>
  <c r="AW19" i="6"/>
  <c r="AQ19" i="6"/>
  <c r="I23" i="5" l="1"/>
  <c r="K60" i="5" l="1"/>
  <c r="K58" i="5"/>
  <c r="J52" i="5"/>
  <c r="K48" i="5"/>
  <c r="J48" i="5"/>
  <c r="A15" i="13"/>
  <c r="B15" i="11"/>
  <c r="K16" i="5"/>
  <c r="J23" i="5"/>
  <c r="D23" i="5" s="1"/>
  <c r="B23" i="12" s="1"/>
  <c r="J33" i="5"/>
  <c r="D33" i="5" s="1"/>
  <c r="B33" i="12" s="1"/>
  <c r="J17" i="5"/>
  <c r="D17" i="5" s="1"/>
  <c r="B17" i="12" s="1"/>
  <c r="J41" i="5"/>
  <c r="D41" i="5" s="1"/>
  <c r="B41" i="12" s="1"/>
  <c r="J21" i="5"/>
  <c r="D21" i="5" s="1"/>
  <c r="B21" i="12" s="1"/>
  <c r="D48" i="5" l="1"/>
  <c r="C15" i="13"/>
  <c r="K15" i="11"/>
  <c r="J15" i="13" s="1"/>
  <c r="B48" i="12" l="1"/>
  <c r="R15" i="13"/>
  <c r="U15" i="13"/>
  <c r="T15" i="13"/>
  <c r="K15" i="13"/>
  <c r="O15" i="13"/>
  <c r="AP20" i="6" l="1"/>
  <c r="AQ20" i="6"/>
  <c r="AR20" i="6"/>
  <c r="AS20" i="6"/>
  <c r="AT20" i="6"/>
  <c r="AU20" i="6"/>
  <c r="AV20" i="6"/>
  <c r="AW20" i="6"/>
  <c r="AX20" i="6"/>
  <c r="K66" i="5" l="1"/>
  <c r="AD15" i="13" l="1"/>
  <c r="S15" i="13" s="1"/>
  <c r="G141" i="6" l="1"/>
  <c r="E141" i="12"/>
  <c r="F141" i="6"/>
  <c r="E94" i="12"/>
  <c r="F94" i="6"/>
  <c r="F101" i="6"/>
  <c r="E101" i="12"/>
  <c r="G94" i="6"/>
  <c r="G101" i="6"/>
  <c r="G93" i="6"/>
  <c r="E93" i="12"/>
  <c r="F93" i="6"/>
  <c r="G88" i="6"/>
  <c r="E88" i="12"/>
  <c r="F88" i="6"/>
  <c r="G15" i="11"/>
  <c r="F15" i="13" s="1"/>
  <c r="E57" i="12"/>
  <c r="F57" i="6"/>
  <c r="G58" i="6"/>
  <c r="E52" i="12"/>
  <c r="F52" i="6"/>
  <c r="E58" i="12"/>
  <c r="F58" i="6"/>
  <c r="E60" i="12"/>
  <c r="F60" i="6"/>
  <c r="G52" i="6"/>
  <c r="G60" i="6"/>
  <c r="G57" i="6"/>
  <c r="AF124" i="5"/>
  <c r="AF94" i="5"/>
  <c r="AF58" i="5"/>
  <c r="AF60" i="5"/>
  <c r="AF41" i="5"/>
  <c r="AF88" i="5"/>
  <c r="AF116" i="5"/>
  <c r="AF57" i="5"/>
  <c r="AF128" i="5"/>
  <c r="AF134" i="5"/>
  <c r="AF93" i="5"/>
  <c r="AF82" i="5"/>
  <c r="AF74" i="5"/>
  <c r="AF141" i="5"/>
  <c r="AF48" i="5"/>
  <c r="AF52" i="5"/>
  <c r="AF163" i="5"/>
  <c r="AF66" i="5"/>
  <c r="AF133" i="5"/>
  <c r="AF101" i="5"/>
  <c r="S101" i="5" l="1"/>
  <c r="AG101" i="5"/>
  <c r="S133" i="5"/>
  <c r="AG133" i="5"/>
  <c r="AG66" i="5"/>
  <c r="S66" i="5"/>
  <c r="AG163" i="5"/>
  <c r="S163" i="5"/>
  <c r="AG52" i="5"/>
  <c r="S52" i="5"/>
  <c r="AG48" i="5"/>
  <c r="S48" i="5"/>
  <c r="AG141" i="5"/>
  <c r="S141" i="5"/>
  <c r="AG74" i="5"/>
  <c r="S74" i="5"/>
  <c r="S82" i="5"/>
  <c r="AG82" i="5"/>
  <c r="AG93" i="5"/>
  <c r="S93" i="5"/>
  <c r="S134" i="5"/>
  <c r="AG134" i="5"/>
  <c r="AG128" i="5"/>
  <c r="S128" i="5"/>
  <c r="AG57" i="5"/>
  <c r="S57" i="5"/>
  <c r="AG116" i="5"/>
  <c r="S116" i="5"/>
  <c r="AG88" i="5"/>
  <c r="S88" i="5"/>
  <c r="S41" i="5"/>
  <c r="AG41" i="5"/>
  <c r="S60" i="5"/>
  <c r="AG60" i="5"/>
  <c r="S58" i="5"/>
  <c r="AG58" i="5"/>
  <c r="S94" i="5"/>
  <c r="AG94" i="5"/>
  <c r="AG124" i="5"/>
  <c r="S124" i="5"/>
  <c r="N143" i="6"/>
  <c r="N144" i="6"/>
  <c r="N145" i="6"/>
  <c r="N146" i="6"/>
  <c r="N147" i="6"/>
  <c r="N148" i="6"/>
  <c r="N149" i="6"/>
  <c r="N150" i="6"/>
  <c r="N151" i="6"/>
  <c r="N152" i="6"/>
  <c r="N153" i="6"/>
  <c r="N154" i="6"/>
  <c r="N155" i="6"/>
  <c r="N156" i="6"/>
  <c r="J156" i="6" s="1" a="1"/>
  <c r="J156" i="6" s="1"/>
  <c r="N157" i="6"/>
  <c r="N158" i="6"/>
  <c r="J158" i="6" s="1" a="1"/>
  <c r="J158" i="6" s="1"/>
  <c r="N159" i="6"/>
  <c r="N160" i="6"/>
  <c r="N161" i="6"/>
  <c r="N162" i="6"/>
  <c r="N120" i="6"/>
  <c r="N121" i="6"/>
  <c r="N122" i="6"/>
  <c r="N123" i="6"/>
  <c r="N124" i="6"/>
  <c r="J124" i="6" s="1" a="1"/>
  <c r="J124" i="6" s="1"/>
  <c r="N117" i="6"/>
  <c r="N118" i="6"/>
  <c r="N125" i="6"/>
  <c r="N119" i="6"/>
  <c r="N126" i="6"/>
  <c r="N127" i="6"/>
  <c r="N128" i="6"/>
  <c r="J128" i="6" s="1" a="1"/>
  <c r="J128" i="6" s="1"/>
  <c r="N129" i="6"/>
  <c r="N130" i="6"/>
  <c r="N131" i="6"/>
  <c r="N132" i="6"/>
  <c r="N133" i="6"/>
  <c r="J133" i="6" s="1" a="1"/>
  <c r="J133" i="6" s="1"/>
  <c r="N134" i="6"/>
  <c r="J134" i="6" s="1" a="1"/>
  <c r="J134" i="6" s="1"/>
  <c r="N135" i="6"/>
  <c r="N137" i="6"/>
  <c r="N136" i="6"/>
  <c r="N138" i="6"/>
  <c r="N140" i="6"/>
  <c r="N139" i="6"/>
  <c r="N141" i="6"/>
  <c r="J141" i="6" s="1" a="1"/>
  <c r="J141" i="6" s="1"/>
  <c r="N103" i="6"/>
  <c r="N105" i="6"/>
  <c r="N107" i="6"/>
  <c r="N108" i="6"/>
  <c r="N109" i="6"/>
  <c r="N110" i="6"/>
  <c r="N111" i="6"/>
  <c r="N112" i="6"/>
  <c r="N114" i="6"/>
  <c r="N113" i="6"/>
  <c r="N115" i="6"/>
  <c r="N116" i="6"/>
  <c r="J116" i="6" s="1" a="1"/>
  <c r="J116" i="6" s="1"/>
  <c r="N89" i="6"/>
  <c r="N90" i="6"/>
  <c r="N91" i="6"/>
  <c r="N67" i="6"/>
  <c r="N66" i="6"/>
  <c r="J66" i="6" s="1" a="1"/>
  <c r="J66" i="6" s="1"/>
  <c r="N68" i="6"/>
  <c r="N69" i="6"/>
  <c r="N70" i="6"/>
  <c r="N92" i="6"/>
  <c r="N93" i="6"/>
  <c r="J93" i="6" s="1" a="1"/>
  <c r="J93" i="6" s="1"/>
  <c r="N94" i="6"/>
  <c r="J94" i="6" s="1" a="1"/>
  <c r="J94" i="6" s="1"/>
  <c r="N95" i="6"/>
  <c r="N96" i="6"/>
  <c r="N97" i="6"/>
  <c r="N98" i="6"/>
  <c r="N99" i="6"/>
  <c r="N100" i="6"/>
  <c r="N102" i="6"/>
  <c r="N101" i="6"/>
  <c r="J101" i="6" s="1" a="1"/>
  <c r="J101" i="6" s="1"/>
  <c r="N104" i="6"/>
  <c r="N106" i="6"/>
  <c r="N142" i="6"/>
  <c r="N53" i="6"/>
  <c r="N54" i="6"/>
  <c r="N56" i="6"/>
  <c r="N55" i="6"/>
  <c r="N57" i="6"/>
  <c r="J57" i="6" s="1" a="1"/>
  <c r="J57" i="6" s="1"/>
  <c r="N58" i="6"/>
  <c r="J58" i="6" s="1" a="1"/>
  <c r="J58" i="6" s="1"/>
  <c r="N59" i="6"/>
  <c r="N60" i="6"/>
  <c r="J60" i="6" s="1" a="1"/>
  <c r="J60" i="6" s="1"/>
  <c r="N61" i="6"/>
  <c r="N62" i="6"/>
  <c r="N63" i="6"/>
  <c r="N64" i="6"/>
  <c r="N65" i="6"/>
  <c r="F128" i="12" l="1"/>
  <c r="AC128" i="5" a="1"/>
  <c r="AC128" i="5" s="1"/>
  <c r="AC48" i="5" a="1"/>
  <c r="AC48" i="5" s="1"/>
  <c r="F48" i="12"/>
  <c r="F52" i="12"/>
  <c r="AC52" i="5" a="1"/>
  <c r="AC52" i="5" s="1"/>
  <c r="J52" i="6" s="1" a="1"/>
  <c r="J52" i="6" s="1"/>
  <c r="AC60" i="5" a="1"/>
  <c r="AC60" i="5" s="1"/>
  <c r="F60" i="12"/>
  <c r="F134" i="12"/>
  <c r="AC134" i="5" a="1"/>
  <c r="AC134" i="5" s="1"/>
  <c r="F93" i="12"/>
  <c r="AC93" i="5" a="1"/>
  <c r="AC93" i="5" s="1"/>
  <c r="F163" i="12"/>
  <c r="AC163" i="5" a="1"/>
  <c r="AC163" i="5" s="1"/>
  <c r="AC41" i="5" a="1"/>
  <c r="AC41" i="5" s="1"/>
  <c r="F41" i="12"/>
  <c r="F58" i="12"/>
  <c r="AC58" i="5" a="1"/>
  <c r="AC58" i="5" s="1"/>
  <c r="AC88" i="5" a="1"/>
  <c r="AC88" i="5" s="1"/>
  <c r="J88" i="6" s="1" a="1"/>
  <c r="J88" i="6" s="1"/>
  <c r="F88" i="12"/>
  <c r="F66" i="12"/>
  <c r="AC66" i="5" a="1"/>
  <c r="AC66" i="5" s="1"/>
  <c r="F82" i="12"/>
  <c r="AC82" i="5" a="1"/>
  <c r="AC82" i="5" s="1"/>
  <c r="J82" i="6" s="1" a="1"/>
  <c r="J82" i="6" s="1"/>
  <c r="AC124" i="5" a="1"/>
  <c r="AC124" i="5" s="1"/>
  <c r="F124" i="12"/>
  <c r="F116" i="12"/>
  <c r="AC116" i="5" a="1"/>
  <c r="AC116" i="5" s="1"/>
  <c r="F74" i="12"/>
  <c r="AC74" i="5" a="1"/>
  <c r="AC74" i="5" s="1"/>
  <c r="J74" i="6" s="1" a="1"/>
  <c r="J74" i="6" s="1"/>
  <c r="AC133" i="5" a="1"/>
  <c r="AC133" i="5" s="1"/>
  <c r="F133" i="12"/>
  <c r="F57" i="12"/>
  <c r="AC57" i="5" a="1"/>
  <c r="AC57" i="5" s="1"/>
  <c r="F141" i="12"/>
  <c r="AC141" i="5" a="1"/>
  <c r="AC141" i="5" s="1"/>
  <c r="AC94" i="5" a="1"/>
  <c r="AC94" i="5" s="1"/>
  <c r="F94" i="12"/>
  <c r="AC101" i="5" a="1"/>
  <c r="AC101" i="5" s="1"/>
  <c r="F101" i="12"/>
  <c r="K101" i="5"/>
  <c r="K94" i="5"/>
  <c r="J88" i="5"/>
  <c r="J82" i="5"/>
  <c r="K82" i="5"/>
  <c r="K74" i="5"/>
  <c r="J74" i="5"/>
  <c r="J60" i="5"/>
  <c r="D60" i="5" s="1"/>
  <c r="J58" i="5"/>
  <c r="D58" i="5" s="1"/>
  <c r="J66" i="5"/>
  <c r="D66" i="5" s="1"/>
  <c r="B16" i="11"/>
  <c r="K57" i="5"/>
  <c r="A16" i="13"/>
  <c r="X49" i="8" l="1" a="1"/>
  <c r="X49" i="8" s="1"/>
  <c r="AC49" i="8" a="1"/>
  <c r="AC49" i="8" s="1"/>
  <c r="W49" i="8" a="1"/>
  <c r="W49" i="8" s="1"/>
  <c r="AF49" i="8" a="1"/>
  <c r="AF49" i="8" s="1"/>
  <c r="Z49" i="8" a="1"/>
  <c r="Z49" i="8" s="1"/>
  <c r="AB49" i="8" a="1"/>
  <c r="AB49" i="8" s="1"/>
  <c r="V49" i="8" a="1"/>
  <c r="V49" i="8" s="1"/>
  <c r="AE49" i="8" a="1"/>
  <c r="AE49" i="8" s="1"/>
  <c r="AD49" i="8" a="1"/>
  <c r="AD49" i="8" s="1"/>
  <c r="AA49" i="8" a="1"/>
  <c r="AA49" i="8" s="1"/>
  <c r="Y49" i="8" a="1"/>
  <c r="Y49" i="8" s="1"/>
  <c r="B58" i="12"/>
  <c r="AA43" i="8" a="1"/>
  <c r="AA43" i="8" s="1"/>
  <c r="AE43" i="8" a="1"/>
  <c r="AE43" i="8" s="1"/>
  <c r="Y43" i="8" a="1"/>
  <c r="Y43" i="8" s="1"/>
  <c r="AC43" i="8" a="1"/>
  <c r="AC43" i="8" s="1"/>
  <c r="W43" i="8" a="1"/>
  <c r="W43" i="8" s="1"/>
  <c r="AF43" i="8" a="1"/>
  <c r="AF43" i="8" s="1"/>
  <c r="AD43" i="8" a="1"/>
  <c r="AD43" i="8" s="1"/>
  <c r="Z43" i="8" a="1"/>
  <c r="Z43" i="8" s="1"/>
  <c r="X43" i="8" a="1"/>
  <c r="X43" i="8" s="1"/>
  <c r="AB43" i="8" a="1"/>
  <c r="AB43" i="8" s="1"/>
  <c r="V43" i="8" a="1"/>
  <c r="V43" i="8" s="1"/>
  <c r="B60" i="12"/>
  <c r="Y46" i="8" a="1"/>
  <c r="Y46" i="8" s="1"/>
  <c r="AC46" i="8" a="1"/>
  <c r="AC46" i="8" s="1"/>
  <c r="W46" i="8" a="1"/>
  <c r="W46" i="8" s="1"/>
  <c r="AA46" i="8" a="1"/>
  <c r="AA46" i="8" s="1"/>
  <c r="AB46" i="8" a="1"/>
  <c r="AB46" i="8" s="1"/>
  <c r="AE46" i="8" a="1"/>
  <c r="AE46" i="8" s="1"/>
  <c r="Z46" i="8" a="1"/>
  <c r="Z46" i="8" s="1"/>
  <c r="AD46" i="8" a="1"/>
  <c r="AD46" i="8" s="1"/>
  <c r="V46" i="8" a="1"/>
  <c r="V46" i="8" s="1"/>
  <c r="X46" i="8" a="1"/>
  <c r="X46" i="8" s="1"/>
  <c r="AF46" i="8" a="1"/>
  <c r="AF46" i="8" s="1"/>
  <c r="D82" i="5"/>
  <c r="D74" i="5"/>
  <c r="B66" i="12"/>
  <c r="G16" i="11"/>
  <c r="F16" i="13" s="1"/>
  <c r="C16" i="13"/>
  <c r="K16" i="11"/>
  <c r="J16" i="13" s="1"/>
  <c r="AE55" i="8" l="1" a="1"/>
  <c r="AE55" i="8" s="1"/>
  <c r="AC55" i="8" a="1"/>
  <c r="AC55" i="8" s="1"/>
  <c r="AA55" i="8" a="1"/>
  <c r="AA55" i="8" s="1"/>
  <c r="W55" i="8" a="1"/>
  <c r="W55" i="8" s="1"/>
  <c r="AB55" i="8" a="1"/>
  <c r="AB55" i="8" s="1"/>
  <c r="AF55" i="8" a="1"/>
  <c r="AF55" i="8" s="1"/>
  <c r="Y55" i="8" a="1"/>
  <c r="Y55" i="8" s="1"/>
  <c r="Z55" i="8" a="1"/>
  <c r="Z55" i="8" s="1"/>
  <c r="E55" i="8" a="1"/>
  <c r="E55" i="8" s="1"/>
  <c r="AD55" i="8" a="1"/>
  <c r="AD55" i="8" s="1"/>
  <c r="X55" i="8" a="1"/>
  <c r="X55" i="8" s="1"/>
  <c r="U55" i="8" a="1"/>
  <c r="U55" i="8" s="1"/>
  <c r="U52" i="8" a="1"/>
  <c r="U52" i="8" s="1"/>
  <c r="AA52" i="8" a="1"/>
  <c r="AA52" i="8" s="1"/>
  <c r="W52" i="8" a="1"/>
  <c r="W52" i="8" s="1"/>
  <c r="AE52" i="8" a="1"/>
  <c r="AE52" i="8" s="1"/>
  <c r="Y52" i="8" a="1"/>
  <c r="Y52" i="8" s="1"/>
  <c r="E52" i="8" a="1"/>
  <c r="E52" i="8" s="1"/>
  <c r="AF52" i="8" a="1"/>
  <c r="AF52" i="8" s="1"/>
  <c r="AD52" i="8" a="1"/>
  <c r="AD52" i="8" s="1"/>
  <c r="AB52" i="8" a="1"/>
  <c r="AB52" i="8" s="1"/>
  <c r="X52" i="8" a="1"/>
  <c r="X52" i="8" s="1"/>
  <c r="Z52" i="8" a="1"/>
  <c r="Z52" i="8" s="1"/>
  <c r="AC52" i="8" a="1"/>
  <c r="AC52" i="8" s="1"/>
  <c r="B82" i="12"/>
  <c r="B74" i="12"/>
  <c r="S16" i="13"/>
  <c r="O16" i="13"/>
  <c r="U16" i="13"/>
  <c r="R16" i="13"/>
  <c r="K16" i="13"/>
  <c r="AF16" i="13" l="1"/>
  <c r="T16" i="13" s="1"/>
  <c r="I41" i="5" l="1"/>
  <c r="K134" i="5" l="1"/>
  <c r="J128" i="5"/>
  <c r="K93" i="5"/>
  <c r="J124" i="5"/>
  <c r="K124" i="5"/>
  <c r="B17" i="11"/>
  <c r="K116" i="5"/>
  <c r="J116" i="5"/>
  <c r="A17" i="13"/>
  <c r="J94" i="5"/>
  <c r="D94" i="5" s="1"/>
  <c r="J101" i="5"/>
  <c r="D101" i="5" s="1"/>
  <c r="V64" i="8" l="1" a="1"/>
  <c r="V64" i="8" s="1"/>
  <c r="Z64" i="8" a="1"/>
  <c r="Z64" i="8" s="1"/>
  <c r="AE64" i="8" a="1"/>
  <c r="AE64" i="8" s="1"/>
  <c r="Y64" i="8" a="1"/>
  <c r="Y64" i="8" s="1"/>
  <c r="U64" i="8" a="1"/>
  <c r="U64" i="8" s="1"/>
  <c r="AD64" i="8" a="1"/>
  <c r="AD64" i="8" s="1"/>
  <c r="AC64" i="8" a="1"/>
  <c r="AC64" i="8" s="1"/>
  <c r="AF64" i="8" a="1"/>
  <c r="AF64" i="8" s="1"/>
  <c r="X64" i="8" a="1"/>
  <c r="X64" i="8" s="1"/>
  <c r="AA64" i="8" a="1"/>
  <c r="AA64" i="8" s="1"/>
  <c r="AB64" i="8" a="1"/>
  <c r="AB64" i="8" s="1"/>
  <c r="E64" i="8" a="1"/>
  <c r="E64" i="8" s="1"/>
  <c r="AC67" i="8" a="1"/>
  <c r="AC67" i="8" s="1"/>
  <c r="W67" i="8" a="1"/>
  <c r="W67" i="8" s="1"/>
  <c r="AE67" i="8" a="1"/>
  <c r="AE67" i="8" s="1"/>
  <c r="Y67" i="8" a="1"/>
  <c r="Y67" i="8" s="1"/>
  <c r="E67" i="8" a="1"/>
  <c r="E67" i="8" s="1"/>
  <c r="AA67" i="8" a="1"/>
  <c r="AA67" i="8" s="1"/>
  <c r="AD67" i="8" a="1"/>
  <c r="AD67" i="8" s="1"/>
  <c r="U67" i="8" a="1"/>
  <c r="U67" i="8" s="1"/>
  <c r="Z67" i="8" a="1"/>
  <c r="Z67" i="8" s="1"/>
  <c r="AB67" i="8" a="1"/>
  <c r="AB67" i="8" s="1"/>
  <c r="V67" i="8" a="1"/>
  <c r="V67" i="8" s="1"/>
  <c r="AF67" i="8" a="1"/>
  <c r="AF67" i="8" s="1"/>
  <c r="D124" i="5"/>
  <c r="K17" i="11"/>
  <c r="J17" i="13" s="1"/>
  <c r="C17" i="13"/>
  <c r="K17" i="13" s="1"/>
  <c r="G17" i="11"/>
  <c r="F17" i="13" s="1"/>
  <c r="D116" i="5"/>
  <c r="B101" i="12"/>
  <c r="B94" i="12"/>
  <c r="AA70" i="8" l="1" a="1"/>
  <c r="AA70" i="8" s="1"/>
  <c r="AD70" i="8" a="1"/>
  <c r="AD70" i="8" s="1"/>
  <c r="AF70" i="8" a="1"/>
  <c r="AF70" i="8" s="1"/>
  <c r="X70" i="8" a="1"/>
  <c r="X70" i="8" s="1"/>
  <c r="Z70" i="8" a="1"/>
  <c r="Z70" i="8" s="1"/>
  <c r="AB70" i="8" a="1"/>
  <c r="AB70" i="8" s="1"/>
  <c r="V70" i="8" a="1"/>
  <c r="V70" i="8" s="1"/>
  <c r="AE70" i="8" a="1"/>
  <c r="AE70" i="8" s="1"/>
  <c r="Y70" i="8" a="1"/>
  <c r="Y70" i="8" s="1"/>
  <c r="E70" i="8" a="1"/>
  <c r="E70" i="8" s="1"/>
  <c r="U70" i="8" a="1"/>
  <c r="U70" i="8" s="1"/>
  <c r="AC70" i="8" a="1"/>
  <c r="AC70" i="8" s="1"/>
  <c r="AB73" i="8" a="1"/>
  <c r="AB73" i="8" s="1"/>
  <c r="E73" i="8" a="1"/>
  <c r="E73" i="8" s="1"/>
  <c r="AC73" i="8" a="1"/>
  <c r="AC73" i="8" s="1"/>
  <c r="W73" i="8" a="1"/>
  <c r="W73" i="8" s="1"/>
  <c r="Y73" i="8" a="1"/>
  <c r="Y73" i="8" s="1"/>
  <c r="AA73" i="8" a="1"/>
  <c r="AA73" i="8" s="1"/>
  <c r="AE73" i="8" a="1"/>
  <c r="AE73" i="8" s="1"/>
  <c r="U73" i="8" a="1"/>
  <c r="U73" i="8" s="1"/>
  <c r="AF73" i="8" a="1"/>
  <c r="AF73" i="8" s="1"/>
  <c r="V73" i="8" a="1"/>
  <c r="V73" i="8" s="1"/>
  <c r="Z73" i="8" a="1"/>
  <c r="Z73" i="8" s="1"/>
  <c r="AD73" i="8" a="1"/>
  <c r="AD73" i="8" s="1"/>
  <c r="R17" i="13"/>
  <c r="T17" i="13"/>
  <c r="U17" i="13"/>
  <c r="S17" i="13"/>
  <c r="B124" i="12"/>
  <c r="B116" i="12"/>
  <c r="F20" i="8" l="1"/>
  <c r="F21" i="8" s="1"/>
  <c r="A5" i="5"/>
  <c r="F35" i="8" l="1"/>
  <c r="F36" i="8" s="1"/>
  <c r="J35" i="8" s="1"/>
  <c r="F1" i="8"/>
  <c r="F2" i="8" s="1"/>
  <c r="N1" i="8" s="1"/>
  <c r="F29" i="8"/>
  <c r="F30" i="8" s="1"/>
  <c r="F26" i="8"/>
  <c r="F27" i="8" s="1"/>
  <c r="J26" i="8" s="1"/>
  <c r="F32" i="8"/>
  <c r="F33" i="8" s="1"/>
  <c r="J32" i="8" s="1"/>
  <c r="B21" i="11"/>
  <c r="O21" i="11" s="1"/>
  <c r="K158" i="5"/>
  <c r="J158" i="5"/>
  <c r="K159" i="5"/>
  <c r="J159" i="5"/>
  <c r="K88" i="5"/>
  <c r="D88" i="5" s="1"/>
  <c r="K156" i="5"/>
  <c r="J156" i="5"/>
  <c r="J163" i="5"/>
  <c r="A20" i="13"/>
  <c r="B20" i="13" s="1"/>
  <c r="AG20" i="13" s="1"/>
  <c r="J57" i="5"/>
  <c r="D57" i="5" s="1"/>
  <c r="A23" i="13"/>
  <c r="B23" i="13" s="1"/>
  <c r="AG23" i="13" s="1"/>
  <c r="A18" i="13"/>
  <c r="B18" i="13" s="1"/>
  <c r="AF18" i="13" s="1"/>
  <c r="B19" i="11"/>
  <c r="O19" i="11" s="1"/>
  <c r="B20" i="11"/>
  <c r="AA20" i="11" s="1"/>
  <c r="A19" i="13"/>
  <c r="B19" i="13" s="1"/>
  <c r="AD19" i="13" s="1"/>
  <c r="A12" i="13"/>
  <c r="B12" i="13" s="1"/>
  <c r="AM12" i="13" s="1"/>
  <c r="K133" i="5"/>
  <c r="B18" i="11"/>
  <c r="G18" i="11" s="1"/>
  <c r="F18" i="13" s="1"/>
  <c r="J16" i="5"/>
  <c r="D16" i="5" s="1"/>
  <c r="B14" i="13" s="1"/>
  <c r="AE14" i="13" s="1"/>
  <c r="M14" i="13" s="1"/>
  <c r="J133" i="5"/>
  <c r="B23" i="11"/>
  <c r="AA23" i="11" s="1"/>
  <c r="J141" i="5"/>
  <c r="K141" i="5"/>
  <c r="M20" i="8"/>
  <c r="J20" i="8"/>
  <c r="A22" i="13"/>
  <c r="B12" i="11"/>
  <c r="J93" i="5"/>
  <c r="D93" i="5" s="1"/>
  <c r="A21" i="13"/>
  <c r="F17" i="8"/>
  <c r="F18" i="8" s="1"/>
  <c r="F23" i="8"/>
  <c r="F24" i="8" s="1"/>
  <c r="F14" i="8"/>
  <c r="F15" i="8" s="1"/>
  <c r="F38" i="8"/>
  <c r="F39" i="8" s="1"/>
  <c r="B22" i="11"/>
  <c r="K163" i="5"/>
  <c r="K128" i="5"/>
  <c r="D128" i="5" s="1"/>
  <c r="K52" i="5"/>
  <c r="D52" i="5" s="1"/>
  <c r="J134" i="5"/>
  <c r="D134" i="5" s="1"/>
  <c r="I48" i="5"/>
  <c r="D163" i="5" l="1"/>
  <c r="M32" i="8"/>
  <c r="S34" i="8" s="1"/>
  <c r="V94" i="8" a="1"/>
  <c r="V94" i="8" s="1"/>
  <c r="AC94" i="8" a="1"/>
  <c r="AC94" i="8" s="1"/>
  <c r="E94" i="8" a="1"/>
  <c r="E94" i="8" s="1"/>
  <c r="AF94" i="8" a="1"/>
  <c r="AF94" i="8" s="1"/>
  <c r="W94" i="8" a="1"/>
  <c r="W94" i="8" s="1"/>
  <c r="AA94" i="8" a="1"/>
  <c r="AA94" i="8" s="1"/>
  <c r="U94" i="8" a="1"/>
  <c r="U94" i="8" s="1"/>
  <c r="AD94" i="8" a="1"/>
  <c r="AD94" i="8" s="1"/>
  <c r="AE94" i="8" a="1"/>
  <c r="AE94" i="8" s="1"/>
  <c r="X94" i="8" a="1"/>
  <c r="X94" i="8" s="1"/>
  <c r="AB94" i="8" a="1"/>
  <c r="AB94" i="8" s="1"/>
  <c r="Y94" i="8" a="1"/>
  <c r="Y94" i="8" s="1"/>
  <c r="G21" i="11"/>
  <c r="F21" i="13" s="1"/>
  <c r="AC58" i="8" a="1"/>
  <c r="AC58" i="8" s="1"/>
  <c r="AF58" i="8" a="1"/>
  <c r="AF58" i="8" s="1"/>
  <c r="W58" i="8" a="1"/>
  <c r="W58" i="8" s="1"/>
  <c r="X58" i="8" a="1"/>
  <c r="X58" i="8" s="1"/>
  <c r="AB58" i="8" a="1"/>
  <c r="AB58" i="8" s="1"/>
  <c r="AA58" i="8" a="1"/>
  <c r="AA58" i="8" s="1"/>
  <c r="AE58" i="8" a="1"/>
  <c r="AE58" i="8" s="1"/>
  <c r="V58" i="8" a="1"/>
  <c r="V58" i="8" s="1"/>
  <c r="Z58" i="8" a="1"/>
  <c r="Z58" i="8" s="1"/>
  <c r="Y58" i="8" a="1"/>
  <c r="Y58" i="8" s="1"/>
  <c r="AD58" i="8" a="1"/>
  <c r="AD58" i="8" s="1"/>
  <c r="AA21" i="11"/>
  <c r="AD76" i="8" a="1"/>
  <c r="AD76" i="8" s="1"/>
  <c r="AA76" i="8" a="1"/>
  <c r="AA76" i="8" s="1"/>
  <c r="X76" i="8" a="1"/>
  <c r="X76" i="8" s="1"/>
  <c r="U76" i="8" a="1"/>
  <c r="U76" i="8" s="1"/>
  <c r="V76" i="8" a="1"/>
  <c r="V76" i="8" s="1"/>
  <c r="E76" i="8" a="1"/>
  <c r="E76" i="8" s="1"/>
  <c r="AC76" i="8" a="1"/>
  <c r="AC76" i="8" s="1"/>
  <c r="AF76" i="8" a="1"/>
  <c r="AF76" i="8" s="1"/>
  <c r="AE76" i="8" a="1"/>
  <c r="AE76" i="8" s="1"/>
  <c r="Z76" i="8" a="1"/>
  <c r="Z76" i="8" s="1"/>
  <c r="AB76" i="8" a="1"/>
  <c r="AB76" i="8" s="1"/>
  <c r="Y76" i="8" a="1"/>
  <c r="Y76" i="8" s="1"/>
  <c r="K21" i="11"/>
  <c r="J21" i="13" s="1"/>
  <c r="AA82" i="8" a="1"/>
  <c r="AA82" i="8" s="1"/>
  <c r="U82" i="8" a="1"/>
  <c r="U82" i="8" s="1"/>
  <c r="AC82" i="8" a="1"/>
  <c r="AC82" i="8" s="1"/>
  <c r="AD82" i="8" a="1"/>
  <c r="AD82" i="8" s="1"/>
  <c r="X82" i="8" a="1"/>
  <c r="X82" i="8" s="1"/>
  <c r="AE82" i="8" a="1"/>
  <c r="AE82" i="8" s="1"/>
  <c r="AF82" i="8" a="1"/>
  <c r="AF82" i="8" s="1"/>
  <c r="E82" i="8" a="1"/>
  <c r="E82" i="8" s="1"/>
  <c r="Z82" i="8" a="1"/>
  <c r="Z82" i="8" s="1"/>
  <c r="AB82" i="8" a="1"/>
  <c r="AB82" i="8" s="1"/>
  <c r="V82" i="8" a="1"/>
  <c r="V82" i="8" s="1"/>
  <c r="W82" i="8" a="1"/>
  <c r="W82" i="8" s="1"/>
  <c r="C21" i="13"/>
  <c r="O21" i="13" s="1"/>
  <c r="AB21" i="11"/>
  <c r="N21" i="11" s="1"/>
  <c r="O1" i="8"/>
  <c r="B88" i="12"/>
  <c r="M35" i="8"/>
  <c r="P35" i="8" s="1"/>
  <c r="S1" i="8"/>
  <c r="G1" i="8" s="1"/>
  <c r="G2" i="8" s="1" a="1"/>
  <c r="G2" i="8" s="1"/>
  <c r="M1" i="8"/>
  <c r="A1" i="8" s="1"/>
  <c r="Q1" i="8"/>
  <c r="J29" i="8"/>
  <c r="M29" i="8"/>
  <c r="P29" i="8" s="1"/>
  <c r="I1" i="8"/>
  <c r="AB20" i="11"/>
  <c r="N20" i="11" s="1"/>
  <c r="P1" i="8"/>
  <c r="J1" i="8"/>
  <c r="M26" i="8"/>
  <c r="Q26" i="8" s="1"/>
  <c r="C18" i="13"/>
  <c r="O18" i="13" s="1"/>
  <c r="D158" i="5"/>
  <c r="D159" i="5"/>
  <c r="B15" i="13"/>
  <c r="AE15" i="13" s="1"/>
  <c r="M15" i="13" s="1"/>
  <c r="N15" i="13" s="1"/>
  <c r="D156" i="5"/>
  <c r="K19" i="11"/>
  <c r="J19" i="13" s="1"/>
  <c r="G19" i="11"/>
  <c r="F19" i="13" s="1"/>
  <c r="AB19" i="11"/>
  <c r="N19" i="11" s="1"/>
  <c r="C19" i="13"/>
  <c r="O19" i="13" s="1"/>
  <c r="AA19" i="11"/>
  <c r="O20" i="11"/>
  <c r="C20" i="13"/>
  <c r="K20" i="13" s="1"/>
  <c r="C23" i="13"/>
  <c r="O23" i="13" s="1"/>
  <c r="K20" i="11"/>
  <c r="J20" i="13" s="1"/>
  <c r="G23" i="11"/>
  <c r="F23" i="13" s="1"/>
  <c r="G20" i="11"/>
  <c r="F20" i="13" s="1"/>
  <c r="B57" i="12"/>
  <c r="D133" i="5"/>
  <c r="O23" i="11"/>
  <c r="L23" i="13" s="1"/>
  <c r="D23" i="13" s="1"/>
  <c r="AB23" i="11"/>
  <c r="N23" i="11" s="1"/>
  <c r="K18" i="11"/>
  <c r="J18" i="13" s="1"/>
  <c r="K23" i="11"/>
  <c r="J23" i="13" s="1"/>
  <c r="F10" i="8" a="1"/>
  <c r="F10" i="8" s="1"/>
  <c r="B16" i="12"/>
  <c r="AE12" i="13"/>
  <c r="P32" i="8"/>
  <c r="D141" i="5"/>
  <c r="AE19" i="13"/>
  <c r="B163" i="12"/>
  <c r="L19" i="13"/>
  <c r="D19" i="13" s="1"/>
  <c r="C19" i="11"/>
  <c r="P19" i="11"/>
  <c r="G12" i="11"/>
  <c r="F12" i="13" s="1"/>
  <c r="AA12" i="11"/>
  <c r="K12" i="11"/>
  <c r="J12" i="13" s="1"/>
  <c r="O12" i="11"/>
  <c r="AB12" i="11"/>
  <c r="N12" i="11" s="1"/>
  <c r="C12" i="13"/>
  <c r="B22" i="13"/>
  <c r="AG22" i="13" s="1"/>
  <c r="AE23" i="13"/>
  <c r="P21" i="11"/>
  <c r="C21" i="11"/>
  <c r="L21" i="13"/>
  <c r="D21" i="13" s="1"/>
  <c r="P20" i="8"/>
  <c r="A20" i="8"/>
  <c r="S22" i="8"/>
  <c r="B134" i="12"/>
  <c r="M28" i="13"/>
  <c r="N14" i="13"/>
  <c r="B52" i="12"/>
  <c r="B128" i="12"/>
  <c r="AE20" i="13"/>
  <c r="M38" i="8"/>
  <c r="N38" i="8" s="1"/>
  <c r="R38" i="8" s="1"/>
  <c r="J38" i="8"/>
  <c r="A32" i="8"/>
  <c r="J14" i="8"/>
  <c r="M14" i="8"/>
  <c r="O14" i="8" s="1"/>
  <c r="Q20" i="8"/>
  <c r="AB22" i="11"/>
  <c r="N22" i="11" s="1"/>
  <c r="AA22" i="11"/>
  <c r="K22" i="11"/>
  <c r="J22" i="13" s="1"/>
  <c r="C22" i="13"/>
  <c r="O22" i="11"/>
  <c r="G22" i="11"/>
  <c r="F22" i="13" s="1"/>
  <c r="J23" i="8"/>
  <c r="M23" i="8"/>
  <c r="B21" i="13"/>
  <c r="AD21" i="13" s="1"/>
  <c r="M17" i="8"/>
  <c r="P17" i="8" s="1"/>
  <c r="J17" i="8"/>
  <c r="B16" i="13"/>
  <c r="AE16" i="13" s="1"/>
  <c r="M16" i="13" s="1"/>
  <c r="N16" i="13" s="1"/>
  <c r="B93" i="12"/>
  <c r="A35" i="8" l="1"/>
  <c r="S37" i="8"/>
  <c r="H1" i="8" a="1"/>
  <c r="H1" i="8" s="1"/>
  <c r="J2" i="8" s="1"/>
  <c r="H2" i="8" a="1"/>
  <c r="H2" i="8" s="1"/>
  <c r="P26" i="8"/>
  <c r="Q32" i="8"/>
  <c r="Z21" i="11"/>
  <c r="Q35" i="8"/>
  <c r="B158" i="12"/>
  <c r="U91" i="8" a="1"/>
  <c r="U91" i="8" s="1"/>
  <c r="E91" i="8" a="1"/>
  <c r="E91" i="8" s="1"/>
  <c r="AC91" i="8" a="1"/>
  <c r="AC91" i="8" s="1"/>
  <c r="W91" i="8" a="1"/>
  <c r="W91" i="8" s="1"/>
  <c r="AF91" i="8" a="1"/>
  <c r="AF91" i="8" s="1"/>
  <c r="AD91" i="8" a="1"/>
  <c r="AD91" i="8" s="1"/>
  <c r="Z91" i="8" a="1"/>
  <c r="Z91" i="8" s="1"/>
  <c r="X91" i="8" a="1"/>
  <c r="X91" i="8" s="1"/>
  <c r="AB91" i="8" a="1"/>
  <c r="AB91" i="8" s="1"/>
  <c r="V91" i="8" a="1"/>
  <c r="V91" i="8" s="1"/>
  <c r="AA91" i="8" a="1"/>
  <c r="AA91" i="8" s="1"/>
  <c r="AE91" i="8" a="1"/>
  <c r="AE91" i="8" s="1"/>
  <c r="B141" i="12"/>
  <c r="AE85" i="8" a="1"/>
  <c r="AE85" i="8" s="1"/>
  <c r="AA85" i="8" a="1"/>
  <c r="AA85" i="8" s="1"/>
  <c r="Y85" i="8" a="1"/>
  <c r="Y85" i="8" s="1"/>
  <c r="U85" i="8" a="1"/>
  <c r="U85" i="8" s="1"/>
  <c r="E85" i="8" a="1"/>
  <c r="E85" i="8" s="1"/>
  <c r="AF85" i="8" a="1"/>
  <c r="AF85" i="8" s="1"/>
  <c r="AD85" i="8" a="1"/>
  <c r="AD85" i="8" s="1"/>
  <c r="X85" i="8" a="1"/>
  <c r="X85" i="8" s="1"/>
  <c r="AB85" i="8" a="1"/>
  <c r="AB85" i="8" s="1"/>
  <c r="AC85" i="8" a="1"/>
  <c r="AC85" i="8" s="1"/>
  <c r="V85" i="8" a="1"/>
  <c r="V85" i="8" s="1"/>
  <c r="W85" i="8" a="1"/>
  <c r="W85" i="8" s="1"/>
  <c r="AD88" i="8" a="1"/>
  <c r="AD88" i="8" s="1"/>
  <c r="AE88" i="8" a="1"/>
  <c r="AE88" i="8" s="1"/>
  <c r="AA88" i="8" a="1"/>
  <c r="AA88" i="8" s="1"/>
  <c r="Y88" i="8" a="1"/>
  <c r="Y88" i="8" s="1"/>
  <c r="X88" i="8" a="1"/>
  <c r="X88" i="8" s="1"/>
  <c r="E88" i="8" a="1"/>
  <c r="E88" i="8" s="1"/>
  <c r="AF88" i="8" a="1"/>
  <c r="AF88" i="8" s="1"/>
  <c r="U88" i="8" a="1"/>
  <c r="U88" i="8" s="1"/>
  <c r="AC88" i="8" a="1"/>
  <c r="AC88" i="8" s="1"/>
  <c r="W88" i="8" a="1"/>
  <c r="W88" i="8" s="1"/>
  <c r="AB88" i="8" a="1"/>
  <c r="AB88" i="8" s="1"/>
  <c r="V88" i="8" a="1"/>
  <c r="V88" i="8" s="1"/>
  <c r="R21" i="13"/>
  <c r="U21" i="13"/>
  <c r="T21" i="13"/>
  <c r="M21" i="13"/>
  <c r="N21" i="13" s="1"/>
  <c r="K21" i="13"/>
  <c r="S21" i="13"/>
  <c r="Q29" i="8"/>
  <c r="O20" i="13"/>
  <c r="O32" i="8"/>
  <c r="S31" i="8"/>
  <c r="M20" i="13"/>
  <c r="A29" i="8"/>
  <c r="K23" i="13"/>
  <c r="O29" i="8"/>
  <c r="R1" i="8"/>
  <c r="AA3" i="8" s="1" a="1"/>
  <c r="AA3" i="8" s="1"/>
  <c r="S19" i="13"/>
  <c r="S3" i="8"/>
  <c r="U20" i="13"/>
  <c r="S28" i="8"/>
  <c r="K19" i="13"/>
  <c r="A26" i="8"/>
  <c r="M19" i="13"/>
  <c r="N19" i="13" s="1"/>
  <c r="O26" i="8"/>
  <c r="S20" i="13"/>
  <c r="P20" i="11"/>
  <c r="L20" i="13"/>
  <c r="D20" i="13" s="1"/>
  <c r="Z20" i="11"/>
  <c r="C20" i="11"/>
  <c r="K18" i="13"/>
  <c r="R20" i="13"/>
  <c r="T20" i="13"/>
  <c r="U19" i="13"/>
  <c r="R19" i="13"/>
  <c r="T19" i="13"/>
  <c r="Z19" i="11"/>
  <c r="D15" i="5"/>
  <c r="B159" i="12"/>
  <c r="M23" i="13"/>
  <c r="N23" i="13" s="1"/>
  <c r="B17" i="13"/>
  <c r="AH17" i="13" s="1"/>
  <c r="O17" i="13" s="1"/>
  <c r="B133" i="12"/>
  <c r="A23" i="9"/>
  <c r="P23" i="11"/>
  <c r="B156" i="12"/>
  <c r="S23" i="13"/>
  <c r="C23" i="11"/>
  <c r="U23" i="13"/>
  <c r="R23" i="13"/>
  <c r="T23" i="13"/>
  <c r="Z23" i="11"/>
  <c r="N29" i="8"/>
  <c r="AE21" i="13"/>
  <c r="AE22" i="13"/>
  <c r="F40" i="8"/>
  <c r="D38" i="8"/>
  <c r="Q23" i="8"/>
  <c r="A23" i="8"/>
  <c r="S25" i="8"/>
  <c r="P14" i="8"/>
  <c r="AS15" i="6"/>
  <c r="Z15" i="6" s="1"/>
  <c r="Z11" i="6" s="1"/>
  <c r="O17" i="8"/>
  <c r="N14" i="8"/>
  <c r="R14" i="8" s="1"/>
  <c r="O12" i="13"/>
  <c r="U12" i="13"/>
  <c r="M12" i="13"/>
  <c r="K12" i="13"/>
  <c r="S12" i="13"/>
  <c r="T12" i="13"/>
  <c r="R12" i="13"/>
  <c r="Q38" i="8"/>
  <c r="S40" i="8"/>
  <c r="A38" i="8"/>
  <c r="O35" i="8"/>
  <c r="N35" i="8"/>
  <c r="N32" i="8"/>
  <c r="C51" i="10"/>
  <c r="A51" i="10" s="1"/>
  <c r="A59" i="9"/>
  <c r="AX15" i="6"/>
  <c r="AE15" i="6" s="1"/>
  <c r="AE11" i="6" s="1"/>
  <c r="C12" i="11"/>
  <c r="L12" i="13"/>
  <c r="P12" i="11"/>
  <c r="Z12" i="11"/>
  <c r="AZ15" i="6"/>
  <c r="AG15" i="6" s="1"/>
  <c r="AG11" i="6" s="1"/>
  <c r="Q17" i="8"/>
  <c r="S19" i="8"/>
  <c r="A17" i="8"/>
  <c r="C55" i="9"/>
  <c r="F55" i="9" s="1"/>
  <c r="C25" i="9"/>
  <c r="F25" i="9" s="1"/>
  <c r="AW15" i="6"/>
  <c r="AD15" i="6" s="1"/>
  <c r="AD11" i="6" s="1"/>
  <c r="C43" i="9"/>
  <c r="F43" i="9" s="1"/>
  <c r="AU15" i="6"/>
  <c r="AB15" i="6" s="1"/>
  <c r="AB11" i="6" s="1"/>
  <c r="Q14" i="8"/>
  <c r="S16" i="8"/>
  <c r="A14" i="8"/>
  <c r="O20" i="8"/>
  <c r="AP15" i="6"/>
  <c r="W15" i="6" s="1"/>
  <c r="W11" i="6" s="1"/>
  <c r="P23" i="13"/>
  <c r="O23" i="8"/>
  <c r="L22" i="13"/>
  <c r="D22" i="13" s="1"/>
  <c r="C22" i="11"/>
  <c r="Z22" i="11"/>
  <c r="P22" i="11"/>
  <c r="N20" i="8"/>
  <c r="N28" i="13"/>
  <c r="E33" i="14" s="1"/>
  <c r="M25" i="13"/>
  <c r="AE4" i="13"/>
  <c r="AE3" i="13"/>
  <c r="O26" i="13" s="1"/>
  <c r="AR15" i="6"/>
  <c r="Y15" i="6" s="1"/>
  <c r="Y11" i="6" s="1"/>
  <c r="N23" i="8"/>
  <c r="O22" i="13"/>
  <c r="M22" i="13"/>
  <c r="R22" i="13"/>
  <c r="K22" i="13"/>
  <c r="T22" i="13"/>
  <c r="S22" i="13"/>
  <c r="U22" i="13"/>
  <c r="P19" i="13"/>
  <c r="N17" i="8"/>
  <c r="P23" i="8"/>
  <c r="O38" i="8"/>
  <c r="AV15" i="6"/>
  <c r="AC15" i="6" s="1"/>
  <c r="AC11" i="6" s="1"/>
  <c r="BA15" i="6"/>
  <c r="AH15" i="6" s="1"/>
  <c r="AH11" i="6" s="1"/>
  <c r="AT15" i="6"/>
  <c r="AA15" i="6" s="1"/>
  <c r="AA11" i="6" s="1"/>
  <c r="C21" i="10"/>
  <c r="A21" i="10" s="1"/>
  <c r="C32" i="10"/>
  <c r="A32" i="10" s="1"/>
  <c r="C63" i="10"/>
  <c r="A63" i="10" s="1"/>
  <c r="A34" i="9"/>
  <c r="C64" i="9"/>
  <c r="F64" i="9" s="1"/>
  <c r="C39" i="10"/>
  <c r="A39" i="10" s="1"/>
  <c r="C61" i="9"/>
  <c r="F61" i="9" s="1"/>
  <c r="C37" i="10"/>
  <c r="A37" i="10" s="1"/>
  <c r="C16" i="9"/>
  <c r="F16" i="9" s="1"/>
  <c r="C31" i="9"/>
  <c r="F31" i="9" s="1"/>
  <c r="C1" i="9"/>
  <c r="F1" i="9" s="1"/>
  <c r="C43" i="10"/>
  <c r="A43" i="10" s="1"/>
  <c r="C48" i="10"/>
  <c r="A48" i="10" s="1"/>
  <c r="C34" i="9"/>
  <c r="F34" i="9" s="1"/>
  <c r="C16" i="10"/>
  <c r="A16" i="10" s="1"/>
  <c r="C57" i="9"/>
  <c r="F57" i="9" s="1"/>
  <c r="A47" i="9"/>
  <c r="A30" i="9"/>
  <c r="C40" i="10"/>
  <c r="A40" i="10" s="1"/>
  <c r="C53" i="10"/>
  <c r="A53" i="10" s="1"/>
  <c r="C35" i="9"/>
  <c r="F35" i="9" s="1"/>
  <c r="C37" i="9"/>
  <c r="F37" i="9" s="1"/>
  <c r="A35" i="9"/>
  <c r="C30" i="10"/>
  <c r="A30" i="10" s="1"/>
  <c r="A56" i="9"/>
  <c r="C27" i="9"/>
  <c r="F27" i="9" s="1"/>
  <c r="C59" i="10"/>
  <c r="A59" i="10" s="1"/>
  <c r="A22" i="9"/>
  <c r="A19" i="9"/>
  <c r="C17" i="10"/>
  <c r="A17" i="10" s="1"/>
  <c r="C31" i="10"/>
  <c r="A31" i="10" s="1"/>
  <c r="A51" i="9"/>
  <c r="C44" i="9"/>
  <c r="F44" i="9" s="1"/>
  <c r="A25" i="9"/>
  <c r="C1" i="10"/>
  <c r="A1" i="10" s="1"/>
  <c r="A53" i="9"/>
  <c r="C47" i="10"/>
  <c r="A47" i="10" s="1"/>
  <c r="A55" i="9"/>
  <c r="C27" i="10"/>
  <c r="A27" i="10" s="1"/>
  <c r="C19" i="9"/>
  <c r="F19" i="9" s="1"/>
  <c r="A57" i="9"/>
  <c r="C56" i="10"/>
  <c r="A56" i="10" s="1"/>
  <c r="A46" i="9"/>
  <c r="A39" i="9"/>
  <c r="A29" i="9"/>
  <c r="C59" i="9"/>
  <c r="F59" i="9" s="1"/>
  <c r="C58" i="10"/>
  <c r="A58" i="10" s="1"/>
  <c r="A15" i="9"/>
  <c r="A17" i="9"/>
  <c r="C60" i="10"/>
  <c r="A60" i="10" s="1"/>
  <c r="A62" i="9"/>
  <c r="C35" i="10"/>
  <c r="A35" i="10" s="1"/>
  <c r="C56" i="9"/>
  <c r="F56" i="9" s="1"/>
  <c r="C36" i="9"/>
  <c r="F36" i="9" s="1"/>
  <c r="A28" i="9"/>
  <c r="C55" i="10"/>
  <c r="A55" i="10" s="1"/>
  <c r="C50" i="9"/>
  <c r="F50" i="9" s="1"/>
  <c r="A49" i="9"/>
  <c r="C46" i="10"/>
  <c r="A46" i="10" s="1"/>
  <c r="C21" i="9"/>
  <c r="F21" i="9" s="1"/>
  <c r="C48" i="9"/>
  <c r="F48" i="9" s="1"/>
  <c r="A18" i="9"/>
  <c r="A44" i="9"/>
  <c r="A54" i="9"/>
  <c r="C30" i="9"/>
  <c r="F30" i="9" s="1"/>
  <c r="A58" i="9"/>
  <c r="C17" i="9"/>
  <c r="F17" i="9" s="1"/>
  <c r="C44" i="10"/>
  <c r="A44" i="10" s="1"/>
  <c r="C57" i="10"/>
  <c r="A57" i="10" s="1"/>
  <c r="C45" i="10"/>
  <c r="A45" i="10" s="1"/>
  <c r="A1" i="9"/>
  <c r="A20" i="9"/>
  <c r="M12" i="6" a="1"/>
  <c r="M12" i="6" s="1"/>
  <c r="C40" i="9"/>
  <c r="F40" i="9" s="1"/>
  <c r="C18" i="9"/>
  <c r="F18" i="9" s="1"/>
  <c r="C62" i="10"/>
  <c r="A62" i="10" s="1"/>
  <c r="C24" i="9"/>
  <c r="F24" i="9" s="1"/>
  <c r="A24" i="9"/>
  <c r="A61" i="9"/>
  <c r="C29" i="9"/>
  <c r="F29" i="9" s="1"/>
  <c r="C52" i="10"/>
  <c r="A52" i="10" s="1"/>
  <c r="C36" i="10"/>
  <c r="A36" i="10" s="1"/>
  <c r="C39" i="9"/>
  <c r="F39" i="9" s="1"/>
  <c r="A32" i="9"/>
  <c r="C34" i="10"/>
  <c r="A34" i="10" s="1"/>
  <c r="C46" i="9"/>
  <c r="F46" i="9" s="1"/>
  <c r="A27" i="9"/>
  <c r="A63" i="9"/>
  <c r="C26" i="10"/>
  <c r="A26" i="10" s="1"/>
  <c r="A21" i="9"/>
  <c r="C38" i="10"/>
  <c r="A38" i="10" s="1"/>
  <c r="A31" i="9"/>
  <c r="A26" i="9"/>
  <c r="C51" i="9"/>
  <c r="F51" i="9" s="1"/>
  <c r="C33" i="10"/>
  <c r="A33" i="10" s="1"/>
  <c r="C20" i="10"/>
  <c r="A20" i="10" s="1"/>
  <c r="C62" i="9"/>
  <c r="F62" i="9" s="1"/>
  <c r="C61" i="10"/>
  <c r="A61" i="10" s="1"/>
  <c r="C26" i="9"/>
  <c r="F26" i="9" s="1"/>
  <c r="A48" i="9"/>
  <c r="C42" i="10"/>
  <c r="A42" i="10" s="1"/>
  <c r="C45" i="9"/>
  <c r="F45" i="9" s="1"/>
  <c r="C20" i="9"/>
  <c r="F20" i="9" s="1"/>
  <c r="A41" i="9"/>
  <c r="A64" i="9"/>
  <c r="A42" i="9"/>
  <c r="A38" i="9"/>
  <c r="C28" i="9"/>
  <c r="F28" i="9" s="1"/>
  <c r="C52" i="9"/>
  <c r="F52" i="9" s="1"/>
  <c r="C41" i="9"/>
  <c r="F41" i="9" s="1"/>
  <c r="C25" i="10"/>
  <c r="A25" i="10" s="1"/>
  <c r="A52" i="9"/>
  <c r="C49" i="10"/>
  <c r="A49" i="10" s="1"/>
  <c r="A40" i="9"/>
  <c r="A36" i="9"/>
  <c r="C38" i="9"/>
  <c r="F38" i="9" s="1"/>
  <c r="C22" i="9"/>
  <c r="F22" i="9" s="1"/>
  <c r="C18" i="10"/>
  <c r="A18" i="10" s="1"/>
  <c r="A50" i="9"/>
  <c r="C42" i="9"/>
  <c r="F42" i="9" s="1"/>
  <c r="C50" i="10"/>
  <c r="A50" i="10" s="1"/>
  <c r="C49" i="9"/>
  <c r="F49" i="9" s="1"/>
  <c r="C54" i="9"/>
  <c r="F54" i="9" s="1"/>
  <c r="A16" i="9"/>
  <c r="C28" i="10"/>
  <c r="A28" i="10" s="1"/>
  <c r="C24" i="10"/>
  <c r="A24" i="10" s="1"/>
  <c r="C63" i="9"/>
  <c r="F63" i="9" s="1"/>
  <c r="A45" i="9"/>
  <c r="A37" i="9"/>
  <c r="C60" i="9"/>
  <c r="F60" i="9" s="1"/>
  <c r="C41" i="10"/>
  <c r="A41" i="10" s="1"/>
  <c r="C29" i="10"/>
  <c r="A29" i="10" s="1"/>
  <c r="C23" i="9"/>
  <c r="F23" i="9" s="1"/>
  <c r="C64" i="10"/>
  <c r="A64" i="10" s="1"/>
  <c r="A33" i="9"/>
  <c r="C53" i="9"/>
  <c r="F53" i="9" s="1"/>
  <c r="A60" i="9"/>
  <c r="C33" i="9"/>
  <c r="F33" i="9" s="1"/>
  <c r="C58" i="9"/>
  <c r="F58" i="9" s="1"/>
  <c r="C19" i="10"/>
  <c r="A19" i="10" s="1"/>
  <c r="C54" i="10"/>
  <c r="A54" i="10" s="1"/>
  <c r="C32" i="9"/>
  <c r="F32" i="9" s="1"/>
  <c r="A43" i="9"/>
  <c r="C47" i="9"/>
  <c r="F47" i="9" s="1"/>
  <c r="C23" i="10"/>
  <c r="A23" i="10" s="1"/>
  <c r="C22" i="10"/>
  <c r="A22" i="10" s="1"/>
  <c r="N26" i="8"/>
  <c r="P38" i="8"/>
  <c r="P21" i="13"/>
  <c r="AQ15" i="6"/>
  <c r="X15" i="6" s="1"/>
  <c r="X11" i="6" s="1"/>
  <c r="AY15" i="6"/>
  <c r="AF15" i="6" s="1"/>
  <c r="AF11" i="6" s="1"/>
  <c r="P20" i="13" l="1"/>
  <c r="N20" i="13"/>
  <c r="R32" i="8"/>
  <c r="AB1" i="8" a="1"/>
  <c r="AB1" i="8" s="1"/>
  <c r="U1" i="8" a="1"/>
  <c r="U1" i="8" s="1"/>
  <c r="AC1" i="8" a="1"/>
  <c r="AC1" i="8" s="1"/>
  <c r="U3" i="8" a="1"/>
  <c r="U3" i="8" s="1"/>
  <c r="D1" i="8"/>
  <c r="Y1" i="8" a="1"/>
  <c r="Y1" i="8" s="1"/>
  <c r="AC3" i="8" a="1"/>
  <c r="AC3" i="8" s="1"/>
  <c r="W3" i="8" a="1"/>
  <c r="W3" i="8" s="1"/>
  <c r="AE1" i="8" a="1"/>
  <c r="AE1" i="8" s="1"/>
  <c r="V3" i="8" a="1"/>
  <c r="V3" i="8" s="1"/>
  <c r="C1" i="8"/>
  <c r="E1" i="8" a="1"/>
  <c r="E1" i="8" s="1"/>
  <c r="V1" i="8" a="1"/>
  <c r="V1" i="8" s="1"/>
  <c r="X1" i="8" a="1"/>
  <c r="X1" i="8" s="1"/>
  <c r="Z3" i="8" a="1"/>
  <c r="Z3" i="8" s="1"/>
  <c r="AB3" i="8" a="1"/>
  <c r="AB3" i="8" s="1"/>
  <c r="R26" i="8"/>
  <c r="AA1" i="8" a="1"/>
  <c r="AA1" i="8" s="1"/>
  <c r="E3" i="8" a="1"/>
  <c r="E3" i="8" s="1"/>
  <c r="Z1" i="8" a="1"/>
  <c r="Z1" i="8" s="1"/>
  <c r="AF3" i="8" a="1"/>
  <c r="AF3" i="8" s="1"/>
  <c r="X3" i="8" a="1"/>
  <c r="X3" i="8" s="1"/>
  <c r="AE3" i="8" a="1"/>
  <c r="AE3" i="8" s="1"/>
  <c r="F3" i="8"/>
  <c r="AD1" i="8" a="1"/>
  <c r="AD1" i="8" s="1"/>
  <c r="AD3" i="8" a="1"/>
  <c r="AD3" i="8" s="1"/>
  <c r="R29" i="8"/>
  <c r="W1" i="8" a="1"/>
  <c r="W1" i="8" s="1"/>
  <c r="Y3" i="8" a="1"/>
  <c r="Y3" i="8" s="1"/>
  <c r="AF1" i="8" a="1"/>
  <c r="AF1" i="8" s="1"/>
  <c r="AE18" i="13"/>
  <c r="M18" i="13" s="1"/>
  <c r="N18" i="13" s="1"/>
  <c r="R20" i="8"/>
  <c r="R17" i="8"/>
  <c r="P22" i="13"/>
  <c r="R23" i="8"/>
  <c r="F25" i="8" s="1"/>
  <c r="X25" i="8" s="1" a="1"/>
  <c r="X25" i="8" s="1"/>
  <c r="F16" i="8"/>
  <c r="C14" i="8"/>
  <c r="D14" i="8"/>
  <c r="K73" i="10" a="1"/>
  <c r="K73" i="10" s="1"/>
  <c r="S73" i="10" a="1"/>
  <c r="S73" i="10" s="1"/>
  <c r="W73" i="10" a="1"/>
  <c r="W73" i="10" s="1"/>
  <c r="O73" i="10" a="1"/>
  <c r="O73" i="10" s="1"/>
  <c r="Y73" i="10" a="1"/>
  <c r="Y73" i="10" s="1"/>
  <c r="AE73" i="10" a="1"/>
  <c r="AE73" i="10" s="1"/>
  <c r="U73" i="10" a="1"/>
  <c r="U73" i="10" s="1"/>
  <c r="AA73" i="10" a="1"/>
  <c r="AA73" i="10" s="1"/>
  <c r="AC73" i="10" a="1"/>
  <c r="AC73" i="10" s="1"/>
  <c r="I73" i="10" a="1"/>
  <c r="I73" i="10" s="1"/>
  <c r="I71" i="10" s="1" a="1"/>
  <c r="I71" i="10" s="1"/>
  <c r="M73" i="10" a="1"/>
  <c r="M73" i="10" s="1"/>
  <c r="P12" i="13"/>
  <c r="N12" i="13"/>
  <c r="Q73" i="10" a="1"/>
  <c r="Q73" i="10" s="1"/>
  <c r="N22" i="13"/>
  <c r="V12" i="13"/>
  <c r="D12" i="13"/>
  <c r="AE17" i="13"/>
  <c r="M17" i="13" s="1"/>
  <c r="N17" i="13" s="1"/>
  <c r="F31" i="14"/>
  <c r="N26" i="13"/>
  <c r="E31" i="14" s="1"/>
  <c r="F34" i="8"/>
  <c r="AB34" i="8" s="1" a="1"/>
  <c r="AB34" i="8" s="1"/>
  <c r="O27" i="13"/>
  <c r="AE2" i="13"/>
  <c r="R35" i="8"/>
  <c r="I52" i="5"/>
  <c r="F28" i="8" l="1"/>
  <c r="AE28" i="8" s="1" a="1"/>
  <c r="AE28" i="8" s="1"/>
  <c r="Q71" i="10"/>
  <c r="F31" i="8"/>
  <c r="W31" i="8" s="1" a="1"/>
  <c r="W31" i="8" s="1"/>
  <c r="AA28" i="8" a="1"/>
  <c r="AA28" i="8" s="1"/>
  <c r="F22" i="8"/>
  <c r="O18" i="11"/>
  <c r="L159" i="12" a="1"/>
  <c r="L159" i="12" s="1"/>
  <c r="J159" i="12" a="1"/>
  <c r="J159" i="12" s="1"/>
  <c r="AA71" i="10"/>
  <c r="F19" i="8"/>
  <c r="W19" i="8" s="1" a="1"/>
  <c r="W19" i="8" s="1"/>
  <c r="AC71" i="10"/>
  <c r="K71" i="10"/>
  <c r="M71" i="10"/>
  <c r="U71" i="10"/>
  <c r="AB28" i="8" a="1"/>
  <c r="AB28" i="8" s="1"/>
  <c r="X28" i="8" a="1"/>
  <c r="X28" i="8" s="1"/>
  <c r="AC28" i="8" a="1"/>
  <c r="AC28" i="8" s="1"/>
  <c r="Z28" i="8" a="1"/>
  <c r="Z28" i="8" s="1"/>
  <c r="Z34" i="8" a="1"/>
  <c r="Z34" i="8" s="1"/>
  <c r="Z25" i="8" a="1"/>
  <c r="Z25" i="8" s="1"/>
  <c r="AC34" i="8" a="1"/>
  <c r="AC34" i="8" s="1"/>
  <c r="AF25" i="8" a="1"/>
  <c r="AF25" i="8" s="1"/>
  <c r="Y25" i="8" a="1"/>
  <c r="Y25" i="8" s="1"/>
  <c r="W34" i="8" a="1"/>
  <c r="W34" i="8" s="1"/>
  <c r="AE25" i="8" a="1"/>
  <c r="AE25" i="8" s="1"/>
  <c r="V25" i="8" a="1"/>
  <c r="V25" i="8" s="1"/>
  <c r="AA25" i="8" a="1"/>
  <c r="AA25" i="8" s="1"/>
  <c r="W25" i="8" a="1"/>
  <c r="W25" i="8" s="1"/>
  <c r="AC25" i="8" a="1"/>
  <c r="AC25" i="8" s="1"/>
  <c r="AB25" i="8" a="1"/>
  <c r="AB25" i="8" s="1"/>
  <c r="AA34" i="8" a="1"/>
  <c r="AA34" i="8" s="1"/>
  <c r="Y34" i="8" a="1"/>
  <c r="Y34" i="8" s="1"/>
  <c r="X34" i="8" a="1"/>
  <c r="X34" i="8" s="1"/>
  <c r="Y28" i="8" a="1"/>
  <c r="Y28" i="8" s="1"/>
  <c r="U34" i="8" a="1"/>
  <c r="U34" i="8" s="1"/>
  <c r="AD28" i="8" a="1"/>
  <c r="AD28" i="8" s="1"/>
  <c r="AE34" i="8" a="1"/>
  <c r="AE34" i="8" s="1"/>
  <c r="AF34" i="8" a="1"/>
  <c r="AF34" i="8" s="1"/>
  <c r="AD25" i="8" a="1"/>
  <c r="AD25" i="8" s="1"/>
  <c r="N27" i="13"/>
  <c r="E32" i="14" s="1"/>
  <c r="O25" i="13"/>
  <c r="F32" i="14"/>
  <c r="E34" i="8" a="1"/>
  <c r="E34" i="8" s="1"/>
  <c r="AF28" i="8" a="1"/>
  <c r="AF28" i="8" s="1"/>
  <c r="AE71" i="10"/>
  <c r="Y71" i="10"/>
  <c r="O71" i="10"/>
  <c r="W71" i="10"/>
  <c r="F37" i="8"/>
  <c r="V37" i="8" s="1" a="1"/>
  <c r="V37" i="8" s="1"/>
  <c r="S71" i="10"/>
  <c r="AD34" i="8" a="1"/>
  <c r="AD34" i="8" s="1"/>
  <c r="V28" i="8" l="1" a="1"/>
  <c r="V28" i="8" s="1"/>
  <c r="E31" i="8" a="1"/>
  <c r="E31" i="8" s="1"/>
  <c r="Z31" i="8" a="1"/>
  <c r="Z31" i="8" s="1"/>
  <c r="AE31" i="8" a="1"/>
  <c r="AE31" i="8" s="1"/>
  <c r="AE22" i="8" a="1"/>
  <c r="AE22" i="8" s="1"/>
  <c r="X22" i="8" a="1"/>
  <c r="X22" i="8" s="1"/>
  <c r="AB22" i="8" a="1"/>
  <c r="AB22" i="8" s="1"/>
  <c r="AD22" i="8" a="1"/>
  <c r="AD22" i="8" s="1"/>
  <c r="AD31" i="8" a="1"/>
  <c r="AD31" i="8" s="1"/>
  <c r="AB31" i="8" a="1"/>
  <c r="AB31" i="8" s="1"/>
  <c r="AA31" i="8" a="1"/>
  <c r="AA31" i="8" s="1"/>
  <c r="X31" i="8" a="1"/>
  <c r="X31" i="8" s="1"/>
  <c r="U31" i="8" a="1"/>
  <c r="U31" i="8" s="1"/>
  <c r="AC31" i="8" a="1"/>
  <c r="AC31" i="8" s="1"/>
  <c r="AF31" i="8" a="1"/>
  <c r="AF31" i="8" s="1"/>
  <c r="Y31" i="8" a="1"/>
  <c r="Y31" i="8" s="1"/>
  <c r="AA22" i="8" a="1"/>
  <c r="AA22" i="8" s="1"/>
  <c r="AF22" i="8" a="1"/>
  <c r="AF22" i="8" s="1"/>
  <c r="AC22" i="8" a="1"/>
  <c r="AC22" i="8" s="1"/>
  <c r="K159" i="12"/>
  <c r="L18" i="13"/>
  <c r="C18" i="11"/>
  <c r="P18" i="11"/>
  <c r="AC19" i="8" a="1"/>
  <c r="AC19" i="8" s="1"/>
  <c r="AD19" i="8" a="1"/>
  <c r="AD19" i="8" s="1"/>
  <c r="AA19" i="8" a="1"/>
  <c r="AA19" i="8" s="1"/>
  <c r="Z19" i="8" a="1"/>
  <c r="Z19" i="8" s="1"/>
  <c r="Y19" i="8" a="1"/>
  <c r="Y19" i="8" s="1"/>
  <c r="AE19" i="8" a="1"/>
  <c r="AE19" i="8" s="1"/>
  <c r="X19" i="8" a="1"/>
  <c r="X19" i="8" s="1"/>
  <c r="AF19" i="8" a="1"/>
  <c r="AF19" i="8" s="1"/>
  <c r="AB19" i="8" a="1"/>
  <c r="AB19" i="8" s="1"/>
  <c r="V19" i="8" a="1"/>
  <c r="V19" i="8" s="1"/>
  <c r="X37" i="8" a="1"/>
  <c r="X37" i="8" s="1"/>
  <c r="Z37" i="8" a="1"/>
  <c r="Z37" i="8" s="1"/>
  <c r="AB37" i="8" a="1"/>
  <c r="AB37" i="8" s="1"/>
  <c r="W37" i="8" a="1"/>
  <c r="W37" i="8" s="1"/>
  <c r="AC37" i="8" a="1"/>
  <c r="AC37" i="8" s="1"/>
  <c r="AE37" i="8" a="1"/>
  <c r="AE37" i="8" s="1"/>
  <c r="AA37" i="8" a="1"/>
  <c r="AA37" i="8" s="1"/>
  <c r="AF37" i="8" a="1"/>
  <c r="AF37" i="8" s="1"/>
  <c r="AD37" i="8" a="1"/>
  <c r="AD37" i="8" s="1"/>
  <c r="N25" i="13"/>
  <c r="E30" i="14" s="1"/>
  <c r="F30" i="14"/>
  <c r="Y37" i="8" a="1"/>
  <c r="Y37" i="8" s="1"/>
  <c r="AB18" i="11" l="1"/>
  <c r="U18" i="13" s="1"/>
  <c r="D18" i="13"/>
  <c r="P18" i="13"/>
  <c r="N18" i="11" l="1"/>
  <c r="S18" i="13"/>
  <c r="I57" i="5"/>
  <c r="I58" i="5" s="1"/>
  <c r="I60" i="5" l="1"/>
  <c r="I74" i="5" l="1"/>
  <c r="I82" i="5" l="1"/>
  <c r="I88" i="5" l="1"/>
  <c r="I93" i="5" l="1"/>
  <c r="I94" i="5" s="1"/>
  <c r="AA18" i="11" l="1"/>
  <c r="Z18" i="11" s="1"/>
  <c r="R18" i="13"/>
  <c r="T18" i="13"/>
  <c r="C38" i="8" l="1"/>
  <c r="I101" i="5" l="1"/>
  <c r="I116" i="5" l="1"/>
  <c r="I124" i="5" l="1"/>
  <c r="I128" i="5" l="1"/>
  <c r="I133" i="5" l="1"/>
  <c r="I134" i="5" s="1"/>
  <c r="I141" i="5" l="1"/>
  <c r="I156" i="5" l="1"/>
  <c r="I158" i="5" l="1"/>
  <c r="AF80" i="5"/>
  <c r="AF92" i="5"/>
  <c r="AF112" i="5"/>
  <c r="AF120" i="5"/>
  <c r="AF136" i="5"/>
  <c r="AF150" i="5"/>
  <c r="AF39" i="5"/>
  <c r="AF81" i="5"/>
  <c r="AF40" i="5"/>
  <c r="AF97" i="5"/>
  <c r="AF139" i="5"/>
  <c r="AF153" i="5"/>
  <c r="AF50" i="5"/>
  <c r="AF138" i="5"/>
  <c r="AF98" i="5"/>
  <c r="AF106" i="5"/>
  <c r="AF125" i="5"/>
  <c r="AF140" i="5"/>
  <c r="AF154" i="5"/>
  <c r="AF65" i="5"/>
  <c r="AF95" i="5"/>
  <c r="AF122" i="5"/>
  <c r="AF55" i="5"/>
  <c r="AF70" i="5"/>
  <c r="AF84" i="5"/>
  <c r="AF99" i="5"/>
  <c r="AF102" i="5"/>
  <c r="AF126" i="5"/>
  <c r="AF143" i="5"/>
  <c r="AF155" i="5"/>
  <c r="AF113" i="5"/>
  <c r="AF51" i="5"/>
  <c r="AF123" i="5"/>
  <c r="AF44" i="5"/>
  <c r="AF56" i="5"/>
  <c r="AF72" i="5"/>
  <c r="AF85" i="5"/>
  <c r="AF100" i="5"/>
  <c r="AF104" i="5"/>
  <c r="AF127" i="5"/>
  <c r="AF144" i="5"/>
  <c r="AF142" i="5"/>
  <c r="AF137" i="5"/>
  <c r="AF68" i="5"/>
  <c r="AF36" i="5"/>
  <c r="AF115" i="5"/>
  <c r="AF42" i="5"/>
  <c r="AF59" i="5"/>
  <c r="AF73" i="5"/>
  <c r="AF86" i="5"/>
  <c r="AF107" i="5"/>
  <c r="AF103" i="5"/>
  <c r="AF129" i="5"/>
  <c r="AF145" i="5"/>
  <c r="AF157" i="5"/>
  <c r="AF67" i="5"/>
  <c r="AF96" i="5"/>
  <c r="AF69" i="5"/>
  <c r="AF54" i="5"/>
  <c r="AF164" i="5"/>
  <c r="AF43" i="5"/>
  <c r="AF61" i="5"/>
  <c r="AF75" i="5"/>
  <c r="AF87" i="5"/>
  <c r="AF108" i="5"/>
  <c r="AF105" i="5"/>
  <c r="AF130" i="5"/>
  <c r="AF146" i="5"/>
  <c r="AF159" i="5"/>
  <c r="AF151" i="5"/>
  <c r="AF79" i="5"/>
  <c r="AF83" i="5"/>
  <c r="AF45" i="5"/>
  <c r="AF62" i="5"/>
  <c r="AF76" i="5"/>
  <c r="AF89" i="5"/>
  <c r="AF109" i="5"/>
  <c r="AF117" i="5"/>
  <c r="AF131" i="5"/>
  <c r="AF147" i="5"/>
  <c r="AF160" i="5"/>
  <c r="AF121" i="5"/>
  <c r="AF114" i="5"/>
  <c r="AF53" i="5"/>
  <c r="AF37" i="5"/>
  <c r="AF46" i="5"/>
  <c r="AF63" i="5"/>
  <c r="AF77" i="5"/>
  <c r="AF90" i="5"/>
  <c r="AF110" i="5"/>
  <c r="AF118" i="5"/>
  <c r="AF132" i="5"/>
  <c r="AF148" i="5"/>
  <c r="AF161" i="5"/>
  <c r="AF49" i="5"/>
  <c r="AF152" i="5"/>
  <c r="AF71" i="5"/>
  <c r="AF38" i="5"/>
  <c r="AF47" i="5"/>
  <c r="AF64" i="5"/>
  <c r="AF78" i="5"/>
  <c r="AF91" i="5"/>
  <c r="AF111" i="5"/>
  <c r="AF119" i="5"/>
  <c r="AF135" i="5"/>
  <c r="AF149" i="5"/>
  <c r="AF162" i="5"/>
  <c r="AF20" i="5"/>
  <c r="AF26" i="5"/>
  <c r="AF25" i="5"/>
  <c r="AF34" i="5"/>
  <c r="AF31" i="5"/>
  <c r="AF27" i="5"/>
  <c r="AF22" i="5"/>
  <c r="AF29" i="5"/>
  <c r="AF35" i="5"/>
  <c r="AF32" i="5"/>
  <c r="AF30" i="5"/>
  <c r="AF21" i="5"/>
  <c r="AF33" i="5"/>
  <c r="AF19" i="5"/>
  <c r="AF23" i="5"/>
  <c r="AF16" i="5"/>
  <c r="AF24" i="5"/>
  <c r="AF18" i="5"/>
  <c r="AF14" i="5"/>
  <c r="AF28" i="5"/>
  <c r="AF17" i="5"/>
  <c r="S17" i="5" l="1"/>
  <c r="AG17" i="5"/>
  <c r="R14" i="5"/>
  <c r="AG14" i="5"/>
  <c r="S14" i="5"/>
  <c r="S16" i="5"/>
  <c r="AG16" i="5"/>
  <c r="AG23" i="5"/>
  <c r="S23" i="5"/>
  <c r="S33" i="5"/>
  <c r="AG33" i="5"/>
  <c r="AG21" i="5"/>
  <c r="S21" i="5"/>
  <c r="R30" i="5"/>
  <c r="R22" i="5"/>
  <c r="AG25" i="5"/>
  <c r="S149" i="5"/>
  <c r="R91" i="5"/>
  <c r="S38" i="5"/>
  <c r="R161" i="5"/>
  <c r="S110" i="5"/>
  <c r="AG46" i="5"/>
  <c r="AG121" i="5"/>
  <c r="S117" i="5"/>
  <c r="S62" i="5"/>
  <c r="R151" i="5"/>
  <c r="AG105" i="5"/>
  <c r="AG61" i="5"/>
  <c r="AG69" i="5"/>
  <c r="R145" i="5"/>
  <c r="S86" i="5"/>
  <c r="R115" i="5"/>
  <c r="S142" i="5"/>
  <c r="R100" i="5"/>
  <c r="S44" i="5"/>
  <c r="S155" i="5"/>
  <c r="R99" i="5"/>
  <c r="R122" i="5"/>
  <c r="R140" i="5"/>
  <c r="R138" i="5"/>
  <c r="S97" i="5"/>
  <c r="S150" i="5"/>
  <c r="R92" i="5"/>
  <c r="S30" i="5"/>
  <c r="S25" i="5"/>
  <c r="AG149" i="5"/>
  <c r="R38" i="5"/>
  <c r="R110" i="5"/>
  <c r="R46" i="5"/>
  <c r="R121" i="5"/>
  <c r="R117" i="5"/>
  <c r="AG62" i="5"/>
  <c r="AG151" i="5"/>
  <c r="S105" i="5"/>
  <c r="S61" i="5"/>
  <c r="S69" i="5"/>
  <c r="AG145" i="5"/>
  <c r="S115" i="5"/>
  <c r="R142" i="5"/>
  <c r="AG100" i="5"/>
  <c r="AG44" i="5"/>
  <c r="R155" i="5"/>
  <c r="AG99" i="5"/>
  <c r="AG122" i="5"/>
  <c r="S140" i="5"/>
  <c r="AG138" i="5"/>
  <c r="R97" i="5"/>
  <c r="AG150" i="5"/>
  <c r="R28" i="5"/>
  <c r="S32" i="5"/>
  <c r="S27" i="5"/>
  <c r="S26" i="5"/>
  <c r="AG135" i="5"/>
  <c r="S78" i="5"/>
  <c r="S71" i="5"/>
  <c r="AG148" i="5"/>
  <c r="S90" i="5"/>
  <c r="S37" i="5"/>
  <c r="R160" i="5"/>
  <c r="S109" i="5"/>
  <c r="R45" i="5"/>
  <c r="R159" i="5"/>
  <c r="R108" i="5"/>
  <c r="AG43" i="5"/>
  <c r="S96" i="5"/>
  <c r="S129" i="5"/>
  <c r="R73" i="5"/>
  <c r="S36" i="5"/>
  <c r="R144" i="5"/>
  <c r="S85" i="5"/>
  <c r="AG123" i="5"/>
  <c r="S143" i="5"/>
  <c r="R84" i="5"/>
  <c r="AG95" i="5"/>
  <c r="R125" i="5"/>
  <c r="R50" i="5"/>
  <c r="AG40" i="5"/>
  <c r="R136" i="5"/>
  <c r="AG80" i="5"/>
  <c r="AG28" i="5"/>
  <c r="R32" i="5"/>
  <c r="R27" i="5"/>
  <c r="AG26" i="5"/>
  <c r="S135" i="5"/>
  <c r="R78" i="5"/>
  <c r="AG71" i="5"/>
  <c r="S148" i="5"/>
  <c r="R90" i="5"/>
  <c r="R37" i="5"/>
  <c r="S160" i="5"/>
  <c r="AG109" i="5"/>
  <c r="S45" i="5"/>
  <c r="S159" i="5"/>
  <c r="AG108" i="5"/>
  <c r="S43" i="5"/>
  <c r="AG96" i="5"/>
  <c r="R129" i="5"/>
  <c r="AG73" i="5"/>
  <c r="R36" i="5"/>
  <c r="S144" i="5"/>
  <c r="R85" i="5"/>
  <c r="S123" i="5"/>
  <c r="AG143" i="5"/>
  <c r="S84" i="5"/>
  <c r="R95" i="5"/>
  <c r="S125" i="5"/>
  <c r="S50" i="5"/>
  <c r="S40" i="5"/>
  <c r="S80" i="5"/>
  <c r="S28" i="5"/>
  <c r="R19" i="5"/>
  <c r="AG27" i="5"/>
  <c r="R26" i="5"/>
  <c r="R135" i="5"/>
  <c r="AG78" i="5"/>
  <c r="R71" i="5"/>
  <c r="R148" i="5"/>
  <c r="AG37" i="5"/>
  <c r="R109" i="5"/>
  <c r="S108" i="5"/>
  <c r="R43" i="5"/>
  <c r="R96" i="5"/>
  <c r="S73" i="5"/>
  <c r="AG36" i="5"/>
  <c r="AG144" i="5"/>
  <c r="R123" i="5"/>
  <c r="R143" i="5"/>
  <c r="S95" i="5"/>
  <c r="R40" i="5"/>
  <c r="S136" i="5"/>
  <c r="R80" i="5"/>
  <c r="S19" i="5"/>
  <c r="R35" i="5"/>
  <c r="R31" i="5"/>
  <c r="S20" i="5"/>
  <c r="S119" i="5"/>
  <c r="R64" i="5"/>
  <c r="AG152" i="5"/>
  <c r="R132" i="5"/>
  <c r="AG77" i="5"/>
  <c r="S53" i="5"/>
  <c r="S147" i="5"/>
  <c r="R89" i="5"/>
  <c r="R83" i="5"/>
  <c r="AG146" i="5"/>
  <c r="S87" i="5"/>
  <c r="R164" i="5"/>
  <c r="R67" i="5"/>
  <c r="AG103" i="5"/>
  <c r="S59" i="5"/>
  <c r="R68" i="5"/>
  <c r="S127" i="5"/>
  <c r="AG72" i="5"/>
  <c r="R51" i="5"/>
  <c r="R126" i="5"/>
  <c r="R70" i="5"/>
  <c r="S65" i="5"/>
  <c r="R106" i="5"/>
  <c r="S153" i="5"/>
  <c r="AG81" i="5"/>
  <c r="S120" i="5"/>
  <c r="AG35" i="5"/>
  <c r="AG31" i="5"/>
  <c r="R20" i="5"/>
  <c r="AG119" i="5"/>
  <c r="AG64" i="5"/>
  <c r="S152" i="5"/>
  <c r="S132" i="5"/>
  <c r="S77" i="5"/>
  <c r="R53" i="5"/>
  <c r="AG147" i="5"/>
  <c r="S89" i="5"/>
  <c r="S83" i="5"/>
  <c r="S146" i="5"/>
  <c r="R87" i="5"/>
  <c r="S164" i="5"/>
  <c r="AG67" i="5"/>
  <c r="S103" i="5"/>
  <c r="R59" i="5"/>
  <c r="AG68" i="5"/>
  <c r="R127" i="5"/>
  <c r="R72" i="5"/>
  <c r="S51" i="5"/>
  <c r="S126" i="5"/>
  <c r="S70" i="5"/>
  <c r="R65" i="5"/>
  <c r="AG106" i="5"/>
  <c r="R153" i="5"/>
  <c r="R81" i="5"/>
  <c r="AG120" i="5"/>
  <c r="S35" i="5"/>
  <c r="S31" i="5"/>
  <c r="R119" i="5"/>
  <c r="S64" i="5"/>
  <c r="R152" i="5"/>
  <c r="R77" i="5"/>
  <c r="R147" i="5"/>
  <c r="R146" i="5"/>
  <c r="S67" i="5"/>
  <c r="R103" i="5"/>
  <c r="S68" i="5"/>
  <c r="S72" i="5"/>
  <c r="AG70" i="5"/>
  <c r="AG65" i="5"/>
  <c r="S106" i="5"/>
  <c r="AG153" i="5"/>
  <c r="S81" i="5"/>
  <c r="R120" i="5"/>
  <c r="AG18" i="5"/>
  <c r="R29" i="5"/>
  <c r="S34" i="5"/>
  <c r="S162" i="5"/>
  <c r="S111" i="5"/>
  <c r="AG47" i="5"/>
  <c r="R49" i="5"/>
  <c r="AG118" i="5"/>
  <c r="S63" i="5"/>
  <c r="R114" i="5"/>
  <c r="S131" i="5"/>
  <c r="AG76" i="5"/>
  <c r="S79" i="5"/>
  <c r="R130" i="5"/>
  <c r="R75" i="5"/>
  <c r="S54" i="5"/>
  <c r="S157" i="5"/>
  <c r="R107" i="5"/>
  <c r="S42" i="5"/>
  <c r="AG137" i="5"/>
  <c r="R104" i="5"/>
  <c r="S56" i="5"/>
  <c r="S113" i="5"/>
  <c r="R102" i="5"/>
  <c r="S55" i="5"/>
  <c r="AG154" i="5"/>
  <c r="S98" i="5"/>
  <c r="R139" i="5"/>
  <c r="R39" i="5"/>
  <c r="R112" i="5"/>
  <c r="AG24" i="5"/>
  <c r="S29" i="5"/>
  <c r="R34" i="5"/>
  <c r="R162" i="5"/>
  <c r="AG111" i="5"/>
  <c r="R47" i="5"/>
  <c r="S49" i="5"/>
  <c r="S118" i="5"/>
  <c r="R63" i="5"/>
  <c r="AG114" i="5"/>
  <c r="R131" i="5"/>
  <c r="R76" i="5"/>
  <c r="R79" i="5"/>
  <c r="S130" i="5"/>
  <c r="AG75" i="5"/>
  <c r="R54" i="5"/>
  <c r="R157" i="5"/>
  <c r="S107" i="5"/>
  <c r="AG42" i="5"/>
  <c r="S137" i="5"/>
  <c r="S104" i="5"/>
  <c r="R56" i="5"/>
  <c r="R113" i="5"/>
  <c r="S102" i="5"/>
  <c r="R55" i="5"/>
  <c r="R154" i="5"/>
  <c r="R98" i="5"/>
  <c r="AG139" i="5"/>
  <c r="AG39" i="5"/>
  <c r="S112" i="5"/>
  <c r="S24" i="5"/>
  <c r="AG29" i="5"/>
  <c r="AG34" i="5"/>
  <c r="R111" i="5"/>
  <c r="S47" i="5"/>
  <c r="R118" i="5"/>
  <c r="AG63" i="5"/>
  <c r="S114" i="5"/>
  <c r="S76" i="5"/>
  <c r="AG79" i="5"/>
  <c r="S75" i="5"/>
  <c r="AG107" i="5"/>
  <c r="R42" i="5"/>
  <c r="R137" i="5"/>
  <c r="AG104" i="5"/>
  <c r="AG113" i="5"/>
  <c r="AG102" i="5"/>
  <c r="S154" i="5"/>
  <c r="AG98" i="5"/>
  <c r="S139" i="5"/>
  <c r="S39" i="5"/>
  <c r="AG112" i="5"/>
  <c r="R24" i="5"/>
  <c r="AG30" i="5"/>
  <c r="S22" i="5"/>
  <c r="R25" i="5"/>
  <c r="R149" i="5"/>
  <c r="S91" i="5"/>
  <c r="AG38" i="5"/>
  <c r="S161" i="5"/>
  <c r="AG110" i="5"/>
  <c r="S46" i="5"/>
  <c r="S121" i="5"/>
  <c r="AG117" i="5"/>
  <c r="R62" i="5"/>
  <c r="S151" i="5"/>
  <c r="R105" i="5"/>
  <c r="R61" i="5"/>
  <c r="R69" i="5"/>
  <c r="S145" i="5"/>
  <c r="R86" i="5"/>
  <c r="AG115" i="5"/>
  <c r="AG142" i="5"/>
  <c r="S100" i="5"/>
  <c r="R44" i="5"/>
  <c r="AG155" i="5"/>
  <c r="S99" i="5"/>
  <c r="S122" i="5"/>
  <c r="AG140" i="5"/>
  <c r="S138" i="5"/>
  <c r="AG97" i="5"/>
  <c r="R150" i="5"/>
  <c r="S92" i="5"/>
  <c r="F92" i="12" l="1"/>
  <c r="G92" i="6"/>
  <c r="F150" i="6"/>
  <c r="E150" i="12"/>
  <c r="U97" i="5"/>
  <c r="F138" i="12"/>
  <c r="G138" i="6"/>
  <c r="U140" i="5"/>
  <c r="F122" i="12"/>
  <c r="G122" i="6"/>
  <c r="G99" i="6"/>
  <c r="F99" i="12"/>
  <c r="U155" i="5"/>
  <c r="F44" i="6"/>
  <c r="E44" i="12"/>
  <c r="G100" i="6"/>
  <c r="F100" i="12"/>
  <c r="U142" i="5"/>
  <c r="U115" i="5"/>
  <c r="E86" i="12"/>
  <c r="F86" i="6"/>
  <c r="F145" i="12"/>
  <c r="G145" i="6"/>
  <c r="E69" i="12"/>
  <c r="F69" i="6"/>
  <c r="E61" i="12"/>
  <c r="F61" i="6"/>
  <c r="F105" i="6"/>
  <c r="E105" i="12"/>
  <c r="G151" i="6"/>
  <c r="F151" i="12"/>
  <c r="F62" i="6"/>
  <c r="E62" i="12"/>
  <c r="U117" i="5"/>
  <c r="F121" i="12"/>
  <c r="G121" i="6"/>
  <c r="G46" i="6"/>
  <c r="F46" i="12"/>
  <c r="U110" i="5"/>
  <c r="F161" i="12"/>
  <c r="G161" i="6"/>
  <c r="U38" i="5"/>
  <c r="F91" i="12"/>
  <c r="G91" i="6"/>
  <c r="E149" i="12"/>
  <c r="F149" i="6"/>
  <c r="F25" i="6"/>
  <c r="E25" i="12"/>
  <c r="G22" i="6"/>
  <c r="F22" i="12"/>
  <c r="U30" i="5"/>
  <c r="F24" i="6"/>
  <c r="E24" i="12"/>
  <c r="U112" i="5"/>
  <c r="F39" i="12"/>
  <c r="G39" i="6"/>
  <c r="F139" i="12"/>
  <c r="G139" i="6"/>
  <c r="U98" i="5"/>
  <c r="F154" i="12"/>
  <c r="G154" i="6"/>
  <c r="U102" i="5"/>
  <c r="U113" i="5"/>
  <c r="U104" i="5"/>
  <c r="E137" i="12"/>
  <c r="F137" i="6"/>
  <c r="F42" i="6"/>
  <c r="E42" i="12"/>
  <c r="U107" i="5"/>
  <c r="F75" i="12"/>
  <c r="G75" i="6"/>
  <c r="U79" i="5"/>
  <c r="F76" i="12"/>
  <c r="G76" i="6"/>
  <c r="F114" i="12"/>
  <c r="G114" i="6"/>
  <c r="U63" i="5"/>
  <c r="E118" i="12"/>
  <c r="F118" i="6"/>
  <c r="F47" i="12"/>
  <c r="G47" i="6"/>
  <c r="F111" i="6"/>
  <c r="E111" i="12"/>
  <c r="U34" i="5"/>
  <c r="U29" i="5"/>
  <c r="F24" i="12"/>
  <c r="G24" i="6"/>
  <c r="G112" i="6"/>
  <c r="F112" i="12"/>
  <c r="U39" i="5"/>
  <c r="U139" i="5"/>
  <c r="E98" i="12"/>
  <c r="F98" i="6"/>
  <c r="F154" i="6"/>
  <c r="E154" i="12"/>
  <c r="F55" i="6"/>
  <c r="E55" i="12"/>
  <c r="F102" i="12"/>
  <c r="G102" i="6"/>
  <c r="F113" i="6"/>
  <c r="E113" i="12"/>
  <c r="E56" i="12"/>
  <c r="F56" i="6"/>
  <c r="F104" i="12"/>
  <c r="G104" i="6"/>
  <c r="F137" i="12"/>
  <c r="G137" i="6"/>
  <c r="U42" i="5"/>
  <c r="G107" i="6"/>
  <c r="F107" i="12"/>
  <c r="F157" i="6"/>
  <c r="E157" i="12"/>
  <c r="E54" i="12"/>
  <c r="F54" i="6"/>
  <c r="U75" i="5"/>
  <c r="F130" i="12"/>
  <c r="G130" i="6"/>
  <c r="F79" i="6"/>
  <c r="E79" i="12"/>
  <c r="F76" i="6"/>
  <c r="E76" i="12"/>
  <c r="E131" i="12"/>
  <c r="F131" i="6"/>
  <c r="U114" i="5"/>
  <c r="E63" i="12"/>
  <c r="F63" i="6"/>
  <c r="F118" i="12"/>
  <c r="G118" i="6"/>
  <c r="F49" i="12"/>
  <c r="G49" i="6"/>
  <c r="E47" i="12"/>
  <c r="F47" i="6"/>
  <c r="U111" i="5"/>
  <c r="F162" i="6"/>
  <c r="E162" i="12"/>
  <c r="E34" i="12"/>
  <c r="F34" i="6"/>
  <c r="F29" i="12"/>
  <c r="G29" i="6"/>
  <c r="U24" i="5"/>
  <c r="E112" i="12"/>
  <c r="F112" i="6"/>
  <c r="E39" i="12"/>
  <c r="F39" i="6"/>
  <c r="F139" i="6"/>
  <c r="E139" i="12"/>
  <c r="F98" i="12"/>
  <c r="G98" i="6"/>
  <c r="U154" i="5"/>
  <c r="G55" i="6"/>
  <c r="F55" i="12"/>
  <c r="F102" i="6"/>
  <c r="E102" i="12"/>
  <c r="F113" i="12"/>
  <c r="G113" i="6"/>
  <c r="F56" i="12"/>
  <c r="G56" i="6"/>
  <c r="F104" i="6"/>
  <c r="E104" i="12"/>
  <c r="U137" i="5"/>
  <c r="F42" i="12"/>
  <c r="G42" i="6"/>
  <c r="E107" i="12"/>
  <c r="F107" i="6"/>
  <c r="G157" i="6"/>
  <c r="F157" i="12"/>
  <c r="F54" i="12"/>
  <c r="G54" i="6"/>
  <c r="F75" i="6"/>
  <c r="E75" i="12"/>
  <c r="F130" i="6"/>
  <c r="E130" i="12"/>
  <c r="G79" i="6"/>
  <c r="F79" i="12"/>
  <c r="U76" i="5"/>
  <c r="F131" i="12"/>
  <c r="G131" i="6"/>
  <c r="F114" i="6"/>
  <c r="E114" i="12"/>
  <c r="F63" i="12"/>
  <c r="G63" i="6"/>
  <c r="U118" i="5"/>
  <c r="E49" i="12"/>
  <c r="F49" i="6"/>
  <c r="U47" i="5"/>
  <c r="G111" i="6"/>
  <c r="F111" i="12"/>
  <c r="F162" i="12"/>
  <c r="G162" i="6"/>
  <c r="F34" i="12"/>
  <c r="G34" i="6"/>
  <c r="E29" i="12"/>
  <c r="F29" i="6"/>
  <c r="U18" i="5"/>
  <c r="E120" i="12"/>
  <c r="F120" i="6"/>
  <c r="F81" i="12"/>
  <c r="G81" i="6"/>
  <c r="U153" i="5"/>
  <c r="F106" i="12"/>
  <c r="G106" i="6"/>
  <c r="U65" i="5"/>
  <c r="U70" i="5"/>
  <c r="F72" i="12"/>
  <c r="G72" i="6"/>
  <c r="F68" i="12"/>
  <c r="G68" i="6"/>
  <c r="E103" i="12"/>
  <c r="F103" i="6"/>
  <c r="F67" i="12"/>
  <c r="G67" i="6"/>
  <c r="E146" i="12"/>
  <c r="F146" i="6"/>
  <c r="F147" i="6"/>
  <c r="E147" i="12"/>
  <c r="E77" i="12"/>
  <c r="F77" i="6"/>
  <c r="E152" i="12"/>
  <c r="F152" i="6"/>
  <c r="F64" i="12"/>
  <c r="G64" i="6"/>
  <c r="F119" i="6"/>
  <c r="E119" i="12"/>
  <c r="F31" i="12"/>
  <c r="G31" i="6"/>
  <c r="G35" i="6"/>
  <c r="F35" i="12"/>
  <c r="U120" i="5"/>
  <c r="E81" i="12"/>
  <c r="F81" i="6"/>
  <c r="F153" i="6"/>
  <c r="E153" i="12"/>
  <c r="U106" i="5"/>
  <c r="F65" i="6"/>
  <c r="E65" i="12"/>
  <c r="G70" i="6"/>
  <c r="F70" i="12"/>
  <c r="F126" i="12"/>
  <c r="G126" i="6"/>
  <c r="G51" i="6"/>
  <c r="F51" i="12"/>
  <c r="E72" i="12"/>
  <c r="F72" i="6"/>
  <c r="E127" i="12"/>
  <c r="F127" i="6"/>
  <c r="U68" i="5"/>
  <c r="E59" i="12"/>
  <c r="F59" i="6"/>
  <c r="G103" i="6"/>
  <c r="F103" i="12"/>
  <c r="U67" i="5"/>
  <c r="F164" i="12"/>
  <c r="G164" i="6"/>
  <c r="F87" i="6"/>
  <c r="E87" i="12"/>
  <c r="G146" i="6"/>
  <c r="F146" i="12"/>
  <c r="F83" i="12"/>
  <c r="G83" i="6"/>
  <c r="G89" i="6"/>
  <c r="F89" i="12"/>
  <c r="U147" i="5"/>
  <c r="F53" i="6"/>
  <c r="E53" i="12"/>
  <c r="G77" i="6"/>
  <c r="F77" i="12"/>
  <c r="F132" i="12"/>
  <c r="G132" i="6"/>
  <c r="F152" i="12"/>
  <c r="G152" i="6"/>
  <c r="U64" i="5"/>
  <c r="U119" i="5"/>
  <c r="F20" i="6"/>
  <c r="E20" i="12"/>
  <c r="U31" i="5"/>
  <c r="U35" i="5"/>
  <c r="F120" i="12"/>
  <c r="G120" i="6"/>
  <c r="U81" i="5"/>
  <c r="F153" i="12"/>
  <c r="G153" i="6"/>
  <c r="E106" i="12"/>
  <c r="F106" i="6"/>
  <c r="F65" i="12"/>
  <c r="G65" i="6"/>
  <c r="F70" i="6"/>
  <c r="E70" i="12"/>
  <c r="F126" i="6"/>
  <c r="E126" i="12"/>
  <c r="F51" i="6"/>
  <c r="E51" i="12"/>
  <c r="U72" i="5"/>
  <c r="F127" i="12"/>
  <c r="G127" i="6"/>
  <c r="F68" i="6"/>
  <c r="E68" i="12"/>
  <c r="G59" i="6"/>
  <c r="F59" i="12"/>
  <c r="U103" i="5"/>
  <c r="F67" i="6"/>
  <c r="E67" i="12"/>
  <c r="F164" i="6"/>
  <c r="E164" i="12"/>
  <c r="G87" i="6"/>
  <c r="F87" i="12"/>
  <c r="U146" i="5"/>
  <c r="E83" i="12"/>
  <c r="F83" i="6"/>
  <c r="F89" i="6"/>
  <c r="E89" i="12"/>
  <c r="F147" i="12"/>
  <c r="G147" i="6"/>
  <c r="F53" i="12"/>
  <c r="G53" i="6"/>
  <c r="U77" i="5"/>
  <c r="F132" i="6"/>
  <c r="E132" i="12"/>
  <c r="U152" i="5"/>
  <c r="E64" i="12"/>
  <c r="F64" i="6"/>
  <c r="F119" i="12"/>
  <c r="G119" i="6"/>
  <c r="F20" i="12"/>
  <c r="G20" i="6"/>
  <c r="F31" i="6"/>
  <c r="E31" i="12"/>
  <c r="E35" i="12"/>
  <c r="F35" i="6"/>
  <c r="G19" i="6"/>
  <c r="F19" i="12"/>
  <c r="E80" i="12"/>
  <c r="F80" i="6"/>
  <c r="F136" i="12"/>
  <c r="G136" i="6"/>
  <c r="E40" i="12"/>
  <c r="F40" i="6"/>
  <c r="F95" i="12"/>
  <c r="G95" i="6"/>
  <c r="E143" i="12"/>
  <c r="F143" i="6"/>
  <c r="F123" i="6"/>
  <c r="E123" i="12"/>
  <c r="U144" i="5"/>
  <c r="U36" i="5"/>
  <c r="F73" i="12"/>
  <c r="G73" i="6"/>
  <c r="E96" i="12"/>
  <c r="F96" i="6"/>
  <c r="E43" i="12"/>
  <c r="F43" i="6"/>
  <c r="F108" i="12"/>
  <c r="G108" i="6"/>
  <c r="E109" i="12"/>
  <c r="F109" i="6"/>
  <c r="U37" i="5"/>
  <c r="E148" i="12"/>
  <c r="F148" i="6"/>
  <c r="E71" i="12"/>
  <c r="F71" i="6"/>
  <c r="U78" i="5"/>
  <c r="E135" i="12"/>
  <c r="F135" i="6"/>
  <c r="E26" i="12"/>
  <c r="F26" i="6"/>
  <c r="U27" i="5"/>
  <c r="F19" i="6"/>
  <c r="E19" i="12"/>
  <c r="G28" i="6"/>
  <c r="F28" i="12"/>
  <c r="F80" i="12"/>
  <c r="G80" i="6"/>
  <c r="G40" i="6"/>
  <c r="F40" i="12"/>
  <c r="F50" i="12"/>
  <c r="G50" i="6"/>
  <c r="F125" i="12"/>
  <c r="G125" i="6"/>
  <c r="F95" i="6"/>
  <c r="E95" i="12"/>
  <c r="F84" i="12"/>
  <c r="G84" i="6"/>
  <c r="U143" i="5"/>
  <c r="F123" i="12"/>
  <c r="G123" i="6"/>
  <c r="E85" i="12"/>
  <c r="F85" i="6"/>
  <c r="F144" i="12"/>
  <c r="G144" i="6"/>
  <c r="E36" i="12"/>
  <c r="F36" i="6"/>
  <c r="U73" i="5"/>
  <c r="F129" i="6"/>
  <c r="E129" i="12"/>
  <c r="U96" i="5"/>
  <c r="F43" i="12"/>
  <c r="G43" i="6"/>
  <c r="U108" i="5"/>
  <c r="F159" i="12"/>
  <c r="G159" i="6"/>
  <c r="F45" i="12"/>
  <c r="G45" i="6"/>
  <c r="U109" i="5"/>
  <c r="G160" i="6"/>
  <c r="F160" i="12"/>
  <c r="E37" i="12"/>
  <c r="F37" i="6"/>
  <c r="E90" i="12"/>
  <c r="F90" i="6"/>
  <c r="G148" i="6"/>
  <c r="F148" i="12"/>
  <c r="U71" i="5"/>
  <c r="F78" i="6"/>
  <c r="E78" i="12"/>
  <c r="F135" i="12"/>
  <c r="G135" i="6"/>
  <c r="U26" i="5"/>
  <c r="F27" i="6"/>
  <c r="E27" i="12"/>
  <c r="E32" i="12"/>
  <c r="F32" i="6"/>
  <c r="U28" i="5"/>
  <c r="U80" i="5"/>
  <c r="F136" i="6"/>
  <c r="E136" i="12"/>
  <c r="U40" i="5"/>
  <c r="E50" i="12"/>
  <c r="F50" i="6"/>
  <c r="F125" i="6"/>
  <c r="E125" i="12"/>
  <c r="U95" i="5"/>
  <c r="F84" i="6"/>
  <c r="E84" i="12"/>
  <c r="F143" i="12"/>
  <c r="G143" i="6"/>
  <c r="U123" i="5"/>
  <c r="F85" i="12"/>
  <c r="G85" i="6"/>
  <c r="E144" i="12"/>
  <c r="F144" i="6"/>
  <c r="F36" i="12"/>
  <c r="G36" i="6"/>
  <c r="F73" i="6"/>
  <c r="E73" i="12"/>
  <c r="F129" i="12"/>
  <c r="G129" i="6"/>
  <c r="G96" i="6"/>
  <c r="F96" i="12"/>
  <c r="U43" i="5"/>
  <c r="E108" i="12"/>
  <c r="F108" i="6"/>
  <c r="E159" i="12"/>
  <c r="F159" i="6"/>
  <c r="F45" i="6"/>
  <c r="E45" i="12"/>
  <c r="G109" i="6"/>
  <c r="F109" i="12"/>
  <c r="F160" i="6"/>
  <c r="E160" i="12"/>
  <c r="F37" i="12"/>
  <c r="G37" i="6"/>
  <c r="F90" i="12"/>
  <c r="G90" i="6"/>
  <c r="U148" i="5"/>
  <c r="G71" i="6"/>
  <c r="F71" i="12"/>
  <c r="F78" i="12"/>
  <c r="G78" i="6"/>
  <c r="U135" i="5"/>
  <c r="F26" i="12"/>
  <c r="G26" i="6"/>
  <c r="G27" i="6"/>
  <c r="F27" i="12"/>
  <c r="F32" i="12"/>
  <c r="G32" i="6"/>
  <c r="E28" i="12"/>
  <c r="F28" i="6"/>
  <c r="U150" i="5"/>
  <c r="E97" i="12"/>
  <c r="F97" i="6"/>
  <c r="U138" i="5"/>
  <c r="F140" i="12"/>
  <c r="G140" i="6"/>
  <c r="U122" i="5"/>
  <c r="U99" i="5"/>
  <c r="E155" i="12"/>
  <c r="F155" i="6"/>
  <c r="U44" i="5"/>
  <c r="U100" i="5"/>
  <c r="E142" i="12"/>
  <c r="F142" i="6"/>
  <c r="F115" i="12"/>
  <c r="G115" i="6"/>
  <c r="U145" i="5"/>
  <c r="G69" i="6"/>
  <c r="F69" i="12"/>
  <c r="F61" i="12"/>
  <c r="G61" i="6"/>
  <c r="F105" i="12"/>
  <c r="G105" i="6"/>
  <c r="U151" i="5"/>
  <c r="U62" i="5"/>
  <c r="F117" i="6"/>
  <c r="E117" i="12"/>
  <c r="F121" i="6"/>
  <c r="E121" i="12"/>
  <c r="F46" i="6"/>
  <c r="E46" i="12"/>
  <c r="F110" i="6"/>
  <c r="E110" i="12"/>
  <c r="F38" i="6"/>
  <c r="E38" i="12"/>
  <c r="U149" i="5"/>
  <c r="G25" i="6"/>
  <c r="F25" i="12"/>
  <c r="F30" i="12"/>
  <c r="G30" i="6"/>
  <c r="E92" i="12"/>
  <c r="F92" i="6"/>
  <c r="F150" i="12"/>
  <c r="G150" i="6"/>
  <c r="F97" i="12"/>
  <c r="G97" i="6"/>
  <c r="E138" i="12"/>
  <c r="F138" i="6"/>
  <c r="F140" i="6"/>
  <c r="E140" i="12"/>
  <c r="E122" i="12"/>
  <c r="F122" i="6"/>
  <c r="F99" i="6"/>
  <c r="E99" i="12"/>
  <c r="G155" i="6"/>
  <c r="F155" i="12"/>
  <c r="G44" i="6"/>
  <c r="F44" i="12"/>
  <c r="E100" i="12"/>
  <c r="F100" i="6"/>
  <c r="G142" i="6"/>
  <c r="F142" i="12"/>
  <c r="E115" i="12"/>
  <c r="F115" i="6"/>
  <c r="F86" i="12"/>
  <c r="G86" i="6"/>
  <c r="F145" i="6"/>
  <c r="E145" i="12"/>
  <c r="U69" i="5"/>
  <c r="U61" i="5"/>
  <c r="U105" i="5"/>
  <c r="F151" i="6"/>
  <c r="E151" i="12"/>
  <c r="F62" i="12"/>
  <c r="G62" i="6"/>
  <c r="F117" i="12"/>
  <c r="G117" i="6"/>
  <c r="U121" i="5"/>
  <c r="U46" i="5"/>
  <c r="F110" i="12"/>
  <c r="G110" i="6"/>
  <c r="F161" i="6"/>
  <c r="E161" i="12"/>
  <c r="F38" i="12"/>
  <c r="G38" i="6"/>
  <c r="E91" i="12"/>
  <c r="F91" i="6"/>
  <c r="F149" i="12"/>
  <c r="G149" i="6"/>
  <c r="U25" i="5"/>
  <c r="E22" i="12"/>
  <c r="F22" i="6"/>
  <c r="E30" i="12"/>
  <c r="F30" i="6"/>
  <c r="F21" i="12"/>
  <c r="AC21" i="5" a="1"/>
  <c r="AC21" i="5" s="1"/>
  <c r="F33" i="12"/>
  <c r="AC33" i="5" a="1"/>
  <c r="AC33" i="5" s="1"/>
  <c r="G14" i="6"/>
  <c r="F14" i="12"/>
  <c r="AC14" i="5" a="1"/>
  <c r="AC14" i="5" s="1"/>
  <c r="J14" i="6" s="1" a="1"/>
  <c r="J14" i="6" s="1"/>
  <c r="F14" i="6"/>
  <c r="E14" i="12"/>
  <c r="F23" i="12"/>
  <c r="AC23" i="5" a="1"/>
  <c r="AC23" i="5" s="1"/>
  <c r="F16" i="12"/>
  <c r="AC16" i="5" a="1"/>
  <c r="AC16" i="5" s="1"/>
  <c r="F17" i="12"/>
  <c r="AC17" i="5" a="1"/>
  <c r="AC17" i="5" s="1"/>
  <c r="W46" i="5" l="1"/>
  <c r="AN46" i="5"/>
  <c r="AC46" i="5" s="1" a="1"/>
  <c r="AC46" i="5" s="1"/>
  <c r="J46" i="6" s="1" a="1"/>
  <c r="J46" i="6" s="1"/>
  <c r="W99" i="5"/>
  <c r="AN99" i="5"/>
  <c r="AC99" i="5" s="1" a="1"/>
  <c r="AC99" i="5" s="1"/>
  <c r="J99" i="6" s="1" a="1"/>
  <c r="J99" i="6" s="1"/>
  <c r="W109" i="5"/>
  <c r="AN109" i="5"/>
  <c r="AC109" i="5" s="1" a="1"/>
  <c r="AC109" i="5" s="1"/>
  <c r="J109" i="6" s="1" a="1"/>
  <c r="J109" i="6" s="1"/>
  <c r="W144" i="5"/>
  <c r="AN144" i="5"/>
  <c r="AC144" i="5" s="1" a="1"/>
  <c r="AC144" i="5" s="1"/>
  <c r="J144" i="6" s="1" a="1"/>
  <c r="J144" i="6" s="1"/>
  <c r="AN65" i="5"/>
  <c r="AC65" i="5" s="1" a="1"/>
  <c r="AC65" i="5" s="1"/>
  <c r="J65" i="6" s="1" a="1"/>
  <c r="J65" i="6" s="1"/>
  <c r="W65" i="5"/>
  <c r="AN42" i="5"/>
  <c r="AC42" i="5" s="1" a="1"/>
  <c r="AC42" i="5" s="1"/>
  <c r="J42" i="6" s="1" a="1"/>
  <c r="J42" i="6" s="1"/>
  <c r="W42" i="5"/>
  <c r="AN34" i="5"/>
  <c r="AC34" i="5" s="1" a="1"/>
  <c r="AC34" i="5" s="1"/>
  <c r="J34" i="6" s="1" a="1"/>
  <c r="J34" i="6" s="1"/>
  <c r="W34" i="5"/>
  <c r="AN79" i="5"/>
  <c r="AC79" i="5" s="1" a="1"/>
  <c r="AC79" i="5" s="1"/>
  <c r="J79" i="6" s="1" a="1"/>
  <c r="J79" i="6" s="1"/>
  <c r="W79" i="5"/>
  <c r="AN25" i="5"/>
  <c r="AC25" i="5" s="1" a="1"/>
  <c r="AC25" i="5" s="1"/>
  <c r="J25" i="6" s="1" a="1"/>
  <c r="J25" i="6" s="1"/>
  <c r="W25" i="5"/>
  <c r="AN121" i="5"/>
  <c r="AC121" i="5" s="1" a="1"/>
  <c r="AC121" i="5" s="1"/>
  <c r="J121" i="6" s="1" a="1"/>
  <c r="J121" i="6" s="1"/>
  <c r="W121" i="5"/>
  <c r="W122" i="5"/>
  <c r="AN122" i="5"/>
  <c r="AC122" i="5" s="1" a="1"/>
  <c r="AC122" i="5" s="1"/>
  <c r="J122" i="6" s="1" a="1"/>
  <c r="J122" i="6" s="1"/>
  <c r="W43" i="5"/>
  <c r="AN43" i="5"/>
  <c r="AC43" i="5" s="1" a="1"/>
  <c r="AC43" i="5" s="1"/>
  <c r="J43" i="6" s="1" a="1"/>
  <c r="J43" i="6" s="1"/>
  <c r="AN40" i="5"/>
  <c r="W40" i="5"/>
  <c r="W27" i="5"/>
  <c r="AN27" i="5"/>
  <c r="AC27" i="5" s="1" a="1"/>
  <c r="AC27" i="5" s="1"/>
  <c r="J27" i="6" s="1" a="1"/>
  <c r="J27" i="6" s="1"/>
  <c r="AN119" i="5"/>
  <c r="AC119" i="5" s="1" a="1"/>
  <c r="AC119" i="5" s="1"/>
  <c r="J119" i="6" s="1" a="1"/>
  <c r="J119" i="6" s="1"/>
  <c r="W119" i="5"/>
  <c r="AN98" i="5"/>
  <c r="AC98" i="5" s="1" a="1"/>
  <c r="AC98" i="5" s="1"/>
  <c r="J98" i="6" s="1" a="1"/>
  <c r="J98" i="6" s="1"/>
  <c r="W98" i="5"/>
  <c r="AN123" i="5"/>
  <c r="AC123" i="5" s="1" a="1"/>
  <c r="AC123" i="5" s="1"/>
  <c r="J123" i="6" s="1" a="1"/>
  <c r="J123" i="6" s="1"/>
  <c r="W123" i="5"/>
  <c r="AN64" i="5"/>
  <c r="AC64" i="5" s="1" a="1"/>
  <c r="AC64" i="5" s="1"/>
  <c r="J64" i="6" s="1" a="1"/>
  <c r="J64" i="6" s="1"/>
  <c r="W64" i="5"/>
  <c r="W117" i="5"/>
  <c r="AN117" i="5"/>
  <c r="AC117" i="5" s="1" a="1"/>
  <c r="AC117" i="5" s="1"/>
  <c r="J117" i="6" s="1" a="1"/>
  <c r="J117" i="6" s="1"/>
  <c r="W145" i="5"/>
  <c r="AN145" i="5"/>
  <c r="AC145" i="5" s="1" a="1"/>
  <c r="AC145" i="5" s="1"/>
  <c r="J145" i="6" s="1" a="1"/>
  <c r="J145" i="6" s="1"/>
  <c r="AN71" i="5"/>
  <c r="AC71" i="5" s="1" a="1"/>
  <c r="AC71" i="5" s="1"/>
  <c r="J71" i="6" s="1" a="1"/>
  <c r="J71" i="6" s="1"/>
  <c r="W71" i="5"/>
  <c r="W152" i="5"/>
  <c r="AN152" i="5"/>
  <c r="AC152" i="5" s="1" a="1"/>
  <c r="AC152" i="5" s="1"/>
  <c r="J152" i="6" s="1" a="1"/>
  <c r="J152" i="6" s="1"/>
  <c r="AN146" i="5"/>
  <c r="AC146" i="5" s="1" a="1"/>
  <c r="AC146" i="5" s="1"/>
  <c r="J146" i="6" s="1" a="1"/>
  <c r="J146" i="6" s="1"/>
  <c r="W146" i="5"/>
  <c r="AN68" i="5"/>
  <c r="AC68" i="5" s="1" a="1"/>
  <c r="AC68" i="5" s="1"/>
  <c r="J68" i="6" s="1" a="1"/>
  <c r="J68" i="6" s="1"/>
  <c r="W68" i="5"/>
  <c r="W153" i="5"/>
  <c r="AN153" i="5"/>
  <c r="AC153" i="5" s="1" a="1"/>
  <c r="AC153" i="5" s="1"/>
  <c r="J153" i="6" s="1" a="1"/>
  <c r="J153" i="6" s="1"/>
  <c r="AN76" i="5"/>
  <c r="AC76" i="5" s="1" a="1"/>
  <c r="AC76" i="5" s="1"/>
  <c r="J76" i="6" s="1" a="1"/>
  <c r="J76" i="6" s="1"/>
  <c r="W76" i="5"/>
  <c r="W24" i="5"/>
  <c r="AN24" i="5"/>
  <c r="AC24" i="5" s="1" a="1"/>
  <c r="AC24" i="5" s="1"/>
  <c r="J24" i="6" s="1" a="1"/>
  <c r="J24" i="6" s="1"/>
  <c r="AN107" i="5"/>
  <c r="AC107" i="5" s="1" a="1"/>
  <c r="AC107" i="5" s="1"/>
  <c r="J107" i="6" s="1" a="1"/>
  <c r="J107" i="6" s="1"/>
  <c r="W107" i="5"/>
  <c r="W138" i="5"/>
  <c r="AN138" i="5"/>
  <c r="AC138" i="5" s="1" a="1"/>
  <c r="AC138" i="5" s="1"/>
  <c r="J138" i="6" s="1" a="1"/>
  <c r="J138" i="6" s="1"/>
  <c r="AN135" i="5"/>
  <c r="AC135" i="5" s="1" a="1"/>
  <c r="AC135" i="5" s="1"/>
  <c r="J135" i="6" s="1" a="1"/>
  <c r="J135" i="6" s="1"/>
  <c r="W135" i="5"/>
  <c r="W80" i="5"/>
  <c r="AN80" i="5"/>
  <c r="AC80" i="5" s="1" a="1"/>
  <c r="AC80" i="5" s="1"/>
  <c r="J80" i="6" s="1" a="1"/>
  <c r="J80" i="6" s="1"/>
  <c r="W106" i="5"/>
  <c r="AN106" i="5"/>
  <c r="AC106" i="5" s="1" a="1"/>
  <c r="AC106" i="5" s="1"/>
  <c r="J106" i="6" s="1" a="1"/>
  <c r="J106" i="6" s="1"/>
  <c r="AN140" i="5"/>
  <c r="AC140" i="5" s="1" a="1"/>
  <c r="AC140" i="5" s="1"/>
  <c r="J140" i="6" s="1" a="1"/>
  <c r="J140" i="6" s="1"/>
  <c r="W140" i="5"/>
  <c r="AN28" i="5"/>
  <c r="AC28" i="5" s="1" a="1"/>
  <c r="AC28" i="5" s="1"/>
  <c r="J28" i="6" s="1" a="1"/>
  <c r="J28" i="6" s="1"/>
  <c r="W28" i="5"/>
  <c r="AN108" i="5"/>
  <c r="AC108" i="5" s="1" a="1"/>
  <c r="AC108" i="5" s="1"/>
  <c r="J108" i="6" s="1" a="1"/>
  <c r="J108" i="6" s="1"/>
  <c r="W108" i="5"/>
  <c r="W72" i="5"/>
  <c r="AN72" i="5"/>
  <c r="AC72" i="5" s="1" a="1"/>
  <c r="AC72" i="5" s="1"/>
  <c r="J72" i="6" s="1" a="1"/>
  <c r="J72" i="6" s="1"/>
  <c r="AN47" i="5"/>
  <c r="AC47" i="5" s="1" a="1"/>
  <c r="AC47" i="5" s="1"/>
  <c r="J47" i="6" s="1" a="1"/>
  <c r="J47" i="6" s="1"/>
  <c r="W47" i="5"/>
  <c r="AN75" i="5"/>
  <c r="AC75" i="5" s="1" a="1"/>
  <c r="AC75" i="5" s="1"/>
  <c r="J75" i="6" s="1" a="1"/>
  <c r="J75" i="6" s="1"/>
  <c r="W75" i="5"/>
  <c r="W139" i="5"/>
  <c r="AN139" i="5"/>
  <c r="AC139" i="5" s="1" a="1"/>
  <c r="AC139" i="5" s="1"/>
  <c r="J139" i="6" s="1" a="1"/>
  <c r="J139" i="6" s="1"/>
  <c r="W115" i="5"/>
  <c r="AN115" i="5"/>
  <c r="AC115" i="5" s="1" a="1"/>
  <c r="AC115" i="5" s="1"/>
  <c r="J115" i="6" s="1" a="1"/>
  <c r="J115" i="6" s="1"/>
  <c r="AN78" i="5"/>
  <c r="AC78" i="5" s="1" a="1"/>
  <c r="AC78" i="5" s="1"/>
  <c r="J78" i="6" s="1" a="1"/>
  <c r="J78" i="6" s="1"/>
  <c r="W78" i="5"/>
  <c r="AN77" i="5"/>
  <c r="AC77" i="5" s="1" a="1"/>
  <c r="AC77" i="5" s="1"/>
  <c r="J77" i="6" s="1" a="1"/>
  <c r="J77" i="6" s="1"/>
  <c r="W77" i="5"/>
  <c r="AN81" i="5"/>
  <c r="AC81" i="5" s="1" a="1"/>
  <c r="AC81" i="5" s="1"/>
  <c r="J81" i="6" s="1" a="1"/>
  <c r="J81" i="6" s="1"/>
  <c r="W81" i="5"/>
  <c r="AN137" i="5"/>
  <c r="AC137" i="5" s="1" a="1"/>
  <c r="AC137" i="5" s="1"/>
  <c r="J137" i="6" s="1" a="1"/>
  <c r="J137" i="6" s="1"/>
  <c r="W137" i="5"/>
  <c r="AN154" i="5"/>
  <c r="AC154" i="5" s="1" a="1"/>
  <c r="AC154" i="5" s="1"/>
  <c r="J154" i="6" s="1" a="1"/>
  <c r="J154" i="6" s="1"/>
  <c r="W154" i="5"/>
  <c r="W39" i="5"/>
  <c r="AN39" i="5"/>
  <c r="AC39" i="5" s="1" a="1"/>
  <c r="AC39" i="5" s="1"/>
  <c r="J39" i="6" s="1" a="1"/>
  <c r="J39" i="6" s="1"/>
  <c r="AN112" i="5"/>
  <c r="AC112" i="5" s="1" a="1"/>
  <c r="AC112" i="5" s="1"/>
  <c r="J112" i="6" s="1" a="1"/>
  <c r="J112" i="6" s="1"/>
  <c r="W112" i="5"/>
  <c r="AN38" i="5"/>
  <c r="AC38" i="5" s="1" a="1"/>
  <c r="AC38" i="5" s="1"/>
  <c r="J38" i="6" s="1" a="1"/>
  <c r="J38" i="6" s="1"/>
  <c r="W38" i="5"/>
  <c r="W142" i="5"/>
  <c r="AN142" i="5"/>
  <c r="AC142" i="5" s="1" a="1"/>
  <c r="AC142" i="5" s="1"/>
  <c r="J142" i="6" s="1" a="1"/>
  <c r="J142" i="6" s="1"/>
  <c r="W149" i="5"/>
  <c r="AN149" i="5"/>
  <c r="AC149" i="5" s="1" a="1"/>
  <c r="AC149" i="5" s="1"/>
  <c r="J149" i="6" s="1" a="1"/>
  <c r="J149" i="6" s="1"/>
  <c r="AN62" i="5"/>
  <c r="AC62" i="5" s="1" a="1"/>
  <c r="AC62" i="5" s="1"/>
  <c r="J62" i="6" s="1" a="1"/>
  <c r="J62" i="6" s="1"/>
  <c r="W62" i="5"/>
  <c r="W150" i="5"/>
  <c r="AN150" i="5"/>
  <c r="AC150" i="5" s="1" a="1"/>
  <c r="AC150" i="5" s="1"/>
  <c r="J150" i="6" s="1" a="1"/>
  <c r="J150" i="6" s="1"/>
  <c r="W95" i="5"/>
  <c r="AN95" i="5"/>
  <c r="AC95" i="5" s="1" a="1"/>
  <c r="AC95" i="5" s="1"/>
  <c r="J95" i="6" s="1" a="1"/>
  <c r="J95" i="6" s="1"/>
  <c r="AN63" i="5"/>
  <c r="AC63" i="5" s="1" a="1"/>
  <c r="AC63" i="5" s="1"/>
  <c r="J63" i="6" s="1" a="1"/>
  <c r="J63" i="6" s="1"/>
  <c r="W63" i="5"/>
  <c r="AN97" i="5"/>
  <c r="AC97" i="5" s="1" a="1"/>
  <c r="AC97" i="5" s="1"/>
  <c r="J97" i="6" s="1" a="1"/>
  <c r="J97" i="6" s="1"/>
  <c r="W97" i="5"/>
  <c r="AN105" i="5"/>
  <c r="AC105" i="5" s="1" a="1"/>
  <c r="AC105" i="5" s="1"/>
  <c r="J105" i="6" s="1" a="1"/>
  <c r="J105" i="6" s="1"/>
  <c r="W105" i="5"/>
  <c r="AN151" i="5"/>
  <c r="AC151" i="5" s="1" a="1"/>
  <c r="AC151" i="5" s="1"/>
  <c r="J151" i="6" s="1" a="1"/>
  <c r="J151" i="6" s="1"/>
  <c r="W151" i="5"/>
  <c r="AN100" i="5"/>
  <c r="AC100" i="5" s="1" a="1"/>
  <c r="AC100" i="5" s="1"/>
  <c r="J100" i="6" s="1" a="1"/>
  <c r="J100" i="6" s="1"/>
  <c r="W100" i="5"/>
  <c r="AN96" i="5"/>
  <c r="AC96" i="5" s="1" a="1"/>
  <c r="AC96" i="5" s="1"/>
  <c r="J96" i="6" s="1" a="1"/>
  <c r="J96" i="6" s="1"/>
  <c r="W96" i="5"/>
  <c r="AN143" i="5"/>
  <c r="AC143" i="5" s="1" a="1"/>
  <c r="AC143" i="5" s="1"/>
  <c r="J143" i="6" s="1" a="1"/>
  <c r="J143" i="6" s="1"/>
  <c r="W143" i="5"/>
  <c r="AC40" i="5" a="1"/>
  <c r="AC40" i="5" s="1"/>
  <c r="J40" i="6" s="1" a="1"/>
  <c r="J40" i="6" s="1"/>
  <c r="AN18" i="5"/>
  <c r="AC18" i="5" s="1" a="1"/>
  <c r="AC18" i="5" s="1"/>
  <c r="J18" i="6" s="1" a="1"/>
  <c r="J18" i="6" s="1"/>
  <c r="W18" i="5"/>
  <c r="AN118" i="5"/>
  <c r="AC118" i="5" s="1" a="1"/>
  <c r="AC118" i="5" s="1"/>
  <c r="J118" i="6" s="1" a="1"/>
  <c r="J118" i="6" s="1"/>
  <c r="W118" i="5"/>
  <c r="W114" i="5"/>
  <c r="AN114" i="5"/>
  <c r="AC114" i="5" s="1" a="1"/>
  <c r="AC114" i="5" s="1"/>
  <c r="J114" i="6" s="1" a="1"/>
  <c r="J114" i="6" s="1"/>
  <c r="AN104" i="5"/>
  <c r="AC104" i="5" s="1" a="1"/>
  <c r="AC104" i="5" s="1"/>
  <c r="J104" i="6" s="1" a="1"/>
  <c r="J104" i="6" s="1"/>
  <c r="W104" i="5"/>
  <c r="W61" i="5"/>
  <c r="AN61" i="5"/>
  <c r="AC61" i="5" s="1" a="1"/>
  <c r="AC61" i="5" s="1"/>
  <c r="J61" i="6" s="1" a="1"/>
  <c r="J61" i="6" s="1"/>
  <c r="AN44" i="5"/>
  <c r="AC44" i="5" s="1" a="1"/>
  <c r="AC44" i="5" s="1"/>
  <c r="J44" i="6" s="1" a="1"/>
  <c r="J44" i="6" s="1"/>
  <c r="W44" i="5"/>
  <c r="W148" i="5"/>
  <c r="AN148" i="5"/>
  <c r="AC148" i="5" s="1" a="1"/>
  <c r="AC148" i="5" s="1"/>
  <c r="J148" i="6" s="1" a="1"/>
  <c r="J148" i="6" s="1"/>
  <c r="AN35" i="5"/>
  <c r="AC35" i="5" s="1" a="1"/>
  <c r="AC35" i="5" s="1"/>
  <c r="J35" i="6" s="1" a="1"/>
  <c r="J35" i="6" s="1"/>
  <c r="W35" i="5"/>
  <c r="AN120" i="5"/>
  <c r="AC120" i="5" s="1" a="1"/>
  <c r="AC120" i="5" s="1"/>
  <c r="J120" i="6" s="1" a="1"/>
  <c r="J120" i="6" s="1"/>
  <c r="W120" i="5"/>
  <c r="AN113" i="5"/>
  <c r="AC113" i="5" s="1" a="1"/>
  <c r="AC113" i="5" s="1"/>
  <c r="J113" i="6" s="1" a="1"/>
  <c r="J113" i="6" s="1"/>
  <c r="W113" i="5"/>
  <c r="AN30" i="5"/>
  <c r="AC30" i="5" s="1" a="1"/>
  <c r="AC30" i="5" s="1"/>
  <c r="J30" i="6" s="1" a="1"/>
  <c r="J30" i="6" s="1"/>
  <c r="W30" i="5"/>
  <c r="AN110" i="5"/>
  <c r="AC110" i="5" s="1" a="1"/>
  <c r="AC110" i="5" s="1"/>
  <c r="J110" i="6" s="1" a="1"/>
  <c r="J110" i="6" s="1"/>
  <c r="W110" i="5"/>
  <c r="AN69" i="5"/>
  <c r="AC69" i="5" s="1" a="1"/>
  <c r="AC69" i="5" s="1"/>
  <c r="J69" i="6" s="1" a="1"/>
  <c r="J69" i="6" s="1"/>
  <c r="W69" i="5"/>
  <c r="AN26" i="5"/>
  <c r="AC26" i="5" s="1" a="1"/>
  <c r="AC26" i="5" s="1"/>
  <c r="J26" i="6" s="1" a="1"/>
  <c r="J26" i="6" s="1"/>
  <c r="W26" i="5"/>
  <c r="AN103" i="5"/>
  <c r="AC103" i="5" s="1" a="1"/>
  <c r="AC103" i="5" s="1"/>
  <c r="J103" i="6" s="1" a="1"/>
  <c r="J103" i="6" s="1"/>
  <c r="W103" i="5"/>
  <c r="AN31" i="5"/>
  <c r="AC31" i="5" s="1" a="1"/>
  <c r="AC31" i="5" s="1"/>
  <c r="J31" i="6" s="1" a="1"/>
  <c r="J31" i="6" s="1"/>
  <c r="W31" i="5"/>
  <c r="W67" i="5"/>
  <c r="AN67" i="5"/>
  <c r="AC67" i="5" s="1" a="1"/>
  <c r="AC67" i="5" s="1"/>
  <c r="J67" i="6" s="1" a="1"/>
  <c r="J67" i="6" s="1"/>
  <c r="W111" i="5"/>
  <c r="AN111" i="5"/>
  <c r="AC111" i="5" s="1" a="1"/>
  <c r="AC111" i="5" s="1"/>
  <c r="J111" i="6" s="1" a="1"/>
  <c r="J111" i="6" s="1"/>
  <c r="AN102" i="5"/>
  <c r="AC102" i="5" s="1" a="1"/>
  <c r="AC102" i="5" s="1"/>
  <c r="J102" i="6" s="1" a="1"/>
  <c r="J102" i="6" s="1"/>
  <c r="W102" i="5"/>
  <c r="AN73" i="5"/>
  <c r="AC73" i="5" s="1" a="1"/>
  <c r="AC73" i="5" s="1"/>
  <c r="J73" i="6" s="1" a="1"/>
  <c r="J73" i="6" s="1"/>
  <c r="W73" i="5"/>
  <c r="AN37" i="5"/>
  <c r="AC37" i="5" s="1" a="1"/>
  <c r="AC37" i="5" s="1"/>
  <c r="J37" i="6" s="1" a="1"/>
  <c r="J37" i="6" s="1"/>
  <c r="W37" i="5"/>
  <c r="W36" i="5"/>
  <c r="AN36" i="5"/>
  <c r="AC36" i="5" s="1" a="1"/>
  <c r="AC36" i="5" s="1"/>
  <c r="J36" i="6" s="1" a="1"/>
  <c r="J36" i="6" s="1"/>
  <c r="AN147" i="5"/>
  <c r="AC147" i="5" s="1" a="1"/>
  <c r="AC147" i="5" s="1"/>
  <c r="J147" i="6" s="1" a="1"/>
  <c r="J147" i="6" s="1"/>
  <c r="W147" i="5"/>
  <c r="AN70" i="5"/>
  <c r="AC70" i="5" s="1" a="1"/>
  <c r="AC70" i="5" s="1"/>
  <c r="J70" i="6" s="1" a="1"/>
  <c r="J70" i="6" s="1"/>
  <c r="W70" i="5"/>
  <c r="W29" i="5"/>
  <c r="AN29" i="5"/>
  <c r="AC29" i="5" s="1" a="1"/>
  <c r="AC29" i="5" s="1"/>
  <c r="J29" i="6" s="1" a="1"/>
  <c r="J29" i="6" s="1"/>
  <c r="W155" i="5"/>
  <c r="AN155" i="5"/>
  <c r="AC155" i="5" s="1" a="1"/>
  <c r="AC155" i="5" s="1"/>
  <c r="J155" i="6" s="1" a="1"/>
  <c r="J155" i="6" s="1"/>
  <c r="AG164" i="5"/>
  <c r="AG19" i="5"/>
  <c r="U19" i="5" l="1"/>
  <c r="U164" i="5"/>
  <c r="AN37" i="6"/>
  <c r="AJ37" i="6"/>
  <c r="AL37" i="6"/>
  <c r="AO37" i="6"/>
  <c r="H37" i="12"/>
  <c r="AK37" i="6"/>
  <c r="AM37" i="6"/>
  <c r="AM103" i="6"/>
  <c r="AL103" i="6"/>
  <c r="AO103" i="6"/>
  <c r="H103" i="12"/>
  <c r="AK103" i="6"/>
  <c r="AJ103" i="6"/>
  <c r="AN103" i="6"/>
  <c r="H120" i="12"/>
  <c r="AO120" i="6"/>
  <c r="AK120" i="6"/>
  <c r="AL120" i="6"/>
  <c r="AN120" i="6"/>
  <c r="AM120" i="6"/>
  <c r="AJ120" i="6"/>
  <c r="AN28" i="6"/>
  <c r="AL28" i="6"/>
  <c r="AM28" i="6"/>
  <c r="AJ28" i="6"/>
  <c r="AK28" i="6"/>
  <c r="H28" i="12"/>
  <c r="AO28" i="6"/>
  <c r="AJ107" i="6"/>
  <c r="H107" i="12"/>
  <c r="AN107" i="6"/>
  <c r="AL107" i="6"/>
  <c r="AO107" i="6"/>
  <c r="AK107" i="6"/>
  <c r="AM107" i="6"/>
  <c r="AL122" i="6"/>
  <c r="AJ122" i="6"/>
  <c r="AN122" i="6"/>
  <c r="H122" i="12"/>
  <c r="AO122" i="6"/>
  <c r="AK122" i="6"/>
  <c r="AM122" i="6"/>
  <c r="AK114" i="6"/>
  <c r="H114" i="12"/>
  <c r="AN114" i="6"/>
  <c r="AM114" i="6"/>
  <c r="AJ114" i="6"/>
  <c r="AL114" i="6"/>
  <c r="AO114" i="6"/>
  <c r="AJ151" i="6"/>
  <c r="X151" i="5" s="1" a="1"/>
  <c r="X151" i="5" s="1"/>
  <c r="AL151" i="6"/>
  <c r="AM151" i="6"/>
  <c r="AO151" i="6"/>
  <c r="AN151" i="6"/>
  <c r="H151" i="12"/>
  <c r="AK151" i="6"/>
  <c r="AM150" i="6"/>
  <c r="AJ150" i="6"/>
  <c r="AL150" i="6"/>
  <c r="AK150" i="6"/>
  <c r="AO150" i="6"/>
  <c r="AN150" i="6"/>
  <c r="H150" i="12"/>
  <c r="AO39" i="6"/>
  <c r="AJ39" i="6"/>
  <c r="H39" i="12"/>
  <c r="AK39" i="6"/>
  <c r="AL39" i="6"/>
  <c r="AN39" i="6"/>
  <c r="AM39" i="6"/>
  <c r="AM115" i="6"/>
  <c r="AN115" i="6"/>
  <c r="AL115" i="6"/>
  <c r="AJ115" i="6"/>
  <c r="AK115" i="6"/>
  <c r="AO115" i="6"/>
  <c r="H115" i="12"/>
  <c r="AM152" i="6"/>
  <c r="AL152" i="6"/>
  <c r="AO152" i="6"/>
  <c r="AJ152" i="6"/>
  <c r="AK152" i="6"/>
  <c r="H152" i="12"/>
  <c r="AN152" i="6"/>
  <c r="AO98" i="6"/>
  <c r="H98" i="12"/>
  <c r="AK98" i="6"/>
  <c r="AJ98" i="6"/>
  <c r="AL98" i="6"/>
  <c r="AN98" i="6"/>
  <c r="AM98" i="6"/>
  <c r="AL121" i="6"/>
  <c r="AJ121" i="6"/>
  <c r="AN121" i="6"/>
  <c r="AM121" i="6"/>
  <c r="H121" i="12"/>
  <c r="AO121" i="6"/>
  <c r="AK121" i="6"/>
  <c r="AN73" i="6"/>
  <c r="AO73" i="6"/>
  <c r="AM73" i="6"/>
  <c r="H73" i="12"/>
  <c r="AL73" i="6"/>
  <c r="AK73" i="6"/>
  <c r="AJ73" i="6"/>
  <c r="AM26" i="6"/>
  <c r="H26" i="12"/>
  <c r="AJ26" i="6"/>
  <c r="AK26" i="6"/>
  <c r="AL26" i="6"/>
  <c r="AO26" i="6"/>
  <c r="AN26" i="6"/>
  <c r="AL35" i="6"/>
  <c r="AN35" i="6"/>
  <c r="AJ35" i="6"/>
  <c r="H35" i="12"/>
  <c r="AK35" i="6"/>
  <c r="AO35" i="6"/>
  <c r="AM35" i="6"/>
  <c r="AJ118" i="6"/>
  <c r="H118" i="12"/>
  <c r="AM118" i="6"/>
  <c r="AO118" i="6"/>
  <c r="AL118" i="6"/>
  <c r="AN118" i="6"/>
  <c r="AK118" i="6"/>
  <c r="AO62" i="6"/>
  <c r="H62" i="12"/>
  <c r="AK62" i="6"/>
  <c r="AL62" i="6"/>
  <c r="AN62" i="6"/>
  <c r="AJ62" i="6"/>
  <c r="AM62" i="6"/>
  <c r="AL154" i="6"/>
  <c r="H154" i="12"/>
  <c r="AM154" i="6"/>
  <c r="AJ154" i="6"/>
  <c r="AO154" i="6"/>
  <c r="AN154" i="6"/>
  <c r="AK154" i="6"/>
  <c r="AL140" i="6"/>
  <c r="AJ140" i="6"/>
  <c r="AN140" i="6"/>
  <c r="AK140" i="6"/>
  <c r="AM140" i="6"/>
  <c r="H140" i="12"/>
  <c r="AO140" i="6"/>
  <c r="AN71" i="6"/>
  <c r="AJ71" i="6"/>
  <c r="AK71" i="6"/>
  <c r="AM71" i="6"/>
  <c r="AL71" i="6"/>
  <c r="H71" i="12"/>
  <c r="AO71" i="6"/>
  <c r="AK144" i="6"/>
  <c r="AO144" i="6"/>
  <c r="H144" i="12"/>
  <c r="AL144" i="6"/>
  <c r="AN144" i="6"/>
  <c r="AJ144" i="6"/>
  <c r="AM144" i="6"/>
  <c r="H155" i="12"/>
  <c r="AO155" i="6"/>
  <c r="AM155" i="6"/>
  <c r="AN155" i="6"/>
  <c r="AK155" i="6"/>
  <c r="AJ155" i="6"/>
  <c r="AL155" i="6"/>
  <c r="AL105" i="6"/>
  <c r="AK105" i="6"/>
  <c r="AN105" i="6"/>
  <c r="AJ105" i="6"/>
  <c r="H105" i="12"/>
  <c r="AO105" i="6"/>
  <c r="AM105" i="6"/>
  <c r="AJ139" i="6"/>
  <c r="AK139" i="6"/>
  <c r="AM139" i="6"/>
  <c r="H139" i="12"/>
  <c r="AN139" i="6"/>
  <c r="AO139" i="6"/>
  <c r="AL139" i="6"/>
  <c r="AL24" i="6"/>
  <c r="AM24" i="6"/>
  <c r="AJ24" i="6"/>
  <c r="AO24" i="6"/>
  <c r="AK24" i="6"/>
  <c r="H24" i="12"/>
  <c r="AN24" i="6"/>
  <c r="AK119" i="6"/>
  <c r="AM119" i="6"/>
  <c r="AN119" i="6"/>
  <c r="AO119" i="6"/>
  <c r="AJ119" i="6"/>
  <c r="AL119" i="6"/>
  <c r="H119" i="12"/>
  <c r="AK25" i="6"/>
  <c r="AO25" i="6"/>
  <c r="AL25" i="6"/>
  <c r="AM25" i="6"/>
  <c r="AN25" i="6"/>
  <c r="H25" i="12"/>
  <c r="AJ25" i="6"/>
  <c r="AN102" i="6"/>
  <c r="AL102" i="6"/>
  <c r="AK102" i="6"/>
  <c r="AJ102" i="6"/>
  <c r="AO102" i="6"/>
  <c r="H102" i="12"/>
  <c r="AM102" i="6"/>
  <c r="AO69" i="6"/>
  <c r="H69" i="12"/>
  <c r="AN69" i="6"/>
  <c r="AK69" i="6"/>
  <c r="AJ69" i="6"/>
  <c r="AL69" i="6"/>
  <c r="AM69" i="6"/>
  <c r="AK18" i="6"/>
  <c r="AM18" i="6"/>
  <c r="AO18" i="6"/>
  <c r="H18" i="12"/>
  <c r="AN18" i="6"/>
  <c r="AL18" i="6"/>
  <c r="AJ18" i="6"/>
  <c r="AK137" i="6"/>
  <c r="AJ137" i="6"/>
  <c r="AM137" i="6"/>
  <c r="H137" i="12"/>
  <c r="AO137" i="6"/>
  <c r="AN137" i="6"/>
  <c r="AL137" i="6"/>
  <c r="AM75" i="6"/>
  <c r="AK75" i="6"/>
  <c r="AJ75" i="6"/>
  <c r="AO75" i="6"/>
  <c r="AN75" i="6"/>
  <c r="AL75" i="6"/>
  <c r="H75" i="12"/>
  <c r="AO76" i="6"/>
  <c r="H76" i="12"/>
  <c r="AN76" i="6"/>
  <c r="AM76" i="6"/>
  <c r="AL76" i="6"/>
  <c r="AK76" i="6"/>
  <c r="AJ76" i="6"/>
  <c r="AM109" i="6"/>
  <c r="AJ109" i="6"/>
  <c r="H109" i="12"/>
  <c r="AK109" i="6"/>
  <c r="AO109" i="6"/>
  <c r="AN109" i="6"/>
  <c r="AL109" i="6"/>
  <c r="H29" i="12"/>
  <c r="AL29" i="6"/>
  <c r="AM29" i="6"/>
  <c r="AJ29" i="6"/>
  <c r="AK29" i="6"/>
  <c r="AN29" i="6"/>
  <c r="AO29" i="6"/>
  <c r="AK148" i="6"/>
  <c r="AO148" i="6"/>
  <c r="AM148" i="6"/>
  <c r="H148" i="12"/>
  <c r="AL148" i="6"/>
  <c r="AJ148" i="6"/>
  <c r="AN148" i="6"/>
  <c r="H149" i="12"/>
  <c r="AL149" i="6"/>
  <c r="AN149" i="6"/>
  <c r="AJ149" i="6"/>
  <c r="AM149" i="6"/>
  <c r="AO149" i="6"/>
  <c r="AK149" i="6"/>
  <c r="AM106" i="6"/>
  <c r="AL106" i="6"/>
  <c r="AJ106" i="6"/>
  <c r="H106" i="12"/>
  <c r="AO106" i="6"/>
  <c r="AK106" i="6"/>
  <c r="AN106" i="6"/>
  <c r="AO145" i="6"/>
  <c r="AN145" i="6"/>
  <c r="AM145" i="6"/>
  <c r="AJ145" i="6"/>
  <c r="AL145" i="6"/>
  <c r="H145" i="12"/>
  <c r="AK145" i="6"/>
  <c r="AK79" i="6"/>
  <c r="AN79" i="6"/>
  <c r="AO79" i="6"/>
  <c r="AL79" i="6"/>
  <c r="H79" i="12"/>
  <c r="AJ79" i="6"/>
  <c r="AM79" i="6"/>
  <c r="AJ70" i="6"/>
  <c r="AO70" i="6"/>
  <c r="H70" i="12"/>
  <c r="AN70" i="6"/>
  <c r="AK70" i="6"/>
  <c r="AM70" i="6"/>
  <c r="AL70" i="6"/>
  <c r="AN110" i="6"/>
  <c r="AM110" i="6"/>
  <c r="H110" i="12"/>
  <c r="AJ110" i="6"/>
  <c r="AL110" i="6"/>
  <c r="AO110" i="6"/>
  <c r="AK110" i="6"/>
  <c r="AN44" i="6"/>
  <c r="AL44" i="6"/>
  <c r="AO44" i="6"/>
  <c r="H44" i="12"/>
  <c r="AK44" i="6"/>
  <c r="AM44" i="6"/>
  <c r="AJ44" i="6"/>
  <c r="AK97" i="6"/>
  <c r="AN97" i="6"/>
  <c r="H97" i="12"/>
  <c r="AL97" i="6"/>
  <c r="AO97" i="6"/>
  <c r="AM97" i="6"/>
  <c r="AJ97" i="6"/>
  <c r="AO81" i="6"/>
  <c r="AN81" i="6"/>
  <c r="AL81" i="6"/>
  <c r="AM81" i="6"/>
  <c r="AJ81" i="6"/>
  <c r="AK81" i="6"/>
  <c r="H81" i="12"/>
  <c r="AO47" i="6"/>
  <c r="H47" i="12"/>
  <c r="AM47" i="6"/>
  <c r="AJ47" i="6"/>
  <c r="AK47" i="6"/>
  <c r="AN47" i="6"/>
  <c r="AL47" i="6"/>
  <c r="AN27" i="6"/>
  <c r="AK27" i="6"/>
  <c r="H27" i="12"/>
  <c r="AM27" i="6"/>
  <c r="AJ27" i="6"/>
  <c r="AO27" i="6"/>
  <c r="AL27" i="6"/>
  <c r="AN99" i="6"/>
  <c r="H99" i="12"/>
  <c r="AO99" i="6"/>
  <c r="AJ99" i="6"/>
  <c r="AL99" i="6"/>
  <c r="AM99" i="6"/>
  <c r="AK99" i="6"/>
  <c r="AM111" i="6"/>
  <c r="AO111" i="6"/>
  <c r="AL111" i="6"/>
  <c r="AN111" i="6"/>
  <c r="AJ111" i="6"/>
  <c r="H111" i="12"/>
  <c r="AK111" i="6"/>
  <c r="AM143" i="6"/>
  <c r="AO143" i="6"/>
  <c r="AL143" i="6"/>
  <c r="AN143" i="6"/>
  <c r="AK143" i="6"/>
  <c r="AJ143" i="6"/>
  <c r="H143" i="12"/>
  <c r="AL142" i="6"/>
  <c r="H142" i="12"/>
  <c r="AN142" i="6"/>
  <c r="AJ142" i="6"/>
  <c r="AO142" i="6"/>
  <c r="AM142" i="6"/>
  <c r="AK142" i="6"/>
  <c r="AO80" i="6"/>
  <c r="H80" i="12"/>
  <c r="AN80" i="6"/>
  <c r="AJ80" i="6"/>
  <c r="AK80" i="6"/>
  <c r="AL80" i="6"/>
  <c r="AM80" i="6"/>
  <c r="AJ153" i="6"/>
  <c r="AO153" i="6"/>
  <c r="AN153" i="6"/>
  <c r="AK153" i="6"/>
  <c r="AL153" i="6"/>
  <c r="H153" i="12"/>
  <c r="AM153" i="6"/>
  <c r="H117" i="12"/>
  <c r="AJ117" i="6"/>
  <c r="AM117" i="6"/>
  <c r="AO117" i="6"/>
  <c r="AN117" i="6"/>
  <c r="AL117" i="6"/>
  <c r="AK117" i="6"/>
  <c r="AL40" i="6"/>
  <c r="AJ40" i="6"/>
  <c r="AM40" i="6"/>
  <c r="AN40" i="6"/>
  <c r="H40" i="12"/>
  <c r="AO40" i="6"/>
  <c r="AK40" i="6"/>
  <c r="AO34" i="6"/>
  <c r="AK34" i="6"/>
  <c r="AN34" i="6"/>
  <c r="AJ34" i="6"/>
  <c r="AL34" i="6"/>
  <c r="H34" i="12"/>
  <c r="AM34" i="6"/>
  <c r="AM147" i="6"/>
  <c r="H147" i="12"/>
  <c r="AO147" i="6"/>
  <c r="AN147" i="6"/>
  <c r="AL147" i="6"/>
  <c r="AJ147" i="6"/>
  <c r="AK147" i="6"/>
  <c r="AN30" i="6"/>
  <c r="AL30" i="6"/>
  <c r="AM30" i="6"/>
  <c r="AK30" i="6"/>
  <c r="H30" i="12"/>
  <c r="AO30" i="6"/>
  <c r="AJ30" i="6"/>
  <c r="AM63" i="6"/>
  <c r="AO63" i="6"/>
  <c r="AJ63" i="6"/>
  <c r="AK63" i="6"/>
  <c r="H63" i="12"/>
  <c r="AL63" i="6"/>
  <c r="AN63" i="6"/>
  <c r="AN38" i="6"/>
  <c r="AJ38" i="6"/>
  <c r="H38" i="12"/>
  <c r="AL38" i="6"/>
  <c r="AO38" i="6"/>
  <c r="AK38" i="6"/>
  <c r="AM38" i="6"/>
  <c r="AO77" i="6"/>
  <c r="AL77" i="6"/>
  <c r="AJ77" i="6"/>
  <c r="AM77" i="6"/>
  <c r="AK77" i="6"/>
  <c r="AN77" i="6"/>
  <c r="H77" i="12"/>
  <c r="H135" i="12"/>
  <c r="AN135" i="6"/>
  <c r="AJ135" i="6"/>
  <c r="AO135" i="6"/>
  <c r="AK135" i="6"/>
  <c r="AM135" i="6"/>
  <c r="AL135" i="6"/>
  <c r="AJ68" i="6"/>
  <c r="AK68" i="6"/>
  <c r="AM68" i="6"/>
  <c r="AL68" i="6"/>
  <c r="H68" i="12"/>
  <c r="AO68" i="6"/>
  <c r="AN68" i="6"/>
  <c r="AN64" i="6"/>
  <c r="AO64" i="6"/>
  <c r="AM64" i="6"/>
  <c r="AK64" i="6"/>
  <c r="AL64" i="6"/>
  <c r="H64" i="12"/>
  <c r="AJ64" i="6"/>
  <c r="AO46" i="6"/>
  <c r="AL46" i="6"/>
  <c r="AM46" i="6"/>
  <c r="AN46" i="6"/>
  <c r="AK46" i="6"/>
  <c r="AJ46" i="6"/>
  <c r="H46" i="12"/>
  <c r="AO67" i="6"/>
  <c r="H67" i="12"/>
  <c r="AL67" i="6"/>
  <c r="AN67" i="6"/>
  <c r="AJ67" i="6"/>
  <c r="AK67" i="6"/>
  <c r="AM67" i="6"/>
  <c r="AK61" i="6"/>
  <c r="AJ61" i="6"/>
  <c r="H61" i="12"/>
  <c r="AN61" i="6"/>
  <c r="AO61" i="6"/>
  <c r="AL61" i="6"/>
  <c r="AM61" i="6"/>
  <c r="AL96" i="6"/>
  <c r="AJ96" i="6"/>
  <c r="H96" i="12"/>
  <c r="AK96" i="6"/>
  <c r="AN96" i="6"/>
  <c r="AO96" i="6"/>
  <c r="AM96" i="6"/>
  <c r="AO72" i="6"/>
  <c r="AK72" i="6"/>
  <c r="AM72" i="6"/>
  <c r="AN72" i="6"/>
  <c r="AL72" i="6"/>
  <c r="H72" i="12"/>
  <c r="AJ72" i="6"/>
  <c r="H42" i="12"/>
  <c r="AN42" i="6"/>
  <c r="AK42" i="6"/>
  <c r="AM42" i="6"/>
  <c r="AJ42" i="6"/>
  <c r="AL42" i="6"/>
  <c r="AO42" i="6"/>
  <c r="AO31" i="6"/>
  <c r="H31" i="12"/>
  <c r="AM31" i="6"/>
  <c r="AN31" i="6"/>
  <c r="AJ31" i="6"/>
  <c r="AK31" i="6"/>
  <c r="AL31" i="6"/>
  <c r="AN113" i="6"/>
  <c r="AL113" i="6"/>
  <c r="AK113" i="6"/>
  <c r="AM113" i="6"/>
  <c r="H113" i="12"/>
  <c r="AJ113" i="6"/>
  <c r="AO113" i="6"/>
  <c r="H104" i="12"/>
  <c r="AL104" i="6"/>
  <c r="AJ104" i="6"/>
  <c r="AK104" i="6"/>
  <c r="AN104" i="6"/>
  <c r="AO104" i="6"/>
  <c r="AM104" i="6"/>
  <c r="H112" i="12"/>
  <c r="AO112" i="6"/>
  <c r="AN112" i="6"/>
  <c r="AM112" i="6"/>
  <c r="AK112" i="6"/>
  <c r="AL112" i="6"/>
  <c r="AJ112" i="6"/>
  <c r="AO78" i="6"/>
  <c r="AK78" i="6"/>
  <c r="AN78" i="6"/>
  <c r="H78" i="12"/>
  <c r="AM78" i="6"/>
  <c r="V52" i="8" s="1" a="1"/>
  <c r="V52" i="8" s="1"/>
  <c r="AL78" i="6"/>
  <c r="AJ78" i="6"/>
  <c r="AM108" i="6"/>
  <c r="AL108" i="6"/>
  <c r="AJ108" i="6"/>
  <c r="AN108" i="6"/>
  <c r="H108" i="12"/>
  <c r="AK108" i="6"/>
  <c r="AO108" i="6"/>
  <c r="AK146" i="6"/>
  <c r="AN146" i="6"/>
  <c r="AO146" i="6"/>
  <c r="AM146" i="6"/>
  <c r="AJ146" i="6"/>
  <c r="H146" i="12"/>
  <c r="AL146" i="6"/>
  <c r="AO43" i="6"/>
  <c r="AK43" i="6"/>
  <c r="AN43" i="6"/>
  <c r="AJ43" i="6"/>
  <c r="AL43" i="6"/>
  <c r="AM43" i="6"/>
  <c r="H43" i="12"/>
  <c r="AO36" i="6"/>
  <c r="H36" i="12"/>
  <c r="AJ36" i="6"/>
  <c r="AL36" i="6"/>
  <c r="AM36" i="6"/>
  <c r="AN36" i="6"/>
  <c r="AK36" i="6"/>
  <c r="H100" i="12"/>
  <c r="AM100" i="6"/>
  <c r="AK100" i="6"/>
  <c r="AN100" i="6"/>
  <c r="AO100" i="6"/>
  <c r="AJ100" i="6"/>
  <c r="AL100" i="6"/>
  <c r="H95" i="12"/>
  <c r="AN95" i="6"/>
  <c r="W64" i="8" s="1" a="1"/>
  <c r="W64" i="8" s="1"/>
  <c r="AJ95" i="6"/>
  <c r="AM95" i="6"/>
  <c r="AK95" i="6"/>
  <c r="AL95" i="6"/>
  <c r="AO95" i="6"/>
  <c r="AM138" i="6"/>
  <c r="AN138" i="6"/>
  <c r="AL138" i="6"/>
  <c r="AO138" i="6"/>
  <c r="H138" i="12"/>
  <c r="AK138" i="6"/>
  <c r="AJ138" i="6"/>
  <c r="AO123" i="6"/>
  <c r="AJ123" i="6"/>
  <c r="AK123" i="6"/>
  <c r="AL123" i="6"/>
  <c r="H123" i="12"/>
  <c r="AM123" i="6"/>
  <c r="AN123" i="6"/>
  <c r="AO65" i="6"/>
  <c r="AN65" i="6"/>
  <c r="H65" i="12"/>
  <c r="AK65" i="6"/>
  <c r="AM65" i="6"/>
  <c r="AJ65" i="6"/>
  <c r="AL65" i="6"/>
  <c r="AG22" i="5"/>
  <c r="X63" i="5" l="1" a="1"/>
  <c r="X63" i="5" s="1"/>
  <c r="AM63" i="5" s="1"/>
  <c r="X100" i="5" a="1"/>
  <c r="X100" i="5" s="1"/>
  <c r="L100" i="5" s="1"/>
  <c r="X73" i="5" a="1"/>
  <c r="X73" i="5" s="1"/>
  <c r="X152" i="5" a="1"/>
  <c r="X152" i="5" s="1"/>
  <c r="L152" i="5" s="1"/>
  <c r="X120" i="5" a="1"/>
  <c r="X120" i="5" s="1"/>
  <c r="AM120" i="5" s="1"/>
  <c r="X43" i="5" a="1"/>
  <c r="X43" i="5" s="1"/>
  <c r="Z43" i="5" s="1"/>
  <c r="X31" i="5" a="1"/>
  <c r="X31" i="5" s="1"/>
  <c r="I31" i="12" s="1"/>
  <c r="X77" i="5" a="1"/>
  <c r="X77" i="5" s="1"/>
  <c r="X27" i="5" a="1"/>
  <c r="X27" i="5" s="1"/>
  <c r="I27" i="12" s="1"/>
  <c r="X110" i="5" a="1"/>
  <c r="X110" i="5" s="1"/>
  <c r="Z110" i="5" s="1"/>
  <c r="X79" i="5" a="1"/>
  <c r="X79" i="5" s="1"/>
  <c r="L79" i="5" s="1"/>
  <c r="X119" i="5" a="1"/>
  <c r="X119" i="5" s="1"/>
  <c r="X115" i="5" a="1"/>
  <c r="X115" i="5" s="1"/>
  <c r="I115" i="12" s="1"/>
  <c r="X37" i="5" a="1"/>
  <c r="X37" i="5" s="1"/>
  <c r="I37" i="12" s="1"/>
  <c r="X148" i="5" a="1"/>
  <c r="X148" i="5" s="1"/>
  <c r="X122" i="5" a="1"/>
  <c r="X122" i="5" s="1"/>
  <c r="L122" i="5" s="1"/>
  <c r="X36" i="5" a="1"/>
  <c r="X36" i="5" s="1"/>
  <c r="AM36" i="5" s="1"/>
  <c r="X146" i="5" a="1"/>
  <c r="X146" i="5" s="1"/>
  <c r="Z146" i="5" s="1"/>
  <c r="X78" i="5" a="1"/>
  <c r="X78" i="5" s="1"/>
  <c r="Z78" i="5" s="1"/>
  <c r="X99" i="5" a="1"/>
  <c r="X99" i="5" s="1"/>
  <c r="U22" i="5"/>
  <c r="Z85" i="8" a="1"/>
  <c r="Z85" i="8" s="1"/>
  <c r="X67" i="5" a="1"/>
  <c r="X67" i="5" s="1"/>
  <c r="X64" i="5" a="1"/>
  <c r="X64" i="5" s="1"/>
  <c r="W70" i="8" a="1"/>
  <c r="W70" i="8" s="1"/>
  <c r="X149" i="5" a="1"/>
  <c r="X149" i="5" s="1"/>
  <c r="X137" i="5" a="1"/>
  <c r="X137" i="5" s="1"/>
  <c r="X140" i="5" a="1"/>
  <c r="X140" i="5" s="1"/>
  <c r="X150" i="5" a="1"/>
  <c r="X150" i="5" s="1"/>
  <c r="I36" i="12"/>
  <c r="AM43" i="5"/>
  <c r="AM31" i="5"/>
  <c r="X72" i="5" a="1"/>
  <c r="X72" i="5" s="1"/>
  <c r="X96" i="5" a="1"/>
  <c r="X96" i="5" s="1"/>
  <c r="X68" i="5" a="1"/>
  <c r="X68" i="5" s="1"/>
  <c r="Z77" i="5"/>
  <c r="I77" i="12"/>
  <c r="L77" i="5"/>
  <c r="AM77" i="5"/>
  <c r="AM110" i="5"/>
  <c r="L110" i="5"/>
  <c r="I110" i="12"/>
  <c r="I79" i="12"/>
  <c r="AM79" i="5"/>
  <c r="Z79" i="5"/>
  <c r="I73" i="12"/>
  <c r="L73" i="5"/>
  <c r="AM73" i="5"/>
  <c r="Z73" i="5"/>
  <c r="X121" i="5" a="1"/>
  <c r="X121" i="5" s="1"/>
  <c r="I152" i="12"/>
  <c r="AM152" i="5"/>
  <c r="Z152" i="5"/>
  <c r="L120" i="5"/>
  <c r="Z120" i="5"/>
  <c r="I120" i="12"/>
  <c r="AM100" i="5"/>
  <c r="X112" i="5" a="1"/>
  <c r="X112" i="5" s="1"/>
  <c r="X147" i="5" a="1"/>
  <c r="X147" i="5" s="1"/>
  <c r="X18" i="5" a="1"/>
  <c r="X18" i="5" s="1"/>
  <c r="X139" i="5" a="1"/>
  <c r="X139" i="5" s="1"/>
  <c r="AM78" i="5"/>
  <c r="L78" i="5"/>
  <c r="I78" i="12"/>
  <c r="E46" i="8" a="1"/>
  <c r="E46" i="8" s="1"/>
  <c r="U46" i="8" a="1"/>
  <c r="U46" i="8" s="1"/>
  <c r="Z63" i="5"/>
  <c r="X117" i="5" a="1"/>
  <c r="X117" i="5" s="1"/>
  <c r="X80" i="5" a="1"/>
  <c r="X80" i="5" s="1"/>
  <c r="X143" i="5" a="1"/>
  <c r="X143" i="5" s="1"/>
  <c r="X81" i="5" a="1"/>
  <c r="X81" i="5" s="1"/>
  <c r="X44" i="5" a="1"/>
  <c r="X44" i="5" s="1"/>
  <c r="X109" i="5" a="1"/>
  <c r="X109" i="5" s="1"/>
  <c r="X35" i="5" a="1"/>
  <c r="X35" i="5" s="1"/>
  <c r="X104" i="5" a="1"/>
  <c r="X104" i="5" s="1"/>
  <c r="X123" i="5" a="1"/>
  <c r="X123" i="5" s="1"/>
  <c r="X108" i="5" a="1"/>
  <c r="X108" i="5" s="1"/>
  <c r="X75" i="5" a="1"/>
  <c r="X75" i="5" s="1"/>
  <c r="X65" i="5" a="1"/>
  <c r="X65" i="5" s="1"/>
  <c r="X95" i="5" a="1"/>
  <c r="X95" i="5" s="1"/>
  <c r="X113" i="5" a="1"/>
  <c r="X113" i="5" s="1"/>
  <c r="X76" i="5" a="1"/>
  <c r="X76" i="5" s="1"/>
  <c r="X24" i="5" a="1"/>
  <c r="X24" i="5" s="1"/>
  <c r="X71" i="5" a="1"/>
  <c r="X71" i="5" s="1"/>
  <c r="X154" i="5" a="1"/>
  <c r="X154" i="5" s="1"/>
  <c r="X39" i="5" a="1"/>
  <c r="X39" i="5" s="1"/>
  <c r="X107" i="5" a="1"/>
  <c r="X107" i="5" s="1"/>
  <c r="X138" i="5" a="1"/>
  <c r="X138" i="5" s="1"/>
  <c r="X46" i="5" a="1"/>
  <c r="X46" i="5" s="1"/>
  <c r="X135" i="5" a="1"/>
  <c r="X135" i="5" s="1"/>
  <c r="X30" i="5" a="1"/>
  <c r="X30" i="5" s="1"/>
  <c r="X106" i="5" a="1"/>
  <c r="X106" i="5" s="1"/>
  <c r="X29" i="5" a="1"/>
  <c r="X29" i="5" s="1"/>
  <c r="X105" i="5" a="1"/>
  <c r="X105" i="5" s="1"/>
  <c r="X144" i="5" a="1"/>
  <c r="X144" i="5" s="1"/>
  <c r="X98" i="5" a="1"/>
  <c r="X98" i="5" s="1"/>
  <c r="X102" i="5" a="1"/>
  <c r="X102" i="5" s="1"/>
  <c r="I146" i="12"/>
  <c r="L99" i="5"/>
  <c r="Z99" i="5"/>
  <c r="AM99" i="5"/>
  <c r="I99" i="12"/>
  <c r="X42" i="5" a="1"/>
  <c r="X42" i="5" s="1"/>
  <c r="X61" i="5" a="1"/>
  <c r="X61" i="5" s="1"/>
  <c r="W28" i="8" a="1"/>
  <c r="W28" i="8" s="1"/>
  <c r="X40" i="5" a="1"/>
  <c r="X40" i="5" s="1"/>
  <c r="X97" i="5" a="1"/>
  <c r="X97" i="5" s="1"/>
  <c r="I119" i="12"/>
  <c r="AM119" i="5"/>
  <c r="L119" i="5"/>
  <c r="Z119" i="5"/>
  <c r="L115" i="5"/>
  <c r="AM115" i="5"/>
  <c r="AM151" i="5"/>
  <c r="I151" i="12"/>
  <c r="Z151" i="5"/>
  <c r="L151" i="5"/>
  <c r="Z37" i="5"/>
  <c r="X47" i="5" a="1"/>
  <c r="X47" i="5" s="1"/>
  <c r="I148" i="12"/>
  <c r="Z148" i="5"/>
  <c r="L148" i="5"/>
  <c r="AM148" i="5"/>
  <c r="Z122" i="5"/>
  <c r="I122" i="12"/>
  <c r="AM122" i="5"/>
  <c r="X28" i="5" a="1"/>
  <c r="X28" i="5" s="1"/>
  <c r="X103" i="5" a="1"/>
  <c r="X103" i="5" s="1"/>
  <c r="X38" i="5" a="1"/>
  <c r="X38" i="5" s="1"/>
  <c r="U49" i="8" a="1"/>
  <c r="U49" i="8" s="1"/>
  <c r="E49" i="8" a="1"/>
  <c r="E49" i="8" s="1"/>
  <c r="U28" i="8" a="1"/>
  <c r="U28" i="8" s="1"/>
  <c r="E28" i="8" a="1"/>
  <c r="E28" i="8" s="1"/>
  <c r="X142" i="5" a="1"/>
  <c r="X142" i="5" s="1"/>
  <c r="X145" i="5" a="1"/>
  <c r="X145" i="5" s="1"/>
  <c r="X67" i="8" a="1"/>
  <c r="X67" i="8" s="1"/>
  <c r="X62" i="5" a="1"/>
  <c r="X62" i="5" s="1"/>
  <c r="X118" i="5" a="1"/>
  <c r="X118" i="5" s="1"/>
  <c r="X26" i="5" a="1"/>
  <c r="X26" i="5" s="1"/>
  <c r="W164" i="5"/>
  <c r="AN164" i="5"/>
  <c r="AC164" i="5" s="1" a="1"/>
  <c r="AC164" i="5" s="1"/>
  <c r="J164" i="6" s="1" a="1"/>
  <c r="J164" i="6" s="1"/>
  <c r="X34" i="5" a="1"/>
  <c r="X34" i="5" s="1"/>
  <c r="X153" i="5" a="1"/>
  <c r="X153" i="5" s="1"/>
  <c r="X111" i="5" a="1"/>
  <c r="X111" i="5" s="1"/>
  <c r="X70" i="5" a="1"/>
  <c r="X70" i="5" s="1"/>
  <c r="X69" i="5" a="1"/>
  <c r="X69" i="5" s="1"/>
  <c r="X25" i="5" a="1"/>
  <c r="X25" i="5" s="1"/>
  <c r="X155" i="5" a="1"/>
  <c r="X155" i="5" s="1"/>
  <c r="X114" i="5" a="1"/>
  <c r="X114" i="5" s="1"/>
  <c r="AN19" i="5"/>
  <c r="AC19" i="5" s="1" a="1"/>
  <c r="AC19" i="5" s="1"/>
  <c r="W19" i="5"/>
  <c r="Z115" i="5" l="1"/>
  <c r="I63" i="12"/>
  <c r="L31" i="5"/>
  <c r="AM37" i="5"/>
  <c r="L146" i="5"/>
  <c r="C146" i="6" s="1"/>
  <c r="L63" i="5"/>
  <c r="I100" i="12"/>
  <c r="L27" i="5"/>
  <c r="L43" i="5"/>
  <c r="AM146" i="5"/>
  <c r="L37" i="5"/>
  <c r="Z100" i="5"/>
  <c r="Z27" i="5"/>
  <c r="I43" i="12"/>
  <c r="AM27" i="5"/>
  <c r="Z36" i="5"/>
  <c r="L36" i="5"/>
  <c r="Z31" i="5"/>
  <c r="I103" i="12"/>
  <c r="L103" i="5"/>
  <c r="C103" i="6" s="1"/>
  <c r="AM103" i="5"/>
  <c r="Z103" i="5"/>
  <c r="M115" i="12"/>
  <c r="C115" i="12"/>
  <c r="O115" i="12"/>
  <c r="AO115" i="12"/>
  <c r="Y115" i="12" s="1"/>
  <c r="H19" i="12"/>
  <c r="AK19" i="6"/>
  <c r="AJ19" i="6"/>
  <c r="AL19" i="6"/>
  <c r="AM19" i="6"/>
  <c r="AN19" i="6"/>
  <c r="AO19" i="6"/>
  <c r="I139" i="12"/>
  <c r="Z139" i="5"/>
  <c r="AM139" i="5"/>
  <c r="L139" i="5"/>
  <c r="AB73" i="5"/>
  <c r="AB110" i="5"/>
  <c r="L96" i="5"/>
  <c r="AM96" i="5"/>
  <c r="I96" i="12"/>
  <c r="Z96" i="5"/>
  <c r="I118" i="12"/>
  <c r="AM118" i="5"/>
  <c r="Z118" i="5"/>
  <c r="L118" i="5"/>
  <c r="C115" i="6"/>
  <c r="AM39" i="5"/>
  <c r="Z39" i="5"/>
  <c r="L39" i="5"/>
  <c r="I39" i="12"/>
  <c r="I114" i="12"/>
  <c r="L114" i="5"/>
  <c r="Z114" i="5"/>
  <c r="AM114" i="5"/>
  <c r="AM62" i="5"/>
  <c r="Z62" i="5"/>
  <c r="I62" i="12"/>
  <c r="L62" i="5"/>
  <c r="C122" i="6"/>
  <c r="AB115" i="5"/>
  <c r="O99" i="12"/>
  <c r="C99" i="12"/>
  <c r="M99" i="12"/>
  <c r="AO99" i="12"/>
  <c r="Z98" i="5"/>
  <c r="L98" i="5"/>
  <c r="I98" i="12"/>
  <c r="AM98" i="5"/>
  <c r="Z154" i="5"/>
  <c r="L154" i="5"/>
  <c r="AM154" i="5"/>
  <c r="I154" i="12"/>
  <c r="AM104" i="5"/>
  <c r="Z104" i="5"/>
  <c r="L104" i="5"/>
  <c r="I104" i="12"/>
  <c r="AB63" i="5"/>
  <c r="AB120" i="5"/>
  <c r="C73" i="6"/>
  <c r="C27" i="6"/>
  <c r="C36" i="6"/>
  <c r="L153" i="5"/>
  <c r="I153" i="12"/>
  <c r="AM153" i="5"/>
  <c r="Z153" i="5"/>
  <c r="AM61" i="5"/>
  <c r="Z61" i="5"/>
  <c r="I61" i="12"/>
  <c r="X60" i="5" a="1"/>
  <c r="X60" i="5" s="1"/>
  <c r="L61" i="5"/>
  <c r="I61" i="5"/>
  <c r="I62" i="5" s="1"/>
  <c r="I63" i="5" s="1"/>
  <c r="Z155" i="5"/>
  <c r="L155" i="5"/>
  <c r="AM155" i="5"/>
  <c r="I155" i="12"/>
  <c r="C37" i="6"/>
  <c r="AM144" i="5"/>
  <c r="Z144" i="5"/>
  <c r="I144" i="12"/>
  <c r="L144" i="5"/>
  <c r="L71" i="5"/>
  <c r="Z71" i="5"/>
  <c r="AM71" i="5"/>
  <c r="I71" i="12"/>
  <c r="C63" i="6"/>
  <c r="C120" i="6"/>
  <c r="O73" i="12"/>
  <c r="M73" i="12"/>
  <c r="C73" i="12"/>
  <c r="AO73" i="12"/>
  <c r="AO27" i="12"/>
  <c r="C27" i="12"/>
  <c r="O27" i="12"/>
  <c r="M27" i="12"/>
  <c r="C31" i="6"/>
  <c r="O36" i="12"/>
  <c r="C36" i="12"/>
  <c r="AO36" i="12"/>
  <c r="M36" i="12"/>
  <c r="Z25" i="5"/>
  <c r="AM25" i="5"/>
  <c r="L25" i="5"/>
  <c r="I25" i="12"/>
  <c r="I145" i="12"/>
  <c r="L145" i="5"/>
  <c r="AM145" i="5"/>
  <c r="Z145" i="5"/>
  <c r="C122" i="12"/>
  <c r="M122" i="12"/>
  <c r="AO122" i="12"/>
  <c r="Y122" i="12" s="1"/>
  <c r="O122" i="12"/>
  <c r="O37" i="12"/>
  <c r="C37" i="12"/>
  <c r="AO37" i="12"/>
  <c r="M37" i="12"/>
  <c r="AB119" i="5"/>
  <c r="AB99" i="5"/>
  <c r="I105" i="12"/>
  <c r="Z105" i="5"/>
  <c r="AM105" i="5"/>
  <c r="L105" i="5"/>
  <c r="C105" i="6" s="1"/>
  <c r="I24" i="5"/>
  <c r="I25" i="5" s="1"/>
  <c r="I26" i="5" s="1"/>
  <c r="I27" i="5" s="1"/>
  <c r="I28" i="5" s="1"/>
  <c r="I29" i="5" s="1"/>
  <c r="I30" i="5" s="1"/>
  <c r="I31" i="5" s="1"/>
  <c r="O31" i="5" s="1"/>
  <c r="Z24" i="5"/>
  <c r="L24" i="5"/>
  <c r="AM24" i="5"/>
  <c r="I24" i="12"/>
  <c r="I35" i="12"/>
  <c r="AM35" i="5"/>
  <c r="Z35" i="5"/>
  <c r="L35" i="5"/>
  <c r="Z18" i="5"/>
  <c r="I18" i="5"/>
  <c r="I18" i="12"/>
  <c r="L18" i="5"/>
  <c r="AM18" i="5"/>
  <c r="AB27" i="5"/>
  <c r="AO148" i="12"/>
  <c r="O148" i="12"/>
  <c r="N148" i="12" s="1"/>
  <c r="C148" i="12"/>
  <c r="M148" i="12"/>
  <c r="L69" i="5"/>
  <c r="I69" i="12"/>
  <c r="AM69" i="5"/>
  <c r="Z69" i="5"/>
  <c r="C119" i="6"/>
  <c r="Z147" i="5"/>
  <c r="AM147" i="5"/>
  <c r="I147" i="12"/>
  <c r="L147" i="5"/>
  <c r="AB79" i="5"/>
  <c r="AB31" i="5"/>
  <c r="Z150" i="5"/>
  <c r="I150" i="12"/>
  <c r="L150" i="5"/>
  <c r="AM150" i="5"/>
  <c r="AN164" i="6"/>
  <c r="AM164" i="6"/>
  <c r="AO164" i="6"/>
  <c r="Z94" i="8" s="1" a="1"/>
  <c r="Z94" i="8" s="1"/>
  <c r="AL164" i="6"/>
  <c r="AJ164" i="6"/>
  <c r="AK164" i="6"/>
  <c r="H164" i="12"/>
  <c r="Z142" i="5"/>
  <c r="I142" i="12"/>
  <c r="L142" i="5"/>
  <c r="AM142" i="5"/>
  <c r="X141" i="5" a="1"/>
  <c r="X141" i="5" s="1"/>
  <c r="I142" i="5"/>
  <c r="I76" i="12"/>
  <c r="L76" i="5"/>
  <c r="Z76" i="5"/>
  <c r="AM76" i="5"/>
  <c r="AB152" i="5"/>
  <c r="C31" i="12"/>
  <c r="O31" i="12"/>
  <c r="N31" i="12" s="1"/>
  <c r="M31" i="12"/>
  <c r="AO31" i="12"/>
  <c r="L140" i="5"/>
  <c r="Z140" i="5"/>
  <c r="I140" i="12"/>
  <c r="AM140" i="5"/>
  <c r="AB122" i="5"/>
  <c r="C99" i="6"/>
  <c r="AM29" i="5"/>
  <c r="I29" i="12"/>
  <c r="L29" i="5"/>
  <c r="Z29" i="5"/>
  <c r="L70" i="5"/>
  <c r="Z70" i="5"/>
  <c r="I70" i="12"/>
  <c r="AM70" i="5"/>
  <c r="C151" i="6"/>
  <c r="I106" i="12"/>
  <c r="Z106" i="5"/>
  <c r="AM106" i="5"/>
  <c r="L106" i="5"/>
  <c r="Z109" i="5"/>
  <c r="L109" i="5"/>
  <c r="AM109" i="5"/>
  <c r="I109" i="12"/>
  <c r="I112" i="12"/>
  <c r="L112" i="5"/>
  <c r="Z112" i="5"/>
  <c r="AM112" i="5"/>
  <c r="L111" i="5"/>
  <c r="Z111" i="5"/>
  <c r="AM111" i="5"/>
  <c r="I111" i="12"/>
  <c r="AB151" i="5"/>
  <c r="O119" i="12"/>
  <c r="M119" i="12"/>
  <c r="C119" i="12"/>
  <c r="AO119" i="12"/>
  <c r="L30" i="5"/>
  <c r="Z30" i="5"/>
  <c r="I30" i="12"/>
  <c r="AM30" i="5"/>
  <c r="L113" i="5"/>
  <c r="I113" i="12"/>
  <c r="AM113" i="5"/>
  <c r="Z113" i="5"/>
  <c r="AM44" i="5"/>
  <c r="L44" i="5"/>
  <c r="I44" i="12"/>
  <c r="Z44" i="5"/>
  <c r="C79" i="6"/>
  <c r="I137" i="12"/>
  <c r="AM137" i="5"/>
  <c r="Z137" i="5"/>
  <c r="L137" i="5"/>
  <c r="C148" i="6"/>
  <c r="AO151" i="12"/>
  <c r="C151" i="12"/>
  <c r="O151" i="12"/>
  <c r="N151" i="12" s="1"/>
  <c r="M151" i="12"/>
  <c r="L97" i="5"/>
  <c r="I97" i="12"/>
  <c r="AM97" i="5"/>
  <c r="Z97" i="5"/>
  <c r="Z135" i="5"/>
  <c r="I135" i="12"/>
  <c r="AM135" i="5"/>
  <c r="L135" i="5"/>
  <c r="I135" i="5"/>
  <c r="I95" i="12"/>
  <c r="AM95" i="5"/>
  <c r="L95" i="5"/>
  <c r="Z95" i="5"/>
  <c r="X94" i="5" a="1"/>
  <c r="X94" i="5" s="1"/>
  <c r="I95" i="5"/>
  <c r="I96" i="5" s="1"/>
  <c r="I97" i="5" s="1"/>
  <c r="I98" i="5" s="1"/>
  <c r="I99" i="5" s="1"/>
  <c r="I81" i="12"/>
  <c r="AM81" i="5"/>
  <c r="L81" i="5"/>
  <c r="C81" i="6" s="1"/>
  <c r="Z81" i="5"/>
  <c r="C78" i="12"/>
  <c r="M78" i="12"/>
  <c r="O78" i="12"/>
  <c r="AO78" i="12"/>
  <c r="Y78" i="12" s="1"/>
  <c r="C100" i="12"/>
  <c r="O100" i="12"/>
  <c r="AO100" i="12"/>
  <c r="M100" i="12"/>
  <c r="C152" i="6"/>
  <c r="M79" i="12"/>
  <c r="AO79" i="12"/>
  <c r="C79" i="12"/>
  <c r="O79" i="12"/>
  <c r="C77" i="6"/>
  <c r="C43" i="6"/>
  <c r="Z149" i="5"/>
  <c r="I149" i="12"/>
  <c r="L149" i="5"/>
  <c r="AM149" i="5"/>
  <c r="AB148" i="5"/>
  <c r="Z40" i="5"/>
  <c r="L40" i="5"/>
  <c r="C40" i="6" s="1"/>
  <c r="I40" i="12"/>
  <c r="AM40" i="5"/>
  <c r="AB146" i="5"/>
  <c r="I46" i="12"/>
  <c r="L46" i="5"/>
  <c r="AM46" i="5"/>
  <c r="Z46" i="5"/>
  <c r="AM65" i="5"/>
  <c r="L65" i="5"/>
  <c r="Z65" i="5"/>
  <c r="I65" i="12"/>
  <c r="AM143" i="5"/>
  <c r="Z143" i="5"/>
  <c r="I143" i="12"/>
  <c r="L143" i="5"/>
  <c r="I143" i="5"/>
  <c r="I144" i="5" s="1"/>
  <c r="I145" i="5" s="1"/>
  <c r="I146" i="5" s="1"/>
  <c r="C78" i="6"/>
  <c r="AB100" i="5"/>
  <c r="O152" i="12"/>
  <c r="C152" i="12"/>
  <c r="AO152" i="12"/>
  <c r="M152" i="12"/>
  <c r="C77" i="12"/>
  <c r="O77" i="12"/>
  <c r="N77" i="12" s="1"/>
  <c r="AO77" i="12"/>
  <c r="M77" i="12"/>
  <c r="AO43" i="12"/>
  <c r="M43" i="12"/>
  <c r="C43" i="12"/>
  <c r="O43" i="12"/>
  <c r="C146" i="12"/>
  <c r="O146" i="12"/>
  <c r="M146" i="12"/>
  <c r="AO146" i="12"/>
  <c r="I80" i="12"/>
  <c r="L80" i="5"/>
  <c r="Z80" i="5"/>
  <c r="AM80" i="5"/>
  <c r="C100" i="6"/>
  <c r="Z121" i="5"/>
  <c r="AM121" i="5"/>
  <c r="L121" i="5"/>
  <c r="I121" i="12"/>
  <c r="AO110" i="12"/>
  <c r="Y110" i="12" s="1"/>
  <c r="M110" i="12"/>
  <c r="C110" i="12"/>
  <c r="O110" i="12"/>
  <c r="AB77" i="5"/>
  <c r="AB43" i="5"/>
  <c r="Z64" i="5"/>
  <c r="L64" i="5"/>
  <c r="I64" i="12"/>
  <c r="AM64" i="5"/>
  <c r="AM138" i="5"/>
  <c r="L138" i="5"/>
  <c r="Z138" i="5"/>
  <c r="I138" i="12"/>
  <c r="L75" i="5"/>
  <c r="AM75" i="5"/>
  <c r="Z75" i="5"/>
  <c r="I75" i="12"/>
  <c r="X74" i="5" a="1"/>
  <c r="X74" i="5" s="1"/>
  <c r="I75" i="5"/>
  <c r="I76" i="5" s="1"/>
  <c r="I77" i="5" s="1"/>
  <c r="I117" i="12"/>
  <c r="Z117" i="5"/>
  <c r="L117" i="5"/>
  <c r="AM117" i="5"/>
  <c r="X116" i="5" a="1"/>
  <c r="X116" i="5" s="1"/>
  <c r="I117" i="5"/>
  <c r="I118" i="5" s="1"/>
  <c r="I119" i="5" s="1"/>
  <c r="AB78" i="5"/>
  <c r="C110" i="6"/>
  <c r="Z68" i="5"/>
  <c r="I68" i="12"/>
  <c r="AM68" i="5"/>
  <c r="L68" i="5"/>
  <c r="I67" i="12"/>
  <c r="X66" i="5" a="1"/>
  <c r="X66" i="5" s="1"/>
  <c r="L67" i="5"/>
  <c r="AM67" i="5"/>
  <c r="Z67" i="5"/>
  <c r="Z38" i="5"/>
  <c r="I38" i="12"/>
  <c r="L38" i="5"/>
  <c r="AM38" i="5"/>
  <c r="Z47" i="5"/>
  <c r="I47" i="12"/>
  <c r="L47" i="5"/>
  <c r="AM47" i="5"/>
  <c r="AM28" i="5"/>
  <c r="I28" i="12"/>
  <c r="L28" i="5"/>
  <c r="Z28" i="5"/>
  <c r="AM108" i="5"/>
  <c r="I108" i="12"/>
  <c r="Z108" i="5"/>
  <c r="L108" i="5"/>
  <c r="Z34" i="5"/>
  <c r="I34" i="12"/>
  <c r="X33" i="5" a="1"/>
  <c r="X33" i="5" s="1"/>
  <c r="AM34" i="5"/>
  <c r="L34" i="5"/>
  <c r="L26" i="5"/>
  <c r="I26" i="12"/>
  <c r="AM26" i="5"/>
  <c r="Z26" i="5"/>
  <c r="I42" i="12"/>
  <c r="L42" i="5"/>
  <c r="Z42" i="5"/>
  <c r="AM42" i="5"/>
  <c r="I42" i="5"/>
  <c r="I43" i="5" s="1"/>
  <c r="I44" i="5" s="1"/>
  <c r="Z107" i="5"/>
  <c r="I107" i="12"/>
  <c r="L107" i="5"/>
  <c r="AM107" i="5"/>
  <c r="J19" i="6" a="1"/>
  <c r="J19" i="6" s="1"/>
  <c r="AB37" i="5"/>
  <c r="AM102" i="5"/>
  <c r="I102" i="12"/>
  <c r="L102" i="5"/>
  <c r="Z102" i="5"/>
  <c r="X101" i="5" a="1"/>
  <c r="X101" i="5" s="1"/>
  <c r="I102" i="5"/>
  <c r="I103" i="5" s="1"/>
  <c r="O103" i="5" s="1"/>
  <c r="I123" i="12"/>
  <c r="Z123" i="5"/>
  <c r="L123" i="5"/>
  <c r="AM123" i="5"/>
  <c r="O63" i="12"/>
  <c r="N63" i="12" s="1"/>
  <c r="M63" i="12"/>
  <c r="C63" i="12"/>
  <c r="AO63" i="12"/>
  <c r="M120" i="12"/>
  <c r="O120" i="12"/>
  <c r="N120" i="12" s="1"/>
  <c r="AO120" i="12"/>
  <c r="C120" i="12"/>
  <c r="AM72" i="5"/>
  <c r="L72" i="5"/>
  <c r="Z72" i="5"/>
  <c r="I72" i="12"/>
  <c r="AB36" i="5"/>
  <c r="AN22" i="5"/>
  <c r="AC22" i="5" s="1" a="1"/>
  <c r="AC22" i="5" s="1"/>
  <c r="J22" i="6" s="1" a="1"/>
  <c r="J22" i="6" s="1"/>
  <c r="W22" i="5"/>
  <c r="Y79" i="12" l="1"/>
  <c r="N100" i="12"/>
  <c r="Y119" i="12"/>
  <c r="Y151" i="12"/>
  <c r="N99" i="12"/>
  <c r="Y43" i="12"/>
  <c r="N37" i="12"/>
  <c r="Y120" i="12"/>
  <c r="Y63" i="12"/>
  <c r="N146" i="12"/>
  <c r="Y100" i="12"/>
  <c r="Y99" i="12"/>
  <c r="O43" i="5"/>
  <c r="Y27" i="12"/>
  <c r="Y73" i="12"/>
  <c r="I120" i="5"/>
  <c r="O119" i="5"/>
  <c r="I100" i="5"/>
  <c r="O100" i="5" s="1"/>
  <c r="O99" i="5"/>
  <c r="I64" i="5"/>
  <c r="I65" i="5" s="1"/>
  <c r="I66" i="5" s="1"/>
  <c r="I67" i="5" s="1"/>
  <c r="I68" i="5" s="1"/>
  <c r="I69" i="5" s="1"/>
  <c r="I70" i="5" s="1"/>
  <c r="I71" i="5" s="1"/>
  <c r="I72" i="5" s="1"/>
  <c r="I73" i="5" s="1"/>
  <c r="O73" i="5" s="1"/>
  <c r="O63" i="5"/>
  <c r="I147" i="5"/>
  <c r="I148" i="5" s="1"/>
  <c r="O146" i="5"/>
  <c r="I78" i="5"/>
  <c r="O77" i="5"/>
  <c r="E31" i="6"/>
  <c r="D31" i="12"/>
  <c r="C123" i="12"/>
  <c r="AO123" i="12"/>
  <c r="M123" i="12"/>
  <c r="O123" i="12"/>
  <c r="O26" i="12"/>
  <c r="AO26" i="12"/>
  <c r="M26" i="12"/>
  <c r="C26" i="12"/>
  <c r="C38" i="6"/>
  <c r="AB68" i="5"/>
  <c r="AM74" i="5"/>
  <c r="S50" i="8"/>
  <c r="Z74" i="5"/>
  <c r="I74" i="12"/>
  <c r="L74" i="5"/>
  <c r="C64" i="12"/>
  <c r="M64" i="12"/>
  <c r="AO64" i="12"/>
  <c r="O64" i="12"/>
  <c r="AO121" i="12"/>
  <c r="O121" i="12"/>
  <c r="M121" i="12"/>
  <c r="C121" i="12"/>
  <c r="AB143" i="5"/>
  <c r="O149" i="12"/>
  <c r="M149" i="12"/>
  <c r="AO149" i="12"/>
  <c r="Y149" i="12" s="1"/>
  <c r="C149" i="12"/>
  <c r="M135" i="12"/>
  <c r="C135" i="12"/>
  <c r="O135" i="12"/>
  <c r="AO135" i="12"/>
  <c r="W119" i="12"/>
  <c r="X119" i="12"/>
  <c r="AO29" i="12"/>
  <c r="M29" i="12"/>
  <c r="O29" i="12"/>
  <c r="C29" i="12"/>
  <c r="O147" i="12"/>
  <c r="C147" i="12"/>
  <c r="AO147" i="12"/>
  <c r="M147" i="12"/>
  <c r="AB18" i="5"/>
  <c r="N122" i="12"/>
  <c r="AB25" i="5"/>
  <c r="AB155" i="5"/>
  <c r="C104" i="6"/>
  <c r="AB98" i="5"/>
  <c r="AB62" i="5"/>
  <c r="E103" i="6"/>
  <c r="D103" i="12"/>
  <c r="C121" i="6"/>
  <c r="AB149" i="5"/>
  <c r="AB135" i="5"/>
  <c r="AB104" i="5"/>
  <c r="S65" i="8"/>
  <c r="L101" i="5"/>
  <c r="I101" i="12"/>
  <c r="Z101" i="5"/>
  <c r="AM101" i="5"/>
  <c r="M107" i="12"/>
  <c r="AO107" i="12"/>
  <c r="O107" i="12"/>
  <c r="C107" i="12"/>
  <c r="C34" i="6"/>
  <c r="C28" i="6"/>
  <c r="O28" i="5"/>
  <c r="AB38" i="5"/>
  <c r="AB75" i="5"/>
  <c r="AB64" i="5"/>
  <c r="Y152" i="12"/>
  <c r="D43" i="12"/>
  <c r="E43" i="6"/>
  <c r="S62" i="8"/>
  <c r="AM94" i="5"/>
  <c r="L94" i="5"/>
  <c r="Z94" i="5"/>
  <c r="I94" i="12"/>
  <c r="C137" i="6"/>
  <c r="AB113" i="5"/>
  <c r="AB112" i="5"/>
  <c r="C106" i="12"/>
  <c r="AO106" i="12"/>
  <c r="M106" i="12"/>
  <c r="O106" i="12"/>
  <c r="N106" i="12" s="1"/>
  <c r="AB147" i="5"/>
  <c r="Y148" i="12"/>
  <c r="C35" i="6"/>
  <c r="AB105" i="5"/>
  <c r="Y36" i="12"/>
  <c r="N73" i="12"/>
  <c r="M144" i="12"/>
  <c r="AO144" i="12"/>
  <c r="O144" i="12"/>
  <c r="C144" i="12"/>
  <c r="C61" i="6"/>
  <c r="O61" i="5"/>
  <c r="O27" i="5"/>
  <c r="M38" i="12"/>
  <c r="O38" i="12"/>
  <c r="AO38" i="12"/>
  <c r="C38" i="12"/>
  <c r="C144" i="6"/>
  <c r="O144" i="5"/>
  <c r="AK22" i="6"/>
  <c r="AO22" i="6"/>
  <c r="Z22" i="8" s="1" a="1"/>
  <c r="Z22" i="8" s="1"/>
  <c r="AL22" i="6"/>
  <c r="V22" i="8" s="1" a="1"/>
  <c r="V22" i="8" s="1"/>
  <c r="H22" i="12"/>
  <c r="AN22" i="6"/>
  <c r="Y22" i="8" s="1" a="1"/>
  <c r="Y22" i="8" s="1"/>
  <c r="AJ22" i="6"/>
  <c r="AM22" i="6"/>
  <c r="W22" i="8" s="1" a="1"/>
  <c r="W22" i="8" s="1"/>
  <c r="AB102" i="5"/>
  <c r="AB107" i="5"/>
  <c r="O28" i="12"/>
  <c r="AO28" i="12"/>
  <c r="M28" i="12"/>
  <c r="C28" i="12"/>
  <c r="AB67" i="5"/>
  <c r="AB121" i="5"/>
  <c r="C65" i="12"/>
  <c r="AO65" i="12"/>
  <c r="M65" i="12"/>
  <c r="O65" i="12"/>
  <c r="O40" i="12"/>
  <c r="AO40" i="12"/>
  <c r="M40" i="12"/>
  <c r="C40" i="12"/>
  <c r="AB95" i="5"/>
  <c r="AB97" i="5"/>
  <c r="AB137" i="5"/>
  <c r="N119" i="12"/>
  <c r="C112" i="6"/>
  <c r="C142" i="6"/>
  <c r="O142" i="5"/>
  <c r="C150" i="6"/>
  <c r="AB35" i="5"/>
  <c r="C105" i="12"/>
  <c r="AO105" i="12"/>
  <c r="O105" i="12"/>
  <c r="M105" i="12"/>
  <c r="AB144" i="5"/>
  <c r="Z60" i="5"/>
  <c r="S44" i="8"/>
  <c r="L60" i="5"/>
  <c r="AM60" i="5"/>
  <c r="I60" i="12"/>
  <c r="C118" i="6"/>
  <c r="O118" i="5"/>
  <c r="X120" i="12"/>
  <c r="W120" i="12"/>
  <c r="C64" i="6"/>
  <c r="O64" i="5"/>
  <c r="Z141" i="5"/>
  <c r="I141" i="12"/>
  <c r="S83" i="8"/>
  <c r="L141" i="5"/>
  <c r="AM141" i="5"/>
  <c r="Z33" i="5"/>
  <c r="I33" i="12"/>
  <c r="AM33" i="5"/>
  <c r="L33" i="5"/>
  <c r="S26" i="8"/>
  <c r="C75" i="6"/>
  <c r="O75" i="5"/>
  <c r="N152" i="12"/>
  <c r="AB65" i="5"/>
  <c r="X78" i="12"/>
  <c r="W78" i="12"/>
  <c r="C95" i="6"/>
  <c r="O95" i="5"/>
  <c r="AO113" i="12"/>
  <c r="Y113" i="12" s="1"/>
  <c r="O113" i="12"/>
  <c r="M113" i="12"/>
  <c r="C113" i="12"/>
  <c r="O112" i="12"/>
  <c r="M112" i="12"/>
  <c r="C112" i="12"/>
  <c r="AO112" i="12"/>
  <c r="M142" i="12"/>
  <c r="M141" i="12" s="1"/>
  <c r="O142" i="12"/>
  <c r="AO142" i="12"/>
  <c r="C142" i="12"/>
  <c r="AO150" i="12"/>
  <c r="C150" i="12"/>
  <c r="M150" i="12"/>
  <c r="O150" i="12"/>
  <c r="N36" i="12"/>
  <c r="AO61" i="12"/>
  <c r="M61" i="12"/>
  <c r="M60" i="12" s="1"/>
  <c r="O61" i="12"/>
  <c r="C61" i="12"/>
  <c r="C154" i="12"/>
  <c r="O154" i="12"/>
  <c r="AO154" i="12"/>
  <c r="M154" i="12"/>
  <c r="AB114" i="5"/>
  <c r="AB118" i="5"/>
  <c r="W115" i="12"/>
  <c r="X115" i="12"/>
  <c r="X100" i="12"/>
  <c r="W100" i="12"/>
  <c r="AB106" i="5"/>
  <c r="X19" i="5" a="1"/>
  <c r="X19" i="5" s="1"/>
  <c r="X63" i="12"/>
  <c r="W63" i="12"/>
  <c r="C102" i="6"/>
  <c r="O102" i="5"/>
  <c r="M102" i="12"/>
  <c r="M101" i="12" s="1"/>
  <c r="AO102" i="12"/>
  <c r="O102" i="12"/>
  <c r="C102" i="12"/>
  <c r="C34" i="12"/>
  <c r="O34" i="12"/>
  <c r="M34" i="12"/>
  <c r="M33" i="12" s="1"/>
  <c r="AO34" i="12"/>
  <c r="C67" i="6"/>
  <c r="O67" i="5"/>
  <c r="N43" i="12"/>
  <c r="C65" i="6"/>
  <c r="O65" i="5"/>
  <c r="AB40" i="5"/>
  <c r="N78" i="12"/>
  <c r="O97" i="12"/>
  <c r="C97" i="12"/>
  <c r="M97" i="12"/>
  <c r="AO97" i="12"/>
  <c r="C137" i="12"/>
  <c r="AO137" i="12"/>
  <c r="O137" i="12"/>
  <c r="N137" i="12" s="1"/>
  <c r="M137" i="12"/>
  <c r="C113" i="6"/>
  <c r="AB142" i="5"/>
  <c r="AB150" i="5"/>
  <c r="C35" i="12"/>
  <c r="O35" i="12"/>
  <c r="AO35" i="12"/>
  <c r="M35" i="12"/>
  <c r="AB145" i="5"/>
  <c r="AB61" i="5"/>
  <c r="C114" i="6"/>
  <c r="C139" i="6"/>
  <c r="N115" i="12"/>
  <c r="AB34" i="5"/>
  <c r="Z66" i="5"/>
  <c r="AM66" i="5"/>
  <c r="I66" i="12"/>
  <c r="S47" i="8"/>
  <c r="L66" i="5"/>
  <c r="S68" i="8"/>
  <c r="L116" i="5"/>
  <c r="Z116" i="5"/>
  <c r="I116" i="12"/>
  <c r="AM116" i="5"/>
  <c r="O138" i="12"/>
  <c r="M138" i="12"/>
  <c r="C138" i="12"/>
  <c r="AO138" i="12"/>
  <c r="N79" i="12"/>
  <c r="AO95" i="12"/>
  <c r="M95" i="12"/>
  <c r="C95" i="12"/>
  <c r="O95" i="12"/>
  <c r="C97" i="6"/>
  <c r="O97" i="5"/>
  <c r="O109" i="12"/>
  <c r="M109" i="12"/>
  <c r="AO109" i="12"/>
  <c r="Y109" i="12" s="1"/>
  <c r="C109" i="12"/>
  <c r="C154" i="6"/>
  <c r="C114" i="12"/>
  <c r="M114" i="12"/>
  <c r="O114" i="12"/>
  <c r="AO114" i="12"/>
  <c r="M118" i="12"/>
  <c r="C118" i="12"/>
  <c r="O118" i="12"/>
  <c r="AO118" i="12"/>
  <c r="Y118" i="12" s="1"/>
  <c r="C26" i="6"/>
  <c r="O26" i="5"/>
  <c r="X99" i="12"/>
  <c r="W99" i="12"/>
  <c r="AB42" i="5"/>
  <c r="C47" i="6"/>
  <c r="O67" i="12"/>
  <c r="C67" i="12"/>
  <c r="AO67" i="12"/>
  <c r="M67" i="12"/>
  <c r="M66" i="12" s="1"/>
  <c r="AB138" i="5"/>
  <c r="N110" i="12"/>
  <c r="AB46" i="5"/>
  <c r="M30" i="12"/>
  <c r="O30" i="12"/>
  <c r="AO30" i="12"/>
  <c r="Y30" i="12" s="1"/>
  <c r="C30" i="12"/>
  <c r="AO70" i="12"/>
  <c r="C70" i="12"/>
  <c r="M70" i="12"/>
  <c r="O70" i="12"/>
  <c r="N70" i="12" s="1"/>
  <c r="AB69" i="5"/>
  <c r="M24" i="12"/>
  <c r="M23" i="12" s="1"/>
  <c r="O24" i="12"/>
  <c r="C24" i="12"/>
  <c r="AO24" i="12"/>
  <c r="C145" i="6"/>
  <c r="O145" i="5"/>
  <c r="AB154" i="5"/>
  <c r="AB139" i="5"/>
  <c r="AO72" i="12"/>
  <c r="M72" i="12"/>
  <c r="O72" i="12"/>
  <c r="N72" i="12" s="1"/>
  <c r="C72" i="12"/>
  <c r="C42" i="6"/>
  <c r="O42" i="5"/>
  <c r="C47" i="12"/>
  <c r="O47" i="12"/>
  <c r="M47" i="12"/>
  <c r="AO47" i="12"/>
  <c r="C117" i="6"/>
  <c r="O117" i="5"/>
  <c r="C138" i="6"/>
  <c r="AB80" i="5"/>
  <c r="X43" i="12"/>
  <c r="W43" i="12"/>
  <c r="X79" i="12"/>
  <c r="W79" i="12"/>
  <c r="AB81" i="5"/>
  <c r="AB30" i="5"/>
  <c r="M111" i="12"/>
  <c r="C111" i="12"/>
  <c r="AO111" i="12"/>
  <c r="O111" i="12"/>
  <c r="N111" i="12" s="1"/>
  <c r="C109" i="6"/>
  <c r="AB70" i="5"/>
  <c r="O140" i="12"/>
  <c r="C140" i="12"/>
  <c r="AO140" i="12"/>
  <c r="M140" i="12"/>
  <c r="X164" i="5" a="1"/>
  <c r="X164" i="5" s="1"/>
  <c r="M145" i="12"/>
  <c r="AO145" i="12"/>
  <c r="O145" i="12"/>
  <c r="C145" i="12"/>
  <c r="N27" i="12"/>
  <c r="AO71" i="12"/>
  <c r="O71" i="12"/>
  <c r="M71" i="12"/>
  <c r="C71" i="12"/>
  <c r="AB153" i="5"/>
  <c r="AO39" i="12"/>
  <c r="O39" i="12"/>
  <c r="M39" i="12"/>
  <c r="C39" i="12"/>
  <c r="AB96" i="5"/>
  <c r="O139" i="12"/>
  <c r="M139" i="12"/>
  <c r="AO139" i="12"/>
  <c r="Y139" i="12" s="1"/>
  <c r="C139" i="12"/>
  <c r="AB103" i="5"/>
  <c r="AB28" i="5"/>
  <c r="X122" i="12"/>
  <c r="W122" i="12"/>
  <c r="AB72" i="5"/>
  <c r="AO42" i="12"/>
  <c r="M42" i="12"/>
  <c r="M41" i="12" s="1"/>
  <c r="C42" i="12"/>
  <c r="O42" i="12"/>
  <c r="C108" i="6"/>
  <c r="AB47" i="5"/>
  <c r="C68" i="6"/>
  <c r="O68" i="5"/>
  <c r="AB117" i="5"/>
  <c r="C80" i="6"/>
  <c r="C46" i="6"/>
  <c r="AB44" i="5"/>
  <c r="C30" i="6"/>
  <c r="O30" i="5"/>
  <c r="AB109" i="5"/>
  <c r="C70" i="6"/>
  <c r="O70" i="5"/>
  <c r="AB140" i="5"/>
  <c r="AB76" i="5"/>
  <c r="M69" i="12"/>
  <c r="O69" i="12"/>
  <c r="AO69" i="12"/>
  <c r="C69" i="12"/>
  <c r="C18" i="6"/>
  <c r="O18" i="5"/>
  <c r="C24" i="6"/>
  <c r="O24" i="5"/>
  <c r="Y37" i="12"/>
  <c r="C25" i="12"/>
  <c r="AO25" i="12"/>
  <c r="M25" i="12"/>
  <c r="O25" i="12"/>
  <c r="N25" i="12" s="1"/>
  <c r="O155" i="12"/>
  <c r="AO155" i="12"/>
  <c r="C155" i="12"/>
  <c r="M155" i="12"/>
  <c r="C39" i="6"/>
  <c r="M96" i="12"/>
  <c r="AO96" i="12"/>
  <c r="O96" i="12"/>
  <c r="C96" i="12"/>
  <c r="C72" i="6"/>
  <c r="O72" i="5"/>
  <c r="C123" i="6"/>
  <c r="AB26" i="5"/>
  <c r="AB108" i="5"/>
  <c r="AO117" i="12"/>
  <c r="O117" i="12"/>
  <c r="M117" i="12"/>
  <c r="M116" i="12" s="1"/>
  <c r="C117" i="12"/>
  <c r="W110" i="12"/>
  <c r="X110" i="12"/>
  <c r="M80" i="12"/>
  <c r="O80" i="12"/>
  <c r="AO80" i="12"/>
  <c r="C80" i="12"/>
  <c r="Y77" i="12"/>
  <c r="C143" i="6"/>
  <c r="O143" i="5"/>
  <c r="M46" i="12"/>
  <c r="AO46" i="12"/>
  <c r="Y46" i="12" s="1"/>
  <c r="C46" i="12"/>
  <c r="O46" i="12"/>
  <c r="C135" i="6"/>
  <c r="O135" i="5"/>
  <c r="X151" i="12"/>
  <c r="W151" i="12"/>
  <c r="M44" i="12"/>
  <c r="C44" i="12"/>
  <c r="O44" i="12"/>
  <c r="AO44" i="12"/>
  <c r="Y44" i="12" s="1"/>
  <c r="AB111" i="5"/>
  <c r="AB29" i="5"/>
  <c r="C140" i="6"/>
  <c r="C76" i="6"/>
  <c r="O76" i="5"/>
  <c r="C69" i="6"/>
  <c r="O69" i="5"/>
  <c r="O18" i="12"/>
  <c r="AO18" i="12"/>
  <c r="M18" i="12"/>
  <c r="C18" i="12"/>
  <c r="AB24" i="5"/>
  <c r="C25" i="6"/>
  <c r="O25" i="5"/>
  <c r="X27" i="12"/>
  <c r="W27" i="12"/>
  <c r="AB71" i="5"/>
  <c r="C153" i="12"/>
  <c r="O153" i="12"/>
  <c r="M153" i="12"/>
  <c r="AO153" i="12"/>
  <c r="I104" i="5"/>
  <c r="I105" i="5" s="1"/>
  <c r="AO98" i="12"/>
  <c r="M98" i="12"/>
  <c r="C98" i="12"/>
  <c r="O98" i="12"/>
  <c r="N98" i="12" s="1"/>
  <c r="C62" i="6"/>
  <c r="O62" i="5"/>
  <c r="AB39" i="5"/>
  <c r="C107" i="6"/>
  <c r="M75" i="12"/>
  <c r="M74" i="12" s="1"/>
  <c r="AO75" i="12"/>
  <c r="O75" i="12"/>
  <c r="C75" i="12"/>
  <c r="AB123" i="5"/>
  <c r="C108" i="12"/>
  <c r="M108" i="12"/>
  <c r="O108" i="12"/>
  <c r="N108" i="12" s="1"/>
  <c r="AO108" i="12"/>
  <c r="M68" i="12"/>
  <c r="C68" i="12"/>
  <c r="AO68" i="12"/>
  <c r="O68" i="12"/>
  <c r="Y146" i="12"/>
  <c r="AO143" i="12"/>
  <c r="M143" i="12"/>
  <c r="C143" i="12"/>
  <c r="O143" i="12"/>
  <c r="C149" i="6"/>
  <c r="AO81" i="12"/>
  <c r="C81" i="12"/>
  <c r="O81" i="12"/>
  <c r="M81" i="12"/>
  <c r="C44" i="6"/>
  <c r="O44" i="5"/>
  <c r="C111" i="6"/>
  <c r="C106" i="6"/>
  <c r="C29" i="6"/>
  <c r="O29" i="5"/>
  <c r="Y31" i="12"/>
  <c r="AO76" i="12"/>
  <c r="M76" i="12"/>
  <c r="C76" i="12"/>
  <c r="O76" i="12"/>
  <c r="C147" i="6"/>
  <c r="O147" i="5"/>
  <c r="X73" i="12"/>
  <c r="W73" i="12"/>
  <c r="C71" i="6"/>
  <c r="O71" i="5"/>
  <c r="C155" i="6"/>
  <c r="C153" i="6"/>
  <c r="C104" i="12"/>
  <c r="AO104" i="12"/>
  <c r="M104" i="12"/>
  <c r="O104" i="12"/>
  <c r="C98" i="6"/>
  <c r="O98" i="5"/>
  <c r="O62" i="12"/>
  <c r="M62" i="12"/>
  <c r="C62" i="12"/>
  <c r="AO62" i="12"/>
  <c r="C96" i="6"/>
  <c r="O96" i="5"/>
  <c r="C103" i="12"/>
  <c r="AO103" i="12"/>
  <c r="O103" i="12"/>
  <c r="M103" i="12"/>
  <c r="AG59" i="5"/>
  <c r="AG136" i="5"/>
  <c r="N35" i="12" l="1"/>
  <c r="N97" i="12"/>
  <c r="N64" i="12"/>
  <c r="Y108" i="12"/>
  <c r="N147" i="12"/>
  <c r="Y143" i="12"/>
  <c r="X143" i="12" s="1"/>
  <c r="Y153" i="12"/>
  <c r="Y76" i="12"/>
  <c r="Y154" i="12"/>
  <c r="Y123" i="12"/>
  <c r="Y65" i="12"/>
  <c r="N44" i="12"/>
  <c r="Y140" i="12"/>
  <c r="Y62" i="12"/>
  <c r="X62" i="12" s="1"/>
  <c r="N155" i="12"/>
  <c r="N69" i="12"/>
  <c r="AB116" i="5"/>
  <c r="D68" i="8" s="1"/>
  <c r="Y29" i="12"/>
  <c r="W29" i="12" s="1"/>
  <c r="Y97" i="12"/>
  <c r="Y112" i="12"/>
  <c r="N144" i="12"/>
  <c r="Y80" i="12"/>
  <c r="Y114" i="12"/>
  <c r="N121" i="12"/>
  <c r="N80" i="12"/>
  <c r="Y35" i="12"/>
  <c r="Y68" i="12"/>
  <c r="N96" i="12"/>
  <c r="N150" i="12"/>
  <c r="N40" i="12"/>
  <c r="Y64" i="12"/>
  <c r="Y26" i="12"/>
  <c r="N104" i="12"/>
  <c r="N145" i="12"/>
  <c r="Y47" i="12"/>
  <c r="Y38" i="12"/>
  <c r="N26" i="12"/>
  <c r="U136" i="5"/>
  <c r="U59" i="5"/>
  <c r="E117" i="6"/>
  <c r="D117" i="12"/>
  <c r="W36" i="12"/>
  <c r="X36" i="12"/>
  <c r="W46" i="12"/>
  <c r="X46" i="12"/>
  <c r="X31" i="12"/>
  <c r="W31" i="12"/>
  <c r="N18" i="12"/>
  <c r="O17" i="12"/>
  <c r="O16" i="12"/>
  <c r="E29" i="6"/>
  <c r="D29" i="12"/>
  <c r="E71" i="6"/>
  <c r="D71" i="12"/>
  <c r="D62" i="12"/>
  <c r="E62" i="6"/>
  <c r="X77" i="12"/>
  <c r="W77" i="12"/>
  <c r="N62" i="12"/>
  <c r="N143" i="12"/>
  <c r="T27" i="12"/>
  <c r="U27" i="12"/>
  <c r="V27" i="12"/>
  <c r="D24" i="12"/>
  <c r="E24" i="6"/>
  <c r="E70" i="6"/>
  <c r="D70" i="12"/>
  <c r="U43" i="12"/>
  <c r="T43" i="12"/>
  <c r="V43" i="12"/>
  <c r="E42" i="6"/>
  <c r="D42" i="12"/>
  <c r="Y24" i="12"/>
  <c r="N30" i="12"/>
  <c r="N114" i="12"/>
  <c r="E68" i="8" a="1"/>
  <c r="E68" i="8" s="1"/>
  <c r="H68" i="8" a="1"/>
  <c r="H68" i="8" s="1"/>
  <c r="J69" i="8" s="1"/>
  <c r="Y68" i="8" a="1"/>
  <c r="Y68" i="8" s="1"/>
  <c r="H69" i="8" a="1"/>
  <c r="H69" i="8" s="1"/>
  <c r="AE68" i="8" a="1"/>
  <c r="AE68" i="8" s="1"/>
  <c r="G68" i="8"/>
  <c r="V68" i="8" a="1"/>
  <c r="V68" i="8" s="1"/>
  <c r="AB68" i="8" a="1"/>
  <c r="AB68" i="8" s="1"/>
  <c r="U68" i="8" a="1"/>
  <c r="U68" i="8" s="1"/>
  <c r="AF68" i="8" a="1"/>
  <c r="AF68" i="8" s="1"/>
  <c r="AD68" i="8" a="1"/>
  <c r="AD68" i="8" s="1"/>
  <c r="Z68" i="8" a="1"/>
  <c r="Z68" i="8" s="1"/>
  <c r="X68" i="8" a="1"/>
  <c r="X68" i="8" s="1"/>
  <c r="AA68" i="8" a="1"/>
  <c r="AA68" i="8" s="1"/>
  <c r="AC68" i="8" a="1"/>
  <c r="AC68" i="8" s="1"/>
  <c r="W68" i="8" a="1"/>
  <c r="W68" i="8" s="1"/>
  <c r="AB141" i="5"/>
  <c r="D83" i="8" s="1"/>
  <c r="N102" i="12"/>
  <c r="O101" i="12"/>
  <c r="N101" i="12" s="1"/>
  <c r="N142" i="12"/>
  <c r="O141" i="12"/>
  <c r="N141" i="12" s="1"/>
  <c r="V78" i="12"/>
  <c r="U78" i="12"/>
  <c r="T78" i="12"/>
  <c r="AB94" i="5"/>
  <c r="D62" i="8" s="1"/>
  <c r="AB66" i="5"/>
  <c r="L94" i="12" a="1"/>
  <c r="L94" i="12" s="1"/>
  <c r="J94" i="12" a="1"/>
  <c r="J94" i="12" s="1"/>
  <c r="C94" i="12"/>
  <c r="J101" i="12" a="1"/>
  <c r="J101" i="12" s="1"/>
  <c r="C101" i="12"/>
  <c r="L101" i="12" a="1"/>
  <c r="L101" i="12" s="1"/>
  <c r="K101" i="12" s="1"/>
  <c r="V119" i="12"/>
  <c r="U119" i="12"/>
  <c r="T119" i="12"/>
  <c r="U151" i="12"/>
  <c r="V151" i="12"/>
  <c r="T151" i="12"/>
  <c r="M94" i="12"/>
  <c r="M93" i="12"/>
  <c r="Y102" i="12"/>
  <c r="AO101" i="12"/>
  <c r="Y101" i="12" s="1"/>
  <c r="U100" i="12"/>
  <c r="T100" i="12"/>
  <c r="V100" i="12"/>
  <c r="C141" i="6"/>
  <c r="O141" i="5"/>
  <c r="C60" i="6"/>
  <c r="O60" i="5"/>
  <c r="C101" i="6"/>
  <c r="O101" i="5"/>
  <c r="Y135" i="12"/>
  <c r="U73" i="12"/>
  <c r="V73" i="12"/>
  <c r="T73" i="12"/>
  <c r="C66" i="6"/>
  <c r="O66" i="5"/>
  <c r="N61" i="12"/>
  <c r="O60" i="12"/>
  <c r="N60" i="12" s="1"/>
  <c r="W112" i="12"/>
  <c r="X112" i="12"/>
  <c r="W83" i="8" a="1"/>
  <c r="W83" i="8" s="1"/>
  <c r="AD83" i="8" a="1"/>
  <c r="AD83" i="8" s="1"/>
  <c r="AA83" i="8" a="1"/>
  <c r="AA83" i="8" s="1"/>
  <c r="V83" i="8" a="1"/>
  <c r="V83" i="8" s="1"/>
  <c r="H83" i="8" a="1"/>
  <c r="H83" i="8" s="1"/>
  <c r="J84" i="8" s="1"/>
  <c r="AC83" i="8" a="1"/>
  <c r="AC83" i="8" s="1"/>
  <c r="AE83" i="8" a="1"/>
  <c r="AE83" i="8" s="1"/>
  <c r="H84" i="8" a="1"/>
  <c r="H84" i="8" s="1"/>
  <c r="G83" i="8"/>
  <c r="Y83" i="8" a="1"/>
  <c r="Y83" i="8" s="1"/>
  <c r="U83" i="8" a="1"/>
  <c r="U83" i="8" s="1"/>
  <c r="AF83" i="8" a="1"/>
  <c r="AF83" i="8" s="1"/>
  <c r="X83" i="8" a="1"/>
  <c r="X83" i="8" s="1"/>
  <c r="AB83" i="8" a="1"/>
  <c r="AB83" i="8" s="1"/>
  <c r="E83" i="8" a="1"/>
  <c r="E83" i="8" s="1"/>
  <c r="Z83" i="8" a="1"/>
  <c r="Z83" i="8" s="1"/>
  <c r="AE44" i="8" a="1"/>
  <c r="AE44" i="8" s="1"/>
  <c r="Y44" i="8" a="1"/>
  <c r="Y44" i="8" s="1"/>
  <c r="X44" i="8" a="1"/>
  <c r="X44" i="8" s="1"/>
  <c r="Z44" i="8" a="1"/>
  <c r="Z44" i="8" s="1"/>
  <c r="AC44" i="8" a="1"/>
  <c r="AC44" i="8" s="1"/>
  <c r="AA44" i="8" a="1"/>
  <c r="AA44" i="8" s="1"/>
  <c r="AB44" i="8" a="1"/>
  <c r="AB44" i="8" s="1"/>
  <c r="AD44" i="8" a="1"/>
  <c r="AD44" i="8" s="1"/>
  <c r="H45" i="8" a="1"/>
  <c r="H45" i="8" s="1"/>
  <c r="W44" i="8" a="1"/>
  <c r="W44" i="8" s="1"/>
  <c r="V44" i="8" a="1"/>
  <c r="V44" i="8" s="1"/>
  <c r="H44" i="8" a="1"/>
  <c r="H44" i="8" s="1"/>
  <c r="J45" i="8" s="1"/>
  <c r="G44" i="8"/>
  <c r="AF44" i="8" a="1"/>
  <c r="AF44" i="8" s="1"/>
  <c r="E44" i="8" a="1"/>
  <c r="E44" i="8" s="1"/>
  <c r="U44" i="8" a="1"/>
  <c r="U44" i="8" s="1"/>
  <c r="E142" i="6"/>
  <c r="D142" i="12"/>
  <c r="C94" i="6"/>
  <c r="O94" i="5"/>
  <c r="E28" i="6"/>
  <c r="D28" i="12"/>
  <c r="AB65" i="8" a="1"/>
  <c r="AB65" i="8" s="1"/>
  <c r="AD65" i="8" a="1"/>
  <c r="AD65" i="8" s="1"/>
  <c r="AE65" i="8" a="1"/>
  <c r="AE65" i="8" s="1"/>
  <c r="V65" i="8" a="1"/>
  <c r="V65" i="8" s="1"/>
  <c r="H66" i="8" a="1"/>
  <c r="H66" i="8" s="1"/>
  <c r="Z65" i="8" a="1"/>
  <c r="Z65" i="8" s="1"/>
  <c r="U65" i="8" a="1"/>
  <c r="U65" i="8" s="1"/>
  <c r="H65" i="8" a="1"/>
  <c r="H65" i="8" s="1"/>
  <c r="J66" i="8" s="1"/>
  <c r="W65" i="8" a="1"/>
  <c r="W65" i="8" s="1"/>
  <c r="G65" i="8"/>
  <c r="AF65" i="8" a="1"/>
  <c r="AF65" i="8" s="1"/>
  <c r="AA65" i="8" a="1"/>
  <c r="AA65" i="8" s="1"/>
  <c r="AC65" i="8" a="1"/>
  <c r="AC65" i="8" s="1"/>
  <c r="E65" i="8" a="1"/>
  <c r="E65" i="8" s="1"/>
  <c r="Y65" i="8" a="1"/>
  <c r="Y65" i="8" s="1"/>
  <c r="X65" i="8" a="1"/>
  <c r="X65" i="8" s="1"/>
  <c r="N135" i="12"/>
  <c r="O134" i="12"/>
  <c r="O133" i="12"/>
  <c r="Y121" i="12"/>
  <c r="D77" i="12"/>
  <c r="E77" i="6"/>
  <c r="D25" i="12"/>
  <c r="E25" i="6"/>
  <c r="E18" i="6"/>
  <c r="D18" i="12"/>
  <c r="V122" i="12"/>
  <c r="U122" i="12"/>
  <c r="T122" i="12"/>
  <c r="Y95" i="12"/>
  <c r="AO94" i="12"/>
  <c r="E147" i="6"/>
  <c r="D147" i="12"/>
  <c r="D135" i="12"/>
  <c r="E135" i="6"/>
  <c r="Y145" i="12"/>
  <c r="Y111" i="12"/>
  <c r="T99" i="12"/>
  <c r="V99" i="12"/>
  <c r="U99" i="12"/>
  <c r="J66" i="12" a="1"/>
  <c r="J66" i="12" s="1"/>
  <c r="L66" i="12" a="1"/>
  <c r="L66" i="12" s="1"/>
  <c r="C66" i="12"/>
  <c r="E102" i="6"/>
  <c r="D102" i="12"/>
  <c r="L141" i="12" a="1"/>
  <c r="L141" i="12" s="1"/>
  <c r="C141" i="12"/>
  <c r="J141" i="12" a="1"/>
  <c r="J141" i="12" s="1"/>
  <c r="K141" i="12" s="1"/>
  <c r="Y40" i="12"/>
  <c r="Y28" i="12"/>
  <c r="E22" i="8" a="1"/>
  <c r="E22" i="8" s="1"/>
  <c r="U22" i="8" a="1"/>
  <c r="U22" i="8" s="1"/>
  <c r="Y144" i="12"/>
  <c r="AB60" i="5"/>
  <c r="D44" i="8" s="1"/>
  <c r="I79" i="5"/>
  <c r="O78" i="5"/>
  <c r="E76" i="6"/>
  <c r="D76" i="12"/>
  <c r="D65" i="12"/>
  <c r="E65" i="6"/>
  <c r="D44" i="12"/>
  <c r="E44" i="6"/>
  <c r="X146" i="12"/>
  <c r="W146" i="12"/>
  <c r="N75" i="12"/>
  <c r="O74" i="12"/>
  <c r="N74" i="12" s="1"/>
  <c r="Y98" i="12"/>
  <c r="E30" i="6"/>
  <c r="D30" i="12"/>
  <c r="N39" i="12"/>
  <c r="Y138" i="12"/>
  <c r="T115" i="12"/>
  <c r="U115" i="12"/>
  <c r="V115" i="12"/>
  <c r="AO60" i="12"/>
  <c r="Y60" i="12" s="1"/>
  <c r="Y61" i="12"/>
  <c r="N28" i="12"/>
  <c r="D144" i="12"/>
  <c r="E144" i="6"/>
  <c r="Y106" i="12"/>
  <c r="U62" i="8" a="1"/>
  <c r="U62" i="8" s="1"/>
  <c r="AB62" i="8" a="1"/>
  <c r="AB62" i="8" s="1"/>
  <c r="AF62" i="8" a="1"/>
  <c r="AF62" i="8" s="1"/>
  <c r="Y62" i="8" a="1"/>
  <c r="Y62" i="8" s="1"/>
  <c r="V62" i="8" a="1"/>
  <c r="V62" i="8" s="1"/>
  <c r="AA62" i="8" a="1"/>
  <c r="AA62" i="8" s="1"/>
  <c r="H63" i="8" a="1"/>
  <c r="H63" i="8" s="1"/>
  <c r="AE62" i="8" a="1"/>
  <c r="AE62" i="8" s="1"/>
  <c r="H62" i="8" a="1"/>
  <c r="H62" i="8" s="1"/>
  <c r="J63" i="8" s="1"/>
  <c r="G62" i="8"/>
  <c r="AC62" i="8" a="1"/>
  <c r="AC62" i="8" s="1"/>
  <c r="Z62" i="8" a="1"/>
  <c r="Z62" i="8" s="1"/>
  <c r="AD62" i="8" a="1"/>
  <c r="AD62" i="8" s="1"/>
  <c r="E62" i="8" a="1"/>
  <c r="E62" i="8" s="1"/>
  <c r="X62" i="8" a="1"/>
  <c r="X62" i="8" s="1"/>
  <c r="W62" i="8" a="1"/>
  <c r="W62" i="8" s="1"/>
  <c r="Y147" i="12"/>
  <c r="M134" i="12"/>
  <c r="M133" i="12"/>
  <c r="X64" i="12"/>
  <c r="W64" i="12"/>
  <c r="D146" i="12"/>
  <c r="E146" i="6"/>
  <c r="E68" i="6"/>
  <c r="D68" i="12"/>
  <c r="O23" i="12"/>
  <c r="N23" i="12" s="1"/>
  <c r="N24" i="12"/>
  <c r="AC47" i="8" a="1"/>
  <c r="AC47" i="8" s="1"/>
  <c r="G47" i="8"/>
  <c r="H48" i="8" a="1"/>
  <c r="H48" i="8" s="1"/>
  <c r="W47" i="8" a="1"/>
  <c r="W47" i="8" s="1"/>
  <c r="AA47" i="8" a="1"/>
  <c r="AA47" i="8" s="1"/>
  <c r="H47" i="8" a="1"/>
  <c r="H47" i="8" s="1"/>
  <c r="J48" i="8" s="1"/>
  <c r="AE47" i="8" a="1"/>
  <c r="AE47" i="8" s="1"/>
  <c r="Z47" i="8" a="1"/>
  <c r="Z47" i="8" s="1"/>
  <c r="AB47" i="8" a="1"/>
  <c r="AB47" i="8" s="1"/>
  <c r="Y47" i="8" a="1"/>
  <c r="Y47" i="8" s="1"/>
  <c r="X47" i="8" a="1"/>
  <c r="X47" i="8" s="1"/>
  <c r="AF47" i="8" a="1"/>
  <c r="AF47" i="8" s="1"/>
  <c r="AD47" i="8" a="1"/>
  <c r="AD47" i="8" s="1"/>
  <c r="V47" i="8" a="1"/>
  <c r="V47" i="8" s="1"/>
  <c r="D47" i="8"/>
  <c r="U47" i="8" a="1"/>
  <c r="U47" i="8" s="1"/>
  <c r="E47" i="8" a="1"/>
  <c r="E47" i="8" s="1"/>
  <c r="N103" i="12"/>
  <c r="Y103" i="12"/>
  <c r="Y104" i="12"/>
  <c r="N76" i="12"/>
  <c r="N68" i="12"/>
  <c r="Y75" i="12"/>
  <c r="AO74" i="12"/>
  <c r="O105" i="5"/>
  <c r="I106" i="5"/>
  <c r="N46" i="12"/>
  <c r="U110" i="12"/>
  <c r="T110" i="12"/>
  <c r="V110" i="12"/>
  <c r="Y155" i="12"/>
  <c r="Y69" i="12"/>
  <c r="Y39" i="12"/>
  <c r="I164" i="12"/>
  <c r="Z164" i="5"/>
  <c r="I164" i="5"/>
  <c r="AM164" i="5"/>
  <c r="L164" i="5"/>
  <c r="X163" i="5" a="1"/>
  <c r="X163" i="5" s="1"/>
  <c r="Y72" i="12"/>
  <c r="E26" i="6"/>
  <c r="D26" i="12"/>
  <c r="Y137" i="12"/>
  <c r="D67" i="12"/>
  <c r="E67" i="6"/>
  <c r="U63" i="12"/>
  <c r="V63" i="12"/>
  <c r="T63" i="12"/>
  <c r="N112" i="12"/>
  <c r="D75" i="12"/>
  <c r="E75" i="6"/>
  <c r="E64" i="6"/>
  <c r="D64" i="12"/>
  <c r="N65" i="12"/>
  <c r="O148" i="5"/>
  <c r="I149" i="5"/>
  <c r="O104" i="5"/>
  <c r="W149" i="12"/>
  <c r="X149" i="12"/>
  <c r="W26" i="12"/>
  <c r="X26" i="12"/>
  <c r="D63" i="12"/>
  <c r="E63" i="6"/>
  <c r="W153" i="12"/>
  <c r="X153" i="12"/>
  <c r="W109" i="12"/>
  <c r="X109" i="12"/>
  <c r="E96" i="6"/>
  <c r="D96" i="12"/>
  <c r="M17" i="12"/>
  <c r="M16" i="12"/>
  <c r="D72" i="12"/>
  <c r="E72" i="6"/>
  <c r="W140" i="12"/>
  <c r="X140" i="12"/>
  <c r="W118" i="12"/>
  <c r="X118" i="12"/>
  <c r="N138" i="12"/>
  <c r="AB33" i="5"/>
  <c r="D26" i="8" s="1"/>
  <c r="W97" i="12"/>
  <c r="X97" i="12"/>
  <c r="AO33" i="12"/>
  <c r="Y34" i="12"/>
  <c r="G26" i="8"/>
  <c r="G27" i="8" s="1" a="1"/>
  <c r="G27" i="8" s="1"/>
  <c r="H26" i="8" a="1"/>
  <c r="H26" i="8" s="1"/>
  <c r="J27" i="8" s="1"/>
  <c r="H27" i="8" a="1"/>
  <c r="H27" i="8" s="1"/>
  <c r="AD26" i="8" a="1"/>
  <c r="AD26" i="8" s="1"/>
  <c r="X26" i="8" a="1"/>
  <c r="X26" i="8" s="1"/>
  <c r="Z26" i="8" a="1"/>
  <c r="Z26" i="8" s="1"/>
  <c r="AE26" i="8" a="1"/>
  <c r="AE26" i="8" s="1"/>
  <c r="AB26" i="8" a="1"/>
  <c r="AB26" i="8" s="1"/>
  <c r="Y26" i="8" a="1"/>
  <c r="Y26" i="8" s="1"/>
  <c r="AA26" i="8" a="1"/>
  <c r="AA26" i="8" s="1"/>
  <c r="AF26" i="8" a="1"/>
  <c r="AF26" i="8" s="1"/>
  <c r="AC26" i="8" a="1"/>
  <c r="AC26" i="8" s="1"/>
  <c r="V26" i="8" a="1"/>
  <c r="V26" i="8" s="1"/>
  <c r="E26" i="8" a="1"/>
  <c r="E26" i="8" s="1"/>
  <c r="U26" i="8" a="1"/>
  <c r="U26" i="8" s="1"/>
  <c r="W26" i="8" a="1"/>
  <c r="W26" i="8" s="1"/>
  <c r="V120" i="12"/>
  <c r="U120" i="12"/>
  <c r="T120" i="12"/>
  <c r="N105" i="12"/>
  <c r="W65" i="12"/>
  <c r="X65" i="12"/>
  <c r="W38" i="12"/>
  <c r="X38" i="12"/>
  <c r="W152" i="12"/>
  <c r="X152" i="12"/>
  <c r="N107" i="12"/>
  <c r="C74" i="6"/>
  <c r="O74" i="5"/>
  <c r="E73" i="6"/>
  <c r="D73" i="12"/>
  <c r="X80" i="12"/>
  <c r="W80" i="12"/>
  <c r="Y18" i="12"/>
  <c r="N117" i="12"/>
  <c r="O116" i="12"/>
  <c r="N116" i="12" s="1"/>
  <c r="N42" i="12"/>
  <c r="O41" i="12"/>
  <c r="N41" i="12" s="1"/>
  <c r="W47" i="12"/>
  <c r="X47" i="12"/>
  <c r="AO66" i="12"/>
  <c r="Y67" i="12"/>
  <c r="N118" i="12"/>
  <c r="N109" i="12"/>
  <c r="N113" i="12"/>
  <c r="C33" i="6"/>
  <c r="O33" i="5"/>
  <c r="Y105" i="12"/>
  <c r="AB101" i="5"/>
  <c r="D65" i="8" s="1"/>
  <c r="N38" i="12"/>
  <c r="Y107" i="12"/>
  <c r="N29" i="12"/>
  <c r="N149" i="12"/>
  <c r="C74" i="12"/>
  <c r="J74" i="12" a="1"/>
  <c r="J74" i="12" s="1"/>
  <c r="L74" i="12" a="1"/>
  <c r="L74" i="12" s="1"/>
  <c r="N123" i="12"/>
  <c r="E99" i="6"/>
  <c r="D99" i="12"/>
  <c r="X35" i="12"/>
  <c r="W35" i="12"/>
  <c r="N81" i="12"/>
  <c r="X108" i="12"/>
  <c r="W108" i="12"/>
  <c r="D143" i="12"/>
  <c r="E143" i="6"/>
  <c r="Y25" i="12"/>
  <c r="X139" i="12"/>
  <c r="W139" i="12"/>
  <c r="N140" i="12"/>
  <c r="Y70" i="12"/>
  <c r="D97" i="12"/>
  <c r="E97" i="6"/>
  <c r="C116" i="12"/>
  <c r="L116" i="12" a="1"/>
  <c r="L116" i="12" s="1"/>
  <c r="J116" i="12" a="1"/>
  <c r="J116" i="12" s="1"/>
  <c r="O33" i="12"/>
  <c r="N33" i="12" s="1"/>
  <c r="N34" i="12"/>
  <c r="Y150" i="12"/>
  <c r="X113" i="12"/>
  <c r="W113" i="12"/>
  <c r="E118" i="6"/>
  <c r="D118" i="12"/>
  <c r="D100" i="12"/>
  <c r="E100" i="6"/>
  <c r="D98" i="12"/>
  <c r="E98" i="6"/>
  <c r="W68" i="12"/>
  <c r="X68" i="12"/>
  <c r="X76" i="12"/>
  <c r="W76" i="12"/>
  <c r="N153" i="12"/>
  <c r="X44" i="12"/>
  <c r="W44" i="12"/>
  <c r="D69" i="12"/>
  <c r="E69" i="6"/>
  <c r="N71" i="12"/>
  <c r="V79" i="12"/>
  <c r="U79" i="12"/>
  <c r="T79" i="12"/>
  <c r="N47" i="12"/>
  <c r="D145" i="12"/>
  <c r="E145" i="6"/>
  <c r="N67" i="12"/>
  <c r="O66" i="12"/>
  <c r="N66" i="12" s="1"/>
  <c r="I19" i="5"/>
  <c r="I19" i="12"/>
  <c r="L19" i="5"/>
  <c r="Z19" i="5"/>
  <c r="AM19" i="5"/>
  <c r="X154" i="12"/>
  <c r="W154" i="12"/>
  <c r="E95" i="6"/>
  <c r="D95" i="12"/>
  <c r="L33" i="12" a="1"/>
  <c r="L33" i="12" s="1"/>
  <c r="J33" i="12" a="1"/>
  <c r="J33" i="12" s="1"/>
  <c r="C33" i="12"/>
  <c r="X22" i="5" a="1"/>
  <c r="X22" i="5" s="1"/>
  <c r="D27" i="12"/>
  <c r="E27" i="6"/>
  <c r="X29" i="12"/>
  <c r="H51" i="8" a="1"/>
  <c r="H51" i="8" s="1"/>
  <c r="AF50" i="8" a="1"/>
  <c r="AF50" i="8" s="1"/>
  <c r="H50" i="8" a="1"/>
  <c r="H50" i="8" s="1"/>
  <c r="J51" i="8" s="1"/>
  <c r="AC50" i="8" a="1"/>
  <c r="AC50" i="8" s="1"/>
  <c r="G50" i="8"/>
  <c r="E50" i="8" a="1"/>
  <c r="E50" i="8" s="1"/>
  <c r="AA50" i="8" a="1"/>
  <c r="AA50" i="8" s="1"/>
  <c r="U50" i="8" a="1"/>
  <c r="U50" i="8" s="1"/>
  <c r="X50" i="8" a="1"/>
  <c r="X50" i="8" s="1"/>
  <c r="AE50" i="8" a="1"/>
  <c r="AE50" i="8" s="1"/>
  <c r="Z50" i="8" a="1"/>
  <c r="Z50" i="8" s="1"/>
  <c r="W50" i="8" a="1"/>
  <c r="W50" i="8" s="1"/>
  <c r="AB50" i="8" a="1"/>
  <c r="AB50" i="8" s="1"/>
  <c r="AD50" i="8" a="1"/>
  <c r="AD50" i="8" s="1"/>
  <c r="Y50" i="8" a="1"/>
  <c r="Y50" i="8" s="1"/>
  <c r="V50" i="8" a="1"/>
  <c r="V50" i="8" s="1"/>
  <c r="W123" i="12"/>
  <c r="X123" i="12"/>
  <c r="E119" i="6"/>
  <c r="D119" i="12"/>
  <c r="Y81" i="12"/>
  <c r="Y117" i="12"/>
  <c r="AO116" i="12"/>
  <c r="Y116" i="12" s="1"/>
  <c r="Y96" i="12"/>
  <c r="W37" i="12"/>
  <c r="X37" i="12"/>
  <c r="Y42" i="12"/>
  <c r="N139" i="12"/>
  <c r="Y71" i="12"/>
  <c r="X30" i="12"/>
  <c r="W30" i="12"/>
  <c r="W114" i="12"/>
  <c r="X114" i="12"/>
  <c r="N95" i="12"/>
  <c r="O94" i="12"/>
  <c r="O93" i="12"/>
  <c r="C116" i="6"/>
  <c r="O116" i="5"/>
  <c r="N154" i="12"/>
  <c r="Y142" i="12"/>
  <c r="AO141" i="12"/>
  <c r="J60" i="12" a="1"/>
  <c r="J60" i="12" s="1"/>
  <c r="C60" i="12"/>
  <c r="L60" i="12" a="1"/>
  <c r="L60" i="12" s="1"/>
  <c r="D61" i="12"/>
  <c r="E61" i="6"/>
  <c r="X148" i="12"/>
  <c r="W148" i="12"/>
  <c r="AB74" i="5"/>
  <c r="D50" i="8" s="1"/>
  <c r="I121" i="5"/>
  <c r="O120" i="5"/>
  <c r="AG20" i="5"/>
  <c r="AG56" i="5"/>
  <c r="AG162" i="5"/>
  <c r="AG132" i="5"/>
  <c r="AG92" i="5"/>
  <c r="AG127" i="5"/>
  <c r="AG87" i="5"/>
  <c r="AG50" i="5"/>
  <c r="AG83" i="5"/>
  <c r="AG125" i="5"/>
  <c r="Y66" i="12" l="1"/>
  <c r="K66" i="12"/>
  <c r="N94" i="12"/>
  <c r="W143" i="12"/>
  <c r="K74" i="12"/>
  <c r="K33" i="12"/>
  <c r="Y74" i="12"/>
  <c r="W62" i="12"/>
  <c r="K60" i="12"/>
  <c r="U125" i="5"/>
  <c r="U83" i="5"/>
  <c r="U50" i="5"/>
  <c r="U87" i="5"/>
  <c r="U127" i="5"/>
  <c r="U92" i="5"/>
  <c r="U132" i="5"/>
  <c r="U162" i="5"/>
  <c r="U56" i="5"/>
  <c r="U20" i="5"/>
  <c r="V148" i="12"/>
  <c r="U148" i="12"/>
  <c r="T148" i="12"/>
  <c r="N93" i="12"/>
  <c r="W96" i="12"/>
  <c r="X96" i="12"/>
  <c r="U80" i="12"/>
  <c r="T80" i="12"/>
  <c r="V80" i="12"/>
  <c r="AB164" i="5"/>
  <c r="AB163" i="5" s="1"/>
  <c r="W101" i="12"/>
  <c r="X101" i="12"/>
  <c r="W116" i="12"/>
  <c r="X116" i="12"/>
  <c r="W67" i="12"/>
  <c r="X67" i="12"/>
  <c r="T97" i="12"/>
  <c r="U97" i="12"/>
  <c r="V97" i="12"/>
  <c r="C164" i="12"/>
  <c r="O164" i="12"/>
  <c r="AO164" i="12"/>
  <c r="M164" i="12"/>
  <c r="M163" i="12" s="1"/>
  <c r="X75" i="12"/>
  <c r="W75" i="12"/>
  <c r="U143" i="12"/>
  <c r="V143" i="12"/>
  <c r="T143" i="12"/>
  <c r="X135" i="12"/>
  <c r="W135" i="12"/>
  <c r="W102" i="12"/>
  <c r="X102" i="12"/>
  <c r="U31" i="12"/>
  <c r="V31" i="12"/>
  <c r="T31" i="12"/>
  <c r="W66" i="12"/>
  <c r="X66" i="12"/>
  <c r="V108" i="12"/>
  <c r="U108" i="12"/>
  <c r="T108" i="12"/>
  <c r="U109" i="12"/>
  <c r="V109" i="12"/>
  <c r="T109" i="12"/>
  <c r="I150" i="5"/>
  <c r="O149" i="5"/>
  <c r="X69" i="12"/>
  <c r="W69" i="12"/>
  <c r="X40" i="12"/>
  <c r="W40" i="12"/>
  <c r="X111" i="12"/>
  <c r="W111" i="12"/>
  <c r="V112" i="12"/>
  <c r="U112" i="12"/>
  <c r="T112" i="12"/>
  <c r="K94" i="12"/>
  <c r="T62" i="12"/>
  <c r="U62" i="12"/>
  <c r="V62" i="12"/>
  <c r="U29" i="12"/>
  <c r="T29" i="12"/>
  <c r="V29" i="12"/>
  <c r="X138" i="12"/>
  <c r="W138" i="12"/>
  <c r="W81" i="12"/>
  <c r="X81" i="12"/>
  <c r="E148" i="6"/>
  <c r="D148" i="12"/>
  <c r="W145" i="12"/>
  <c r="X145" i="12"/>
  <c r="U68" i="12"/>
  <c r="T68" i="12"/>
  <c r="V68" i="12"/>
  <c r="W39" i="12"/>
  <c r="X39" i="12"/>
  <c r="V30" i="12"/>
  <c r="T30" i="12"/>
  <c r="U30" i="12"/>
  <c r="W155" i="12"/>
  <c r="X155" i="12"/>
  <c r="U118" i="12"/>
  <c r="T118" i="12"/>
  <c r="V118" i="12"/>
  <c r="W106" i="12"/>
  <c r="X106" i="12"/>
  <c r="I44" i="8"/>
  <c r="D60" i="12"/>
  <c r="E60" i="6"/>
  <c r="I65" i="8"/>
  <c r="D101" i="12"/>
  <c r="E101" i="6"/>
  <c r="V77" i="12"/>
  <c r="U77" i="12"/>
  <c r="T77" i="12"/>
  <c r="D74" i="12"/>
  <c r="E74" i="6"/>
  <c r="I50" i="8"/>
  <c r="AB19" i="5"/>
  <c r="Y141" i="12"/>
  <c r="W71" i="12"/>
  <c r="X71" i="12"/>
  <c r="C19" i="6"/>
  <c r="O19" i="5"/>
  <c r="V35" i="12"/>
  <c r="U35" i="12"/>
  <c r="T35" i="12"/>
  <c r="V64" i="12"/>
  <c r="U64" i="12"/>
  <c r="T64" i="12"/>
  <c r="W98" i="12"/>
  <c r="X98" i="12"/>
  <c r="I47" i="8"/>
  <c r="E66" i="6"/>
  <c r="D66" i="12"/>
  <c r="T46" i="12"/>
  <c r="U46" i="12"/>
  <c r="V46" i="12"/>
  <c r="X117" i="12"/>
  <c r="W117" i="12"/>
  <c r="X28" i="12"/>
  <c r="W28" i="12"/>
  <c r="T114" i="12"/>
  <c r="V114" i="12"/>
  <c r="U114" i="12"/>
  <c r="K116" i="12"/>
  <c r="X107" i="12"/>
  <c r="W107" i="12"/>
  <c r="U47" i="12"/>
  <c r="T47" i="12"/>
  <c r="V47" i="12"/>
  <c r="W137" i="12"/>
  <c r="X137" i="12"/>
  <c r="W104" i="12"/>
  <c r="X104" i="12"/>
  <c r="X21" i="5" a="1"/>
  <c r="X21" i="5" s="1"/>
  <c r="Z22" i="5"/>
  <c r="AM22" i="5"/>
  <c r="L22" i="5"/>
  <c r="I22" i="5"/>
  <c r="I22" i="12"/>
  <c r="V153" i="12"/>
  <c r="T153" i="12"/>
  <c r="U153" i="12"/>
  <c r="W103" i="12"/>
  <c r="X103" i="12"/>
  <c r="D120" i="12"/>
  <c r="E120" i="6"/>
  <c r="W142" i="12"/>
  <c r="X142" i="12"/>
  <c r="T123" i="12"/>
  <c r="V123" i="12"/>
  <c r="U123" i="12"/>
  <c r="C19" i="12"/>
  <c r="O19" i="12"/>
  <c r="AO19" i="12"/>
  <c r="M19" i="12"/>
  <c r="W105" i="12"/>
  <c r="X105" i="12"/>
  <c r="V140" i="12"/>
  <c r="T140" i="12"/>
  <c r="U140" i="12"/>
  <c r="X72" i="12"/>
  <c r="W72" i="12"/>
  <c r="I83" i="8"/>
  <c r="D141" i="12"/>
  <c r="E141" i="6"/>
  <c r="I122" i="5"/>
  <c r="O121" i="5"/>
  <c r="V44" i="12"/>
  <c r="U44" i="12"/>
  <c r="T44" i="12"/>
  <c r="X70" i="12"/>
  <c r="W70" i="12"/>
  <c r="D33" i="12"/>
  <c r="E33" i="6"/>
  <c r="I26" i="8"/>
  <c r="V152" i="12"/>
  <c r="U152" i="12"/>
  <c r="T152" i="12"/>
  <c r="S92" i="8"/>
  <c r="AM163" i="5"/>
  <c r="I163" i="12"/>
  <c r="L163" i="5"/>
  <c r="Z163" i="5"/>
  <c r="D78" i="12"/>
  <c r="E78" i="6"/>
  <c r="U36" i="12"/>
  <c r="T36" i="12"/>
  <c r="V36" i="12"/>
  <c r="W42" i="12"/>
  <c r="X42" i="12"/>
  <c r="U26" i="12"/>
  <c r="V26" i="12"/>
  <c r="T26" i="12"/>
  <c r="C164" i="6"/>
  <c r="O164" i="5"/>
  <c r="X61" i="12"/>
  <c r="W61" i="12"/>
  <c r="T146" i="12"/>
  <c r="U146" i="12"/>
  <c r="V146" i="12"/>
  <c r="O79" i="5"/>
  <c r="I80" i="5"/>
  <c r="X121" i="12"/>
  <c r="W121" i="12"/>
  <c r="T38" i="12"/>
  <c r="U38" i="12"/>
  <c r="V38" i="12"/>
  <c r="W34" i="12"/>
  <c r="X34" i="12"/>
  <c r="I107" i="5"/>
  <c r="O106" i="5"/>
  <c r="W147" i="12"/>
  <c r="X147" i="12"/>
  <c r="X60" i="12"/>
  <c r="W60" i="12"/>
  <c r="Y94" i="12"/>
  <c r="N133" i="12"/>
  <c r="N16" i="12"/>
  <c r="I68" i="8"/>
  <c r="D116" i="12"/>
  <c r="E116" i="6"/>
  <c r="T37" i="12"/>
  <c r="V37" i="12"/>
  <c r="U37" i="12"/>
  <c r="V154" i="12"/>
  <c r="U154" i="12"/>
  <c r="T154" i="12"/>
  <c r="V76" i="12"/>
  <c r="T76" i="12"/>
  <c r="U76" i="12"/>
  <c r="Y33" i="12"/>
  <c r="U149" i="12"/>
  <c r="V149" i="12"/>
  <c r="T149" i="12"/>
  <c r="D105" i="12"/>
  <c r="E105" i="6"/>
  <c r="W144" i="12"/>
  <c r="X144" i="12"/>
  <c r="W95" i="12"/>
  <c r="X95" i="12"/>
  <c r="N134" i="12"/>
  <c r="I62" i="8"/>
  <c r="D94" i="12"/>
  <c r="E94" i="6"/>
  <c r="X24" i="12"/>
  <c r="W24" i="12"/>
  <c r="N17" i="12"/>
  <c r="AN59" i="5"/>
  <c r="AC59" i="5" s="1" a="1"/>
  <c r="AC59" i="5" s="1"/>
  <c r="J59" i="6" s="1" a="1"/>
  <c r="J59" i="6" s="1"/>
  <c r="W59" i="5"/>
  <c r="V113" i="12"/>
  <c r="T113" i="12"/>
  <c r="U113" i="12"/>
  <c r="U139" i="12"/>
  <c r="T139" i="12"/>
  <c r="V139" i="12"/>
  <c r="W18" i="12"/>
  <c r="X18" i="12"/>
  <c r="X150" i="12"/>
  <c r="W150" i="12"/>
  <c r="W25" i="12"/>
  <c r="X25" i="12"/>
  <c r="T65" i="12"/>
  <c r="U65" i="12"/>
  <c r="V65" i="12"/>
  <c r="E104" i="6"/>
  <c r="D104" i="12"/>
  <c r="X74" i="12"/>
  <c r="W74" i="12"/>
  <c r="W136" i="5"/>
  <c r="AN136" i="5"/>
  <c r="AC136" i="5" s="1" a="1"/>
  <c r="AC136" i="5" s="1"/>
  <c r="J136" i="6" s="1" a="1"/>
  <c r="J136" i="6" s="1"/>
  <c r="U121" i="12" l="1"/>
  <c r="T121" i="12"/>
  <c r="V121" i="12"/>
  <c r="T105" i="12"/>
  <c r="V105" i="12"/>
  <c r="U105" i="12"/>
  <c r="T104" i="12"/>
  <c r="U104" i="12"/>
  <c r="V104" i="12"/>
  <c r="T28" i="12"/>
  <c r="V28" i="12"/>
  <c r="U28" i="12"/>
  <c r="V39" i="12"/>
  <c r="T39" i="12"/>
  <c r="U39" i="12"/>
  <c r="T95" i="12"/>
  <c r="V95" i="12"/>
  <c r="U95" i="12"/>
  <c r="U60" i="12"/>
  <c r="V60" i="12"/>
  <c r="T60" i="12"/>
  <c r="AC92" i="8" a="1"/>
  <c r="AC92" i="8" s="1"/>
  <c r="G92" i="8"/>
  <c r="AB92" i="8" a="1"/>
  <c r="AB92" i="8" s="1"/>
  <c r="AE92" i="8" a="1"/>
  <c r="AE92" i="8" s="1"/>
  <c r="W92" i="8" a="1"/>
  <c r="W92" i="8" s="1"/>
  <c r="X92" i="8" a="1"/>
  <c r="X92" i="8" s="1"/>
  <c r="AA92" i="8" a="1"/>
  <c r="AA92" i="8" s="1"/>
  <c r="AD92" i="8" a="1"/>
  <c r="AD92" i="8" s="1"/>
  <c r="E92" i="8" a="1"/>
  <c r="E92" i="8" s="1"/>
  <c r="H93" i="8" a="1"/>
  <c r="H93" i="8" s="1"/>
  <c r="Y92" i="8" a="1"/>
  <c r="Y92" i="8" s="1"/>
  <c r="H92" i="8" a="1"/>
  <c r="H92" i="8" s="1"/>
  <c r="J93" i="8" s="1"/>
  <c r="V92" i="8" a="1"/>
  <c r="V92" i="8" s="1"/>
  <c r="U92" i="8" a="1"/>
  <c r="U92" i="8" s="1"/>
  <c r="AF92" i="8" a="1"/>
  <c r="AF92" i="8" s="1"/>
  <c r="Z92" i="8" a="1"/>
  <c r="Z92" i="8" s="1"/>
  <c r="E121" i="6"/>
  <c r="D121" i="12"/>
  <c r="T103" i="12"/>
  <c r="U103" i="12"/>
  <c r="V103" i="12"/>
  <c r="T66" i="12"/>
  <c r="V66" i="12"/>
  <c r="U66" i="12"/>
  <c r="U75" i="12"/>
  <c r="T75" i="12"/>
  <c r="V75" i="12"/>
  <c r="U116" i="12"/>
  <c r="T116" i="12"/>
  <c r="V116" i="12"/>
  <c r="AN125" i="5"/>
  <c r="W125" i="5"/>
  <c r="AC125" i="5" a="1"/>
  <c r="AC125" i="5" s="1"/>
  <c r="J125" i="6" s="1" a="1"/>
  <c r="J125" i="6" s="1"/>
  <c r="I81" i="5"/>
  <c r="O81" i="5" s="1"/>
  <c r="O80" i="5"/>
  <c r="I123" i="5"/>
  <c r="O123" i="5" s="1"/>
  <c r="O122" i="5"/>
  <c r="Y19" i="12"/>
  <c r="T137" i="12"/>
  <c r="U137" i="12"/>
  <c r="V137" i="12"/>
  <c r="U117" i="12"/>
  <c r="T117" i="12"/>
  <c r="V117" i="12"/>
  <c r="T106" i="12"/>
  <c r="U106" i="12"/>
  <c r="V106" i="12"/>
  <c r="T69" i="12"/>
  <c r="U69" i="12"/>
  <c r="V69" i="12"/>
  <c r="AO59" i="6"/>
  <c r="AN59" i="6"/>
  <c r="H59" i="12"/>
  <c r="AM59" i="6"/>
  <c r="AJ59" i="6"/>
  <c r="AK59" i="6"/>
  <c r="AL59" i="6"/>
  <c r="V144" i="12"/>
  <c r="U144" i="12"/>
  <c r="T144" i="12"/>
  <c r="E79" i="6"/>
  <c r="D79" i="12"/>
  <c r="U42" i="12"/>
  <c r="T42" i="12"/>
  <c r="V42" i="12"/>
  <c r="N19" i="12"/>
  <c r="U101" i="12"/>
  <c r="T101" i="12"/>
  <c r="V101" i="12"/>
  <c r="V147" i="12"/>
  <c r="U147" i="12"/>
  <c r="T147" i="12"/>
  <c r="E149" i="6"/>
  <c r="D149" i="12"/>
  <c r="Y164" i="12"/>
  <c r="AO163" i="12"/>
  <c r="AN20" i="5"/>
  <c r="AC20" i="5" s="1" a="1"/>
  <c r="AC20" i="5" s="1"/>
  <c r="W20" i="5"/>
  <c r="U145" i="12"/>
  <c r="V145" i="12"/>
  <c r="T145" i="12"/>
  <c r="N164" i="12"/>
  <c r="O163" i="12"/>
  <c r="N163" i="12" s="1"/>
  <c r="AN56" i="5"/>
  <c r="AC56" i="5" s="1" a="1"/>
  <c r="AC56" i="5" s="1"/>
  <c r="J56" i="6" s="1" a="1"/>
  <c r="J56" i="6" s="1"/>
  <c r="W56" i="5"/>
  <c r="O22" i="12"/>
  <c r="AO22" i="12"/>
  <c r="C22" i="12"/>
  <c r="M22" i="12"/>
  <c r="M21" i="12" s="1"/>
  <c r="I151" i="5"/>
  <c r="O150" i="5"/>
  <c r="E19" i="6"/>
  <c r="D19" i="12"/>
  <c r="T25" i="12"/>
  <c r="V25" i="12"/>
  <c r="U25" i="12"/>
  <c r="U150" i="12"/>
  <c r="T150" i="12"/>
  <c r="V150" i="12"/>
  <c r="U24" i="12"/>
  <c r="T24" i="12"/>
  <c r="V24" i="12"/>
  <c r="I108" i="5"/>
  <c r="O107" i="5"/>
  <c r="V72" i="12"/>
  <c r="U72" i="12"/>
  <c r="T72" i="12"/>
  <c r="V107" i="12"/>
  <c r="U107" i="12"/>
  <c r="T107" i="12"/>
  <c r="V102" i="12"/>
  <c r="U102" i="12"/>
  <c r="T102" i="12"/>
  <c r="D92" i="8"/>
  <c r="AN162" i="5"/>
  <c r="AC162" i="5" s="1" a="1"/>
  <c r="AC162" i="5" s="1"/>
  <c r="J162" i="6" s="1" a="1"/>
  <c r="J162" i="6" s="1"/>
  <c r="W162" i="5"/>
  <c r="H136" i="12"/>
  <c r="AK136" i="6"/>
  <c r="AN136" i="6"/>
  <c r="AL136" i="6"/>
  <c r="AO136" i="6"/>
  <c r="Y82" i="8" s="1" a="1"/>
  <c r="Y82" i="8" s="1"/>
  <c r="AJ136" i="6"/>
  <c r="AM136" i="6"/>
  <c r="U61" i="12"/>
  <c r="T61" i="12"/>
  <c r="V61" i="12"/>
  <c r="C22" i="6"/>
  <c r="O22" i="5"/>
  <c r="T155" i="12"/>
  <c r="V155" i="12"/>
  <c r="U155" i="12"/>
  <c r="U135" i="12"/>
  <c r="T135" i="12"/>
  <c r="V135" i="12"/>
  <c r="AN132" i="5"/>
  <c r="AC132" i="5" s="1" a="1"/>
  <c r="AC132" i="5" s="1"/>
  <c r="J132" i="6" s="1" a="1"/>
  <c r="J132" i="6" s="1"/>
  <c r="W132" i="5"/>
  <c r="D106" i="12"/>
  <c r="E106" i="6"/>
  <c r="U74" i="12"/>
  <c r="T74" i="12"/>
  <c r="V74" i="12"/>
  <c r="T18" i="12"/>
  <c r="V18" i="12"/>
  <c r="U18" i="12"/>
  <c r="V34" i="12"/>
  <c r="U34" i="12"/>
  <c r="T34" i="12"/>
  <c r="V70" i="12"/>
  <c r="T70" i="12"/>
  <c r="U70" i="12"/>
  <c r="AN92" i="5"/>
  <c r="AC92" i="5" s="1" a="1"/>
  <c r="AC92" i="5" s="1"/>
  <c r="J92" i="6" s="1" a="1"/>
  <c r="J92" i="6" s="1"/>
  <c r="W92" i="5"/>
  <c r="E164" i="6"/>
  <c r="D164" i="12"/>
  <c r="T142" i="12"/>
  <c r="U142" i="12"/>
  <c r="V142" i="12"/>
  <c r="AB22" i="5"/>
  <c r="AB21" i="5" s="1"/>
  <c r="U71" i="12"/>
  <c r="V71" i="12"/>
  <c r="T71" i="12"/>
  <c r="T81" i="12"/>
  <c r="U81" i="12"/>
  <c r="V81" i="12"/>
  <c r="AN127" i="5"/>
  <c r="AC127" i="5" s="1" a="1"/>
  <c r="AC127" i="5" s="1"/>
  <c r="J127" i="6" s="1" a="1"/>
  <c r="J127" i="6" s="1"/>
  <c r="W127" i="5"/>
  <c r="L21" i="5"/>
  <c r="I21" i="12"/>
  <c r="Z21" i="5"/>
  <c r="AM21" i="5"/>
  <c r="S20" i="8"/>
  <c r="W141" i="12"/>
  <c r="X141" i="12"/>
  <c r="U138" i="12"/>
  <c r="T138" i="12"/>
  <c r="V138" i="12"/>
  <c r="V111" i="12"/>
  <c r="T111" i="12"/>
  <c r="U111" i="12"/>
  <c r="AN87" i="5"/>
  <c r="AC87" i="5" s="1" a="1"/>
  <c r="AC87" i="5" s="1"/>
  <c r="J87" i="6" s="1" a="1"/>
  <c r="J87" i="6" s="1"/>
  <c r="W87" i="5"/>
  <c r="O163" i="5"/>
  <c r="C163" i="6"/>
  <c r="V67" i="12"/>
  <c r="U67" i="12"/>
  <c r="T67" i="12"/>
  <c r="V96" i="12"/>
  <c r="T96" i="12"/>
  <c r="U96" i="12"/>
  <c r="AN50" i="5"/>
  <c r="AC50" i="5" s="1" a="1"/>
  <c r="AC50" i="5" s="1"/>
  <c r="J50" i="6" s="1" a="1"/>
  <c r="J50" i="6" s="1"/>
  <c r="W50" i="5"/>
  <c r="W33" i="12"/>
  <c r="X33" i="12"/>
  <c r="V98" i="12"/>
  <c r="U98" i="12"/>
  <c r="T98" i="12"/>
  <c r="T40" i="12"/>
  <c r="U40" i="12"/>
  <c r="V40" i="12"/>
  <c r="AN83" i="5"/>
  <c r="AC83" i="5" s="1" a="1"/>
  <c r="AC83" i="5" s="1"/>
  <c r="J83" i="6" s="1" a="1"/>
  <c r="J83" i="6" s="1"/>
  <c r="W83" i="5"/>
  <c r="C163" i="12"/>
  <c r="L163" i="12" a="1"/>
  <c r="L163" i="12" s="1"/>
  <c r="J163" i="12" a="1"/>
  <c r="J163" i="12" s="1"/>
  <c r="X94" i="12"/>
  <c r="W94" i="12"/>
  <c r="Y163" i="12" l="1"/>
  <c r="X163" i="12" s="1"/>
  <c r="AO83" i="6"/>
  <c r="AJ83" i="6"/>
  <c r="AK83" i="6"/>
  <c r="AL83" i="6"/>
  <c r="AN83" i="6"/>
  <c r="H83" i="12"/>
  <c r="AM83" i="6"/>
  <c r="E123" i="6"/>
  <c r="D123" i="12"/>
  <c r="AM132" i="6"/>
  <c r="AJ132" i="6"/>
  <c r="AO132" i="6"/>
  <c r="AL132" i="6"/>
  <c r="AN132" i="6"/>
  <c r="AK132" i="6"/>
  <c r="H132" i="12"/>
  <c r="T33" i="12"/>
  <c r="V33" i="12"/>
  <c r="U33" i="12"/>
  <c r="J21" i="12" a="1"/>
  <c r="J21" i="12" s="1"/>
  <c r="C21" i="12"/>
  <c r="L21" i="12" a="1"/>
  <c r="L21" i="12" s="1"/>
  <c r="E80" i="6"/>
  <c r="D80" i="12"/>
  <c r="E22" i="6"/>
  <c r="D22" i="12"/>
  <c r="I92" i="8"/>
  <c r="E163" i="6"/>
  <c r="D163" i="12"/>
  <c r="H162" i="12"/>
  <c r="AJ162" i="6"/>
  <c r="AO162" i="6"/>
  <c r="AN162" i="6"/>
  <c r="AL162" i="6"/>
  <c r="AM162" i="6"/>
  <c r="AK162" i="6"/>
  <c r="I109" i="5"/>
  <c r="O108" i="5"/>
  <c r="D150" i="12"/>
  <c r="E150" i="6"/>
  <c r="X59" i="5" a="1"/>
  <c r="X59" i="5" s="1"/>
  <c r="D81" i="12"/>
  <c r="E81" i="6"/>
  <c r="I152" i="5"/>
  <c r="O151" i="5"/>
  <c r="AO20" i="6"/>
  <c r="AK20" i="6"/>
  <c r="AL20" i="6"/>
  <c r="H20" i="12"/>
  <c r="AN20" i="6"/>
  <c r="AM20" i="6"/>
  <c r="AJ20" i="6"/>
  <c r="U43" i="8" a="1"/>
  <c r="U43" i="8" s="1"/>
  <c r="E43" i="8" a="1"/>
  <c r="E43" i="8" s="1"/>
  <c r="AJ125" i="6"/>
  <c r="AM125" i="6"/>
  <c r="AN125" i="6"/>
  <c r="H125" i="12"/>
  <c r="AK125" i="6"/>
  <c r="AO125" i="6"/>
  <c r="AL125" i="6"/>
  <c r="G20" i="8"/>
  <c r="G21" i="8" s="1" a="1"/>
  <c r="G21" i="8" s="1"/>
  <c r="H21" i="8" a="1"/>
  <c r="H21" i="8" s="1"/>
  <c r="H20" i="8" a="1"/>
  <c r="H20" i="8" s="1"/>
  <c r="J21" i="8" s="1"/>
  <c r="D20" i="8"/>
  <c r="AF20" i="8" a="1"/>
  <c r="AF20" i="8" s="1"/>
  <c r="AD20" i="8" a="1"/>
  <c r="AD20" i="8" s="1"/>
  <c r="AA20" i="8" a="1"/>
  <c r="AA20" i="8" s="1"/>
  <c r="AB20" i="8" a="1"/>
  <c r="AB20" i="8" s="1"/>
  <c r="X20" i="8" a="1"/>
  <c r="X20" i="8" s="1"/>
  <c r="AC20" i="8" a="1"/>
  <c r="AC20" i="8" s="1"/>
  <c r="AE20" i="8" a="1"/>
  <c r="AE20" i="8" s="1"/>
  <c r="Y20" i="8" a="1"/>
  <c r="Y20" i="8" s="1"/>
  <c r="W20" i="8" a="1"/>
  <c r="W20" i="8" s="1"/>
  <c r="V20" i="8" a="1"/>
  <c r="V20" i="8" s="1"/>
  <c r="Z20" i="8" a="1"/>
  <c r="Z20" i="8" s="1"/>
  <c r="E20" i="8" a="1"/>
  <c r="E20" i="8" s="1"/>
  <c r="U20" i="8" a="1"/>
  <c r="U20" i="8" s="1"/>
  <c r="AO92" i="6"/>
  <c r="H92" i="12"/>
  <c r="AJ92" i="6"/>
  <c r="AN92" i="6"/>
  <c r="AM92" i="6"/>
  <c r="AL92" i="6"/>
  <c r="AK92" i="6"/>
  <c r="E107" i="6"/>
  <c r="D107" i="12"/>
  <c r="U141" i="12"/>
  <c r="V141" i="12"/>
  <c r="T141" i="12"/>
  <c r="J20" i="6" a="1"/>
  <c r="J20" i="6" s="1"/>
  <c r="X164" i="12"/>
  <c r="W164" i="12"/>
  <c r="U94" i="12"/>
  <c r="T94" i="12"/>
  <c r="V94" i="12"/>
  <c r="Y22" i="12"/>
  <c r="AO21" i="12"/>
  <c r="AO87" i="6"/>
  <c r="AN87" i="6"/>
  <c r="H87" i="12"/>
  <c r="AK87" i="6"/>
  <c r="AJ87" i="6"/>
  <c r="AM87" i="6"/>
  <c r="AL87" i="6"/>
  <c r="X136" i="5" a="1"/>
  <c r="X136" i="5" s="1"/>
  <c r="N22" i="12"/>
  <c r="O21" i="12"/>
  <c r="N21" i="12" s="1"/>
  <c r="K163" i="12"/>
  <c r="AO50" i="6"/>
  <c r="H50" i="12"/>
  <c r="AL50" i="6"/>
  <c r="AJ50" i="6"/>
  <c r="AN50" i="6"/>
  <c r="AM50" i="6"/>
  <c r="AK50" i="6"/>
  <c r="C21" i="6"/>
  <c r="O21" i="5"/>
  <c r="X19" i="12"/>
  <c r="W19" i="12"/>
  <c r="AO56" i="6"/>
  <c r="AK56" i="6"/>
  <c r="AN56" i="6"/>
  <c r="H56" i="12"/>
  <c r="AL56" i="6"/>
  <c r="AM56" i="6"/>
  <c r="AJ56" i="6"/>
  <c r="AO127" i="6"/>
  <c r="H127" i="12"/>
  <c r="AM127" i="6"/>
  <c r="AN127" i="6"/>
  <c r="AK127" i="6"/>
  <c r="AJ127" i="6"/>
  <c r="AL127" i="6"/>
  <c r="E122" i="6"/>
  <c r="D122" i="12"/>
  <c r="W163" i="12" l="1"/>
  <c r="X87" i="5" a="1"/>
  <c r="X87" i="5" s="1"/>
  <c r="L87" i="5" s="1"/>
  <c r="X132" i="5" a="1"/>
  <c r="X132" i="5" s="1"/>
  <c r="U164" i="12"/>
  <c r="T164" i="12"/>
  <c r="V164" i="12"/>
  <c r="K21" i="12"/>
  <c r="X56" i="5" a="1"/>
  <c r="X56" i="5" s="1"/>
  <c r="X92" i="5" a="1"/>
  <c r="X92" i="5" s="1"/>
  <c r="D151" i="12"/>
  <c r="E151" i="6"/>
  <c r="X125" i="5" a="1"/>
  <c r="X125" i="5" s="1"/>
  <c r="X162" i="5" a="1"/>
  <c r="X162" i="5" s="1"/>
  <c r="AM136" i="5"/>
  <c r="I136" i="12"/>
  <c r="Z136" i="5"/>
  <c r="L136" i="5"/>
  <c r="I136" i="5"/>
  <c r="I137" i="5" s="1"/>
  <c r="X134" i="5" a="1"/>
  <c r="X134" i="5" s="1"/>
  <c r="O152" i="5"/>
  <c r="I153" i="5"/>
  <c r="AM87" i="5"/>
  <c r="I87" i="12"/>
  <c r="Z87" i="5"/>
  <c r="AB87" i="5" s="1"/>
  <c r="L59" i="5"/>
  <c r="X58" i="5" a="1"/>
  <c r="X58" i="5" s="1"/>
  <c r="AM59" i="5"/>
  <c r="I59" i="12"/>
  <c r="Z59" i="5"/>
  <c r="I59" i="5"/>
  <c r="X20" i="5" a="1"/>
  <c r="X20" i="5" s="1"/>
  <c r="E19" i="8" a="1"/>
  <c r="E19" i="8" s="1"/>
  <c r="U19" i="8" a="1"/>
  <c r="U19" i="8" s="1"/>
  <c r="X127" i="5" a="1"/>
  <c r="X127" i="5" s="1"/>
  <c r="Y21" i="12"/>
  <c r="I20" i="8"/>
  <c r="E21" i="6"/>
  <c r="D21" i="12"/>
  <c r="X50" i="5" a="1"/>
  <c r="X50" i="5" s="1"/>
  <c r="W22" i="12"/>
  <c r="X22" i="12"/>
  <c r="E108" i="6"/>
  <c r="D108" i="12"/>
  <c r="X83" i="5" a="1"/>
  <c r="X83" i="5" s="1"/>
  <c r="T19" i="12"/>
  <c r="U19" i="12"/>
  <c r="V19" i="12"/>
  <c r="I110" i="5"/>
  <c r="O109" i="5"/>
  <c r="T163" i="12"/>
  <c r="V163" i="12"/>
  <c r="U163" i="12"/>
  <c r="Z132" i="5"/>
  <c r="L132" i="5"/>
  <c r="I132" i="12"/>
  <c r="AM132" i="5"/>
  <c r="U22" i="12" l="1"/>
  <c r="T22" i="12"/>
  <c r="V22" i="12"/>
  <c r="Z125" i="5"/>
  <c r="AM125" i="5"/>
  <c r="L125" i="5"/>
  <c r="I125" i="12"/>
  <c r="I125" i="5"/>
  <c r="I154" i="5"/>
  <c r="O153" i="5"/>
  <c r="O110" i="5"/>
  <c r="I111" i="5"/>
  <c r="S80" i="8"/>
  <c r="AM134" i="5"/>
  <c r="L134" i="5"/>
  <c r="I134" i="12"/>
  <c r="Z134" i="5"/>
  <c r="AB59" i="5"/>
  <c r="W21" i="12"/>
  <c r="X21" i="12"/>
  <c r="L58" i="5"/>
  <c r="S41" i="8"/>
  <c r="AM58" i="5"/>
  <c r="I58" i="12"/>
  <c r="Z58" i="5"/>
  <c r="I138" i="5"/>
  <c r="O137" i="5"/>
  <c r="D109" i="12"/>
  <c r="E109" i="6"/>
  <c r="AM127" i="5"/>
  <c r="Z127" i="5"/>
  <c r="L127" i="5"/>
  <c r="I127" i="12"/>
  <c r="C59" i="6"/>
  <c r="O59" i="5"/>
  <c r="C136" i="6"/>
  <c r="O136" i="5"/>
  <c r="L92" i="5"/>
  <c r="AM92" i="5"/>
  <c r="I92" i="12"/>
  <c r="Z92" i="5"/>
  <c r="E152" i="6"/>
  <c r="D152" i="12"/>
  <c r="AB136" i="5"/>
  <c r="AM56" i="5"/>
  <c r="Z56" i="5"/>
  <c r="I56" i="12"/>
  <c r="L56" i="5"/>
  <c r="L83" i="5"/>
  <c r="AM83" i="5"/>
  <c r="I83" i="12"/>
  <c r="Z83" i="5"/>
  <c r="I83" i="5"/>
  <c r="AO136" i="12"/>
  <c r="M136" i="12"/>
  <c r="O136" i="12"/>
  <c r="C136" i="12"/>
  <c r="C59" i="12"/>
  <c r="O59" i="12"/>
  <c r="M59" i="12"/>
  <c r="AO59" i="12"/>
  <c r="C87" i="6"/>
  <c r="Z50" i="5"/>
  <c r="AM50" i="5"/>
  <c r="I50" i="12"/>
  <c r="L50" i="5"/>
  <c r="L20" i="5"/>
  <c r="AM20" i="5"/>
  <c r="Z20" i="5"/>
  <c r="I20" i="5"/>
  <c r="I20" i="12"/>
  <c r="X17" i="5" a="1"/>
  <c r="X17" i="5" s="1"/>
  <c r="AO132" i="12"/>
  <c r="M132" i="12"/>
  <c r="O132" i="12"/>
  <c r="C132" i="12"/>
  <c r="C132" i="6"/>
  <c r="AB132" i="5"/>
  <c r="C87" i="12"/>
  <c r="O87" i="12"/>
  <c r="AO87" i="12"/>
  <c r="Y87" i="12" s="1"/>
  <c r="M87" i="12"/>
  <c r="I162" i="12"/>
  <c r="AM162" i="5"/>
  <c r="Z162" i="5"/>
  <c r="L162" i="5"/>
  <c r="C162" i="6" s="1"/>
  <c r="N87" i="12" l="1"/>
  <c r="I17" i="12"/>
  <c r="Z17" i="5"/>
  <c r="L17" i="5"/>
  <c r="AM17" i="5"/>
  <c r="S17" i="8"/>
  <c r="AB50" i="5"/>
  <c r="AB134" i="5"/>
  <c r="H42" i="8" a="1"/>
  <c r="H42" i="8" s="1"/>
  <c r="V41" i="8" a="1"/>
  <c r="V41" i="8" s="1"/>
  <c r="H41" i="8" a="1"/>
  <c r="H41" i="8" s="1"/>
  <c r="J42" i="8" s="1"/>
  <c r="AB41" i="8" a="1"/>
  <c r="AB41" i="8" s="1"/>
  <c r="G41" i="8"/>
  <c r="AF41" i="8" a="1"/>
  <c r="AF41" i="8" s="1"/>
  <c r="AC41" i="8" a="1"/>
  <c r="AC41" i="8" s="1"/>
  <c r="Y41" i="8" a="1"/>
  <c r="Y41" i="8" s="1"/>
  <c r="Z41" i="8" a="1"/>
  <c r="Z41" i="8" s="1"/>
  <c r="W41" i="8" a="1"/>
  <c r="W41" i="8" s="1"/>
  <c r="AE41" i="8" a="1"/>
  <c r="AE41" i="8" s="1"/>
  <c r="X41" i="8" a="1"/>
  <c r="X41" i="8" s="1"/>
  <c r="AA41" i="8" a="1"/>
  <c r="AA41" i="8" s="1"/>
  <c r="AD41" i="8" a="1"/>
  <c r="AD41" i="8" s="1"/>
  <c r="E41" i="8" a="1"/>
  <c r="E41" i="8" s="1"/>
  <c r="U41" i="8" a="1"/>
  <c r="U41" i="8" s="1"/>
  <c r="D110" i="12"/>
  <c r="E110" i="6"/>
  <c r="C127" i="12"/>
  <c r="O127" i="12"/>
  <c r="AO127" i="12"/>
  <c r="Y127" i="12" s="1"/>
  <c r="M127" i="12"/>
  <c r="C58" i="6"/>
  <c r="O58" i="5"/>
  <c r="D153" i="12"/>
  <c r="E153" i="6"/>
  <c r="O20" i="12"/>
  <c r="AO20" i="12"/>
  <c r="M20" i="12"/>
  <c r="C20" i="12"/>
  <c r="AB83" i="5"/>
  <c r="C127" i="6"/>
  <c r="I155" i="5"/>
  <c r="O155" i="5" s="1"/>
  <c r="O154" i="5"/>
  <c r="AO58" i="12"/>
  <c r="Y59" i="12"/>
  <c r="C83" i="12"/>
  <c r="O83" i="12"/>
  <c r="M83" i="12"/>
  <c r="M82" i="12" s="1"/>
  <c r="AO83" i="12"/>
  <c r="AB127" i="5"/>
  <c r="U21" i="12"/>
  <c r="V21" i="12"/>
  <c r="T21" i="12"/>
  <c r="M58" i="12"/>
  <c r="M57" i="12"/>
  <c r="AB92" i="5"/>
  <c r="N59" i="12"/>
  <c r="O58" i="12"/>
  <c r="O57" i="12"/>
  <c r="C83" i="6"/>
  <c r="O83" i="5"/>
  <c r="O92" i="12"/>
  <c r="AO92" i="12"/>
  <c r="Y92" i="12" s="1"/>
  <c r="M92" i="12"/>
  <c r="C92" i="12"/>
  <c r="AB58" i="5"/>
  <c r="D41" i="8" s="1"/>
  <c r="O125" i="12"/>
  <c r="O124" i="12" s="1"/>
  <c r="C125" i="12"/>
  <c r="AO125" i="12"/>
  <c r="M125" i="12"/>
  <c r="C20" i="6"/>
  <c r="O20" i="5"/>
  <c r="C125" i="6"/>
  <c r="O125" i="5"/>
  <c r="W87" i="12"/>
  <c r="X87" i="12"/>
  <c r="AB20" i="5"/>
  <c r="C56" i="6"/>
  <c r="C92" i="6"/>
  <c r="D137" i="12"/>
  <c r="E137" i="6"/>
  <c r="C134" i="12"/>
  <c r="L134" i="12" a="1"/>
  <c r="L134" i="12" s="1"/>
  <c r="J134" i="12" a="1"/>
  <c r="J134" i="12" s="1"/>
  <c r="Y132" i="12"/>
  <c r="N132" i="12"/>
  <c r="Y136" i="12"/>
  <c r="N136" i="12"/>
  <c r="AO56" i="12"/>
  <c r="C56" i="12"/>
  <c r="O56" i="12"/>
  <c r="M56" i="12"/>
  <c r="D136" i="12"/>
  <c r="E136" i="6"/>
  <c r="I139" i="5"/>
  <c r="O138" i="5"/>
  <c r="C134" i="6"/>
  <c r="O134" i="5"/>
  <c r="AB125" i="5"/>
  <c r="AB162" i="5"/>
  <c r="C50" i="6"/>
  <c r="AB56" i="5"/>
  <c r="C50" i="12"/>
  <c r="O50" i="12"/>
  <c r="M50" i="12"/>
  <c r="AO50" i="12"/>
  <c r="AO134" i="12"/>
  <c r="Y134" i="12" s="1"/>
  <c r="E59" i="6"/>
  <c r="D59" i="12"/>
  <c r="J58" i="12" a="1"/>
  <c r="J58" i="12" s="1"/>
  <c r="C58" i="12"/>
  <c r="L58" i="12" a="1"/>
  <c r="L58" i="12" s="1"/>
  <c r="U80" i="8" a="1"/>
  <c r="U80" i="8" s="1"/>
  <c r="AF80" i="8" a="1"/>
  <c r="AF80" i="8" s="1"/>
  <c r="AB80" i="8" a="1"/>
  <c r="AB80" i="8" s="1"/>
  <c r="H81" i="8" a="1"/>
  <c r="H81" i="8" s="1"/>
  <c r="Z80" i="8" a="1"/>
  <c r="Z80" i="8" s="1"/>
  <c r="H80" i="8" a="1"/>
  <c r="H80" i="8" s="1"/>
  <c r="J81" i="8" s="1"/>
  <c r="AD80" i="8" a="1"/>
  <c r="AD80" i="8" s="1"/>
  <c r="G80" i="8"/>
  <c r="E80" i="8" a="1"/>
  <c r="E80" i="8" s="1"/>
  <c r="D80" i="8"/>
  <c r="W80" i="8" a="1"/>
  <c r="W80" i="8" s="1"/>
  <c r="AC80" i="8" a="1"/>
  <c r="AC80" i="8" s="1"/>
  <c r="AA80" i="8" a="1"/>
  <c r="AA80" i="8" s="1"/>
  <c r="AE80" i="8" a="1"/>
  <c r="AE80" i="8" s="1"/>
  <c r="V80" i="8" a="1"/>
  <c r="V80" i="8" s="1"/>
  <c r="X80" i="8" a="1"/>
  <c r="X80" i="8" s="1"/>
  <c r="Y80" i="8" a="1"/>
  <c r="Y80" i="8" s="1"/>
  <c r="C162" i="12"/>
  <c r="M162" i="12"/>
  <c r="AO162" i="12"/>
  <c r="Y162" i="12" s="1"/>
  <c r="O162" i="12"/>
  <c r="N162" i="12" s="1"/>
  <c r="I112" i="5"/>
  <c r="O111" i="5"/>
  <c r="AG49" i="5"/>
  <c r="AG84" i="5"/>
  <c r="K134" i="12" l="1"/>
  <c r="N58" i="12"/>
  <c r="N50" i="12"/>
  <c r="U84" i="5"/>
  <c r="U49" i="5"/>
  <c r="W132" i="12"/>
  <c r="X132" i="12"/>
  <c r="Y58" i="12"/>
  <c r="D138" i="12"/>
  <c r="E138" i="6"/>
  <c r="T87" i="12"/>
  <c r="V87" i="12"/>
  <c r="U87" i="12"/>
  <c r="N92" i="12"/>
  <c r="E154" i="6"/>
  <c r="D154" i="12"/>
  <c r="I41" i="8"/>
  <c r="E58" i="6"/>
  <c r="D58" i="12"/>
  <c r="D125" i="12"/>
  <c r="E125" i="6"/>
  <c r="X92" i="12"/>
  <c r="W92" i="12"/>
  <c r="D155" i="12"/>
  <c r="E155" i="6"/>
  <c r="K58" i="12"/>
  <c r="D20" i="12"/>
  <c r="E20" i="6"/>
  <c r="D83" i="12"/>
  <c r="E83" i="6"/>
  <c r="W127" i="12"/>
  <c r="X127" i="12"/>
  <c r="I113" i="5"/>
  <c r="O112" i="5"/>
  <c r="N127" i="12"/>
  <c r="Y56" i="12"/>
  <c r="N56" i="12"/>
  <c r="N125" i="12"/>
  <c r="M124" i="12"/>
  <c r="N124" i="12" s="1"/>
  <c r="N57" i="12"/>
  <c r="Y83" i="12"/>
  <c r="Y125" i="12"/>
  <c r="G17" i="8"/>
  <c r="G18" i="8" s="1" a="1"/>
  <c r="G18" i="8" s="1"/>
  <c r="H17" i="8" a="1"/>
  <c r="H17" i="8" s="1"/>
  <c r="J18" i="8" s="1"/>
  <c r="H18" i="8" a="1"/>
  <c r="H18" i="8" s="1"/>
  <c r="W17" i="8" a="1"/>
  <c r="W17" i="8" s="1"/>
  <c r="X17" i="8" a="1"/>
  <c r="X17" i="8" s="1"/>
  <c r="AA17" i="8" a="1"/>
  <c r="AA17" i="8" s="1"/>
  <c r="AB17" i="8" a="1"/>
  <c r="AB17" i="8" s="1"/>
  <c r="AC17" i="8" a="1"/>
  <c r="AC17" i="8" s="1"/>
  <c r="AE17" i="8" a="1"/>
  <c r="AE17" i="8" s="1"/>
  <c r="AF17" i="8" a="1"/>
  <c r="AF17" i="8" s="1"/>
  <c r="V17" i="8" a="1"/>
  <c r="V17" i="8" s="1"/>
  <c r="Y17" i="8" a="1"/>
  <c r="Y17" i="8" s="1"/>
  <c r="AD17" i="8" a="1"/>
  <c r="AD17" i="8" s="1"/>
  <c r="Z17" i="8" a="1"/>
  <c r="Z17" i="8" s="1"/>
  <c r="U17" i="8" a="1"/>
  <c r="U17" i="8" s="1"/>
  <c r="E17" i="8" a="1"/>
  <c r="E17" i="8" s="1"/>
  <c r="I140" i="5"/>
  <c r="O140" i="5" s="1"/>
  <c r="O139" i="5"/>
  <c r="N83" i="12"/>
  <c r="O82" i="12"/>
  <c r="N82" i="12" s="1"/>
  <c r="Y20" i="12"/>
  <c r="AO17" i="12"/>
  <c r="Y17" i="12" s="1"/>
  <c r="C17" i="6"/>
  <c r="O17" i="5"/>
  <c r="E111" i="6"/>
  <c r="D111" i="12"/>
  <c r="X134" i="12"/>
  <c r="W134" i="12"/>
  <c r="W136" i="12"/>
  <c r="X136" i="12"/>
  <c r="N20" i="12"/>
  <c r="X162" i="12"/>
  <c r="W162" i="12"/>
  <c r="Y50" i="12"/>
  <c r="I80" i="8"/>
  <c r="E134" i="6"/>
  <c r="D134" i="12"/>
  <c r="AB17" i="5"/>
  <c r="D17" i="8" s="1"/>
  <c r="W59" i="12"/>
  <c r="X59" i="12"/>
  <c r="C17" i="12"/>
  <c r="L17" i="12" a="1"/>
  <c r="L17" i="12" s="1"/>
  <c r="J17" i="12" a="1"/>
  <c r="J17" i="12" s="1"/>
  <c r="E17" i="6" l="1"/>
  <c r="I17" i="8"/>
  <c r="D17" i="12"/>
  <c r="X56" i="12"/>
  <c r="W56" i="12"/>
  <c r="W50" i="12"/>
  <c r="X50" i="12"/>
  <c r="W17" i="12"/>
  <c r="X17" i="12"/>
  <c r="U92" i="12"/>
  <c r="T92" i="12"/>
  <c r="V92" i="12"/>
  <c r="E112" i="6"/>
  <c r="D112" i="12"/>
  <c r="V136" i="12"/>
  <c r="T136" i="12"/>
  <c r="U136" i="12"/>
  <c r="X125" i="12"/>
  <c r="W125" i="12"/>
  <c r="I114" i="5"/>
  <c r="O113" i="5"/>
  <c r="V162" i="12"/>
  <c r="T162" i="12"/>
  <c r="U162" i="12"/>
  <c r="X58" i="12"/>
  <c r="W58" i="12"/>
  <c r="V59" i="12"/>
  <c r="U59" i="12"/>
  <c r="T59" i="12"/>
  <c r="V127" i="12"/>
  <c r="U127" i="12"/>
  <c r="T127" i="12"/>
  <c r="W20" i="12"/>
  <c r="X20" i="12"/>
  <c r="T134" i="12"/>
  <c r="V134" i="12"/>
  <c r="U134" i="12"/>
  <c r="D139" i="12"/>
  <c r="E139" i="6"/>
  <c r="W83" i="12"/>
  <c r="X83" i="12"/>
  <c r="T132" i="12"/>
  <c r="U132" i="12"/>
  <c r="V132" i="12"/>
  <c r="D140" i="12"/>
  <c r="E140" i="6"/>
  <c r="W49" i="5"/>
  <c r="AN49" i="5"/>
  <c r="AC49" i="5" s="1" a="1"/>
  <c r="AC49" i="5" s="1"/>
  <c r="J49" i="6" s="1" a="1"/>
  <c r="J49" i="6" s="1"/>
  <c r="K17" i="12"/>
  <c r="W84" i="5"/>
  <c r="AN84" i="5"/>
  <c r="AC84" i="5" s="1" a="1"/>
  <c r="AC84" i="5" s="1"/>
  <c r="J84" i="6" s="1" a="1"/>
  <c r="J84" i="6" s="1"/>
  <c r="AM49" i="6" l="1"/>
  <c r="AL49" i="6"/>
  <c r="AJ49" i="6"/>
  <c r="H49" i="12"/>
  <c r="AN49" i="6"/>
  <c r="AO49" i="6"/>
  <c r="AK49" i="6"/>
  <c r="T17" i="12"/>
  <c r="U17" i="12"/>
  <c r="V17" i="12"/>
  <c r="E113" i="6"/>
  <c r="D113" i="12"/>
  <c r="U125" i="12"/>
  <c r="V125" i="12"/>
  <c r="T125" i="12"/>
  <c r="T50" i="12"/>
  <c r="V50" i="12"/>
  <c r="U50" i="12"/>
  <c r="I115" i="5"/>
  <c r="O115" i="5" s="1"/>
  <c r="O114" i="5"/>
  <c r="U56" i="12"/>
  <c r="V56" i="12"/>
  <c r="T56" i="12"/>
  <c r="V83" i="12"/>
  <c r="U83" i="12"/>
  <c r="T83" i="12"/>
  <c r="V20" i="12"/>
  <c r="T20" i="12"/>
  <c r="U20" i="12"/>
  <c r="AO84" i="6"/>
  <c r="AL84" i="6"/>
  <c r="H84" i="12"/>
  <c r="AJ84" i="6"/>
  <c r="AK84" i="6"/>
  <c r="AM84" i="6"/>
  <c r="AN84" i="6"/>
  <c r="V58" i="12"/>
  <c r="T58" i="12"/>
  <c r="U58" i="12"/>
  <c r="X84" i="5" l="1" a="1"/>
  <c r="X84" i="5" s="1"/>
  <c r="D114" i="12"/>
  <c r="E114" i="6"/>
  <c r="D115" i="12"/>
  <c r="E115" i="6"/>
  <c r="X49" i="5" a="1"/>
  <c r="X49" i="5" s="1"/>
  <c r="AM49" i="5" l="1"/>
  <c r="I49" i="12"/>
  <c r="L49" i="5"/>
  <c r="Z49" i="5"/>
  <c r="I49" i="5"/>
  <c r="I50" i="5" s="1"/>
  <c r="O50" i="5" s="1"/>
  <c r="I84" i="12"/>
  <c r="Z84" i="5"/>
  <c r="L84" i="5"/>
  <c r="AM84" i="5"/>
  <c r="I84" i="5"/>
  <c r="C84" i="6" l="1"/>
  <c r="O84" i="5"/>
  <c r="AB84" i="5"/>
  <c r="M84" i="12"/>
  <c r="O84" i="12"/>
  <c r="N84" i="12" s="1"/>
  <c r="C84" i="12"/>
  <c r="AO84" i="12"/>
  <c r="E50" i="6"/>
  <c r="D50" i="12"/>
  <c r="AB49" i="5"/>
  <c r="C49" i="6"/>
  <c r="O49" i="5"/>
  <c r="AO49" i="12"/>
  <c r="M49" i="12"/>
  <c r="M48" i="12" s="1"/>
  <c r="O49" i="12"/>
  <c r="C49" i="12"/>
  <c r="Y84" i="12" l="1"/>
  <c r="O48" i="12"/>
  <c r="N48" i="12" s="1"/>
  <c r="N49" i="12"/>
  <c r="Y49" i="12"/>
  <c r="E84" i="6"/>
  <c r="D84" i="12"/>
  <c r="D49" i="12"/>
  <c r="E49" i="6"/>
  <c r="AG89" i="5"/>
  <c r="AG53" i="5"/>
  <c r="AG129" i="5"/>
  <c r="AG159" i="5"/>
  <c r="AG55" i="5"/>
  <c r="AG131" i="5"/>
  <c r="AG161" i="5"/>
  <c r="AG91" i="5"/>
  <c r="AG54" i="5"/>
  <c r="AG130" i="5"/>
  <c r="AG160" i="5"/>
  <c r="AG90" i="5"/>
  <c r="U90" i="5" l="1"/>
  <c r="U160" i="5"/>
  <c r="U130" i="5"/>
  <c r="U54" i="5"/>
  <c r="U91" i="5"/>
  <c r="U161" i="5"/>
  <c r="U131" i="5"/>
  <c r="U55" i="5"/>
  <c r="U159" i="5"/>
  <c r="U129" i="5"/>
  <c r="U53" i="5"/>
  <c r="U89" i="5"/>
  <c r="W49" i="12"/>
  <c r="X49" i="12"/>
  <c r="X84" i="12"/>
  <c r="W84" i="12"/>
  <c r="AG51" i="5"/>
  <c r="AG86" i="5"/>
  <c r="AG45" i="5"/>
  <c r="AG157" i="5"/>
  <c r="AG126" i="5"/>
  <c r="AG85" i="5"/>
  <c r="U85" i="5" l="1"/>
  <c r="U126" i="5"/>
  <c r="U157" i="5"/>
  <c r="U45" i="5"/>
  <c r="U86" i="5"/>
  <c r="U51" i="5"/>
  <c r="W89" i="5"/>
  <c r="AN89" i="5"/>
  <c r="AC89" i="5" s="1" a="1"/>
  <c r="AC89" i="5" s="1"/>
  <c r="J89" i="6" s="1" a="1"/>
  <c r="J89" i="6" s="1"/>
  <c r="AN53" i="5"/>
  <c r="AC53" i="5" s="1" a="1"/>
  <c r="AC53" i="5" s="1"/>
  <c r="J53" i="6" s="1" a="1"/>
  <c r="J53" i="6" s="1"/>
  <c r="W53" i="5"/>
  <c r="W129" i="5"/>
  <c r="AN129" i="5"/>
  <c r="AC129" i="5" s="1" a="1"/>
  <c r="AC129" i="5" s="1"/>
  <c r="J129" i="6" s="1" a="1"/>
  <c r="J129" i="6" s="1"/>
  <c r="AN159" i="5"/>
  <c r="AC159" i="5" s="1" a="1"/>
  <c r="AC159" i="5" s="1"/>
  <c r="J159" i="6" s="1" a="1"/>
  <c r="J159" i="6" s="1"/>
  <c r="W159" i="5"/>
  <c r="W55" i="5"/>
  <c r="AN55" i="5"/>
  <c r="AC55" i="5" s="1" a="1"/>
  <c r="AC55" i="5" s="1"/>
  <c r="J55" i="6" s="1" a="1"/>
  <c r="J55" i="6" s="1"/>
  <c r="W131" i="5"/>
  <c r="AN131" i="5"/>
  <c r="AC131" i="5" s="1" a="1"/>
  <c r="AC131" i="5" s="1"/>
  <c r="J131" i="6" s="1" a="1"/>
  <c r="J131" i="6" s="1"/>
  <c r="AN161" i="5"/>
  <c r="AC161" i="5" s="1" a="1"/>
  <c r="AC161" i="5" s="1"/>
  <c r="W161" i="5"/>
  <c r="AN91" i="5"/>
  <c r="AC91" i="5" s="1" a="1"/>
  <c r="AC91" i="5" s="1"/>
  <c r="J91" i="6" s="1" a="1"/>
  <c r="J91" i="6" s="1"/>
  <c r="W91" i="5"/>
  <c r="U84" i="12"/>
  <c r="V84" i="12"/>
  <c r="T84" i="12"/>
  <c r="W54" i="5"/>
  <c r="AN54" i="5"/>
  <c r="AC54" i="5" s="1" a="1"/>
  <c r="AC54" i="5" s="1"/>
  <c r="J54" i="6" s="1" a="1"/>
  <c r="J54" i="6" s="1"/>
  <c r="W130" i="5"/>
  <c r="AN130" i="5"/>
  <c r="AC130" i="5" s="1" a="1"/>
  <c r="AC130" i="5" s="1"/>
  <c r="J130" i="6" s="1" a="1"/>
  <c r="J130" i="6" s="1"/>
  <c r="AN160" i="5"/>
  <c r="W160" i="5"/>
  <c r="AC160" i="5" a="1"/>
  <c r="AC160" i="5" s="1"/>
  <c r="J160" i="6" s="1" a="1"/>
  <c r="J160" i="6" s="1"/>
  <c r="V49" i="12"/>
  <c r="U49" i="12"/>
  <c r="T49" i="12"/>
  <c r="W90" i="5"/>
  <c r="AN90" i="5"/>
  <c r="AC90" i="5" s="1" a="1"/>
  <c r="AC90" i="5" s="1"/>
  <c r="J90" i="6" s="1" a="1"/>
  <c r="J90" i="6" s="1"/>
  <c r="AJ129" i="6" l="1"/>
  <c r="AM129" i="6"/>
  <c r="AL129" i="6"/>
  <c r="AN129" i="6"/>
  <c r="AK129" i="6"/>
  <c r="AO129" i="6"/>
  <c r="H129" i="12"/>
  <c r="AO90" i="6"/>
  <c r="AM90" i="6"/>
  <c r="AN90" i="6"/>
  <c r="AJ90" i="6"/>
  <c r="X90" i="5" s="1" a="1"/>
  <c r="X90" i="5" s="1"/>
  <c r="AK90" i="6"/>
  <c r="H90" i="12"/>
  <c r="AL90" i="6"/>
  <c r="AM91" i="6"/>
  <c r="AK91" i="6"/>
  <c r="AL91" i="6"/>
  <c r="AN91" i="6"/>
  <c r="AJ91" i="6"/>
  <c r="X91" i="5" s="1" a="1"/>
  <c r="X91" i="5" s="1"/>
  <c r="H91" i="12"/>
  <c r="AO91" i="6"/>
  <c r="AO53" i="6"/>
  <c r="AN53" i="6"/>
  <c r="AK53" i="6"/>
  <c r="AM53" i="6"/>
  <c r="H53" i="12"/>
  <c r="AJ53" i="6"/>
  <c r="AL53" i="6"/>
  <c r="AJ161" i="6"/>
  <c r="AO161" i="6"/>
  <c r="AN161" i="6"/>
  <c r="AL161" i="6"/>
  <c r="AK161" i="6"/>
  <c r="H161" i="12"/>
  <c r="AM161" i="6"/>
  <c r="AM160" i="6"/>
  <c r="AJ160" i="6"/>
  <c r="AN160" i="6"/>
  <c r="AL160" i="6"/>
  <c r="AO160" i="6"/>
  <c r="AK160" i="6"/>
  <c r="H160" i="12"/>
  <c r="J161" i="6" a="1"/>
  <c r="J161" i="6" s="1"/>
  <c r="AO89" i="6"/>
  <c r="AK89" i="6"/>
  <c r="H89" i="12"/>
  <c r="AN89" i="6"/>
  <c r="AL89" i="6"/>
  <c r="AM89" i="6"/>
  <c r="AJ89" i="6"/>
  <c r="W51" i="5"/>
  <c r="AN51" i="5"/>
  <c r="AC51" i="5" s="1" a="1"/>
  <c r="AC51" i="5" s="1"/>
  <c r="J51" i="6" s="1" a="1"/>
  <c r="J51" i="6" s="1"/>
  <c r="AJ131" i="6"/>
  <c r="AO131" i="6"/>
  <c r="AL131" i="6"/>
  <c r="H131" i="12"/>
  <c r="AN131" i="6"/>
  <c r="AK131" i="6"/>
  <c r="AM131" i="6"/>
  <c r="W86" i="5"/>
  <c r="AN86" i="5"/>
  <c r="AC86" i="5" s="1" a="1"/>
  <c r="AC86" i="5" s="1"/>
  <c r="J86" i="6" s="1" a="1"/>
  <c r="J86" i="6" s="1"/>
  <c r="H130" i="12"/>
  <c r="AN130" i="6"/>
  <c r="AM130" i="6"/>
  <c r="AO130" i="6"/>
  <c r="AK130" i="6"/>
  <c r="AJ130" i="6"/>
  <c r="AL130" i="6"/>
  <c r="AN45" i="5"/>
  <c r="AC45" i="5" s="1" a="1"/>
  <c r="AC45" i="5" s="1"/>
  <c r="J45" i="6" s="1" a="1"/>
  <c r="J45" i="6" s="1"/>
  <c r="W45" i="5"/>
  <c r="AJ55" i="6"/>
  <c r="X55" i="5" s="1" a="1"/>
  <c r="X55" i="5" s="1"/>
  <c r="AN55" i="6"/>
  <c r="AL55" i="6"/>
  <c r="AO55" i="6"/>
  <c r="AM55" i="6"/>
  <c r="H55" i="12"/>
  <c r="AK55" i="6"/>
  <c r="AN157" i="5"/>
  <c r="AC157" i="5" s="1" a="1"/>
  <c r="AC157" i="5" s="1"/>
  <c r="J157" i="6" s="1" a="1"/>
  <c r="J157" i="6" s="1"/>
  <c r="W157" i="5"/>
  <c r="AO54" i="6"/>
  <c r="AN54" i="6"/>
  <c r="AL54" i="6"/>
  <c r="AJ54" i="6"/>
  <c r="X54" i="5" s="1" a="1"/>
  <c r="X54" i="5" s="1"/>
  <c r="AM54" i="6"/>
  <c r="H54" i="12"/>
  <c r="AK54" i="6"/>
  <c r="AM159" i="6"/>
  <c r="AL159" i="6"/>
  <c r="H159" i="12"/>
  <c r="AK159" i="6"/>
  <c r="AO159" i="6"/>
  <c r="Y91" i="8" s="1" a="1"/>
  <c r="Y91" i="8" s="1"/>
  <c r="AN159" i="6"/>
  <c r="AJ159" i="6"/>
  <c r="X159" i="5" s="1" a="1"/>
  <c r="X159" i="5" s="1"/>
  <c r="W126" i="5"/>
  <c r="AN126" i="5"/>
  <c r="AC126" i="5" s="1" a="1"/>
  <c r="AC126" i="5" s="1"/>
  <c r="J126" i="6" s="1" a="1"/>
  <c r="J126" i="6" s="1"/>
  <c r="W85" i="5"/>
  <c r="AN85" i="5"/>
  <c r="AC85" i="5" s="1" a="1"/>
  <c r="AC85" i="5" s="1"/>
  <c r="J85" i="6" s="1" a="1"/>
  <c r="J85" i="6" s="1"/>
  <c r="L54" i="5" l="1"/>
  <c r="AM54" i="5"/>
  <c r="I54" i="12"/>
  <c r="Z54" i="5"/>
  <c r="L55" i="5"/>
  <c r="AM55" i="5"/>
  <c r="Z55" i="5"/>
  <c r="I55" i="12"/>
  <c r="AL126" i="6"/>
  <c r="AN126" i="6"/>
  <c r="X73" i="8" s="1" a="1"/>
  <c r="X73" i="8" s="1"/>
  <c r="H126" i="12"/>
  <c r="AJ126" i="6"/>
  <c r="AK126" i="6"/>
  <c r="AO126" i="6"/>
  <c r="AM126" i="6"/>
  <c r="AO45" i="6"/>
  <c r="AJ45" i="6"/>
  <c r="AM45" i="6"/>
  <c r="AK45" i="6"/>
  <c r="H45" i="12"/>
  <c r="AN45" i="6"/>
  <c r="AL45" i="6"/>
  <c r="V31" i="8" s="1" a="1"/>
  <c r="V31" i="8" s="1"/>
  <c r="I90" i="12"/>
  <c r="AM90" i="5"/>
  <c r="Z90" i="5"/>
  <c r="L90" i="5"/>
  <c r="AM159" i="5"/>
  <c r="L159" i="5"/>
  <c r="Z159" i="5"/>
  <c r="I159" i="12"/>
  <c r="I159" i="5"/>
  <c r="AM157" i="6"/>
  <c r="AK157" i="6"/>
  <c r="H157" i="12"/>
  <c r="AL157" i="6"/>
  <c r="AO157" i="6"/>
  <c r="Z88" i="8" s="1" a="1"/>
  <c r="Z88" i="8" s="1"/>
  <c r="AN157" i="6"/>
  <c r="AJ157" i="6"/>
  <c r="X130" i="5" a="1"/>
  <c r="X130" i="5" s="1"/>
  <c r="Z91" i="5"/>
  <c r="I91" i="12"/>
  <c r="L91" i="5"/>
  <c r="AM91" i="5"/>
  <c r="X131" i="5" a="1"/>
  <c r="X131" i="5" s="1"/>
  <c r="X161" i="5" a="1"/>
  <c r="X161" i="5" s="1"/>
  <c r="AM51" i="6"/>
  <c r="H51" i="12"/>
  <c r="AK51" i="6"/>
  <c r="AN51" i="6"/>
  <c r="AL51" i="6"/>
  <c r="V34" i="8" s="1" a="1"/>
  <c r="V34" i="8" s="1"/>
  <c r="AJ51" i="6"/>
  <c r="AO51" i="6"/>
  <c r="E37" i="8" a="1"/>
  <c r="E37" i="8" s="1"/>
  <c r="U37" i="8" a="1"/>
  <c r="U37" i="8" s="1"/>
  <c r="W76" i="8" a="1"/>
  <c r="W76" i="8" s="1"/>
  <c r="X89" i="5" a="1"/>
  <c r="X89" i="5" s="1"/>
  <c r="X53" i="5" a="1"/>
  <c r="X53" i="5" s="1"/>
  <c r="E58" i="8" a="1"/>
  <c r="E58" i="8" s="1"/>
  <c r="U58" i="8" a="1"/>
  <c r="U58" i="8" s="1"/>
  <c r="AO85" i="6"/>
  <c r="AM85" i="6"/>
  <c r="H85" i="12"/>
  <c r="AK85" i="6"/>
  <c r="AL85" i="6"/>
  <c r="AN85" i="6"/>
  <c r="AJ85" i="6"/>
  <c r="AO86" i="6"/>
  <c r="AJ86" i="6"/>
  <c r="AL86" i="6"/>
  <c r="AK86" i="6"/>
  <c r="H86" i="12"/>
  <c r="AM86" i="6"/>
  <c r="AN86" i="6"/>
  <c r="X160" i="5" a="1"/>
  <c r="X160" i="5" s="1"/>
  <c r="X158" i="5" s="1" a="1"/>
  <c r="X158" i="5" s="1"/>
  <c r="X129" i="5" a="1"/>
  <c r="X129" i="5" s="1"/>
  <c r="X85" i="5" l="1" a="1"/>
  <c r="X85" i="5" s="1"/>
  <c r="X51" i="5" a="1"/>
  <c r="X51" i="5" s="1"/>
  <c r="V55" i="8" a="1"/>
  <c r="V55" i="8" s="1"/>
  <c r="S89" i="8"/>
  <c r="L158" i="5"/>
  <c r="AM158" i="5"/>
  <c r="Z158" i="5"/>
  <c r="I158" i="12"/>
  <c r="C91" i="6"/>
  <c r="C91" i="12"/>
  <c r="O91" i="12"/>
  <c r="M91" i="12"/>
  <c r="AO91" i="12"/>
  <c r="AO159" i="12"/>
  <c r="C159" i="12"/>
  <c r="M159" i="12"/>
  <c r="M158" i="12" s="1"/>
  <c r="O159" i="12"/>
  <c r="O55" i="12"/>
  <c r="C55" i="12"/>
  <c r="M55" i="12"/>
  <c r="N55" i="12" s="1"/>
  <c r="AO55" i="12"/>
  <c r="Y55" i="12" s="1"/>
  <c r="I85" i="12"/>
  <c r="Z85" i="5"/>
  <c r="L85" i="5"/>
  <c r="AM85" i="5"/>
  <c r="I85" i="5"/>
  <c r="Z51" i="5"/>
  <c r="I51" i="12"/>
  <c r="L51" i="5"/>
  <c r="AM51" i="5"/>
  <c r="I51" i="5"/>
  <c r="X48" i="5" a="1"/>
  <c r="X48" i="5" s="1"/>
  <c r="AB91" i="5"/>
  <c r="AB159" i="5"/>
  <c r="AB55" i="5"/>
  <c r="X45" i="5" a="1"/>
  <c r="X45" i="5" s="1"/>
  <c r="AM130" i="5"/>
  <c r="I130" i="12"/>
  <c r="L130" i="5"/>
  <c r="Z130" i="5"/>
  <c r="C159" i="6"/>
  <c r="O159" i="5"/>
  <c r="C55" i="6"/>
  <c r="L129" i="5"/>
  <c r="AM129" i="5"/>
  <c r="Z129" i="5"/>
  <c r="I129" i="12"/>
  <c r="X128" i="5" a="1"/>
  <c r="X128" i="5" s="1"/>
  <c r="I129" i="5"/>
  <c r="I130" i="5" s="1"/>
  <c r="I131" i="5" s="1"/>
  <c r="I132" i="5" s="1"/>
  <c r="O132" i="5" s="1"/>
  <c r="X157" i="5" a="1"/>
  <c r="X157" i="5" s="1"/>
  <c r="C90" i="6"/>
  <c r="AB54" i="5"/>
  <c r="AB90" i="5"/>
  <c r="C54" i="12"/>
  <c r="O54" i="12"/>
  <c r="M54" i="12"/>
  <c r="AO54" i="12"/>
  <c r="Z53" i="5"/>
  <c r="L53" i="5"/>
  <c r="AM53" i="5"/>
  <c r="I53" i="12"/>
  <c r="X52" i="5" a="1"/>
  <c r="X52" i="5" s="1"/>
  <c r="I53" i="5"/>
  <c r="I54" i="5" s="1"/>
  <c r="I55" i="5" s="1"/>
  <c r="I56" i="5" s="1"/>
  <c r="O56" i="5" s="1"/>
  <c r="I161" i="12"/>
  <c r="L161" i="5"/>
  <c r="Z161" i="5"/>
  <c r="AM161" i="5"/>
  <c r="X126" i="5" a="1"/>
  <c r="X126" i="5" s="1"/>
  <c r="I160" i="12"/>
  <c r="AM160" i="5"/>
  <c r="L160" i="5"/>
  <c r="Z160" i="5"/>
  <c r="I160" i="5"/>
  <c r="I161" i="5" s="1"/>
  <c r="I162" i="5" s="1"/>
  <c r="O162" i="5" s="1"/>
  <c r="X86" i="5" a="1"/>
  <c r="X86" i="5" s="1"/>
  <c r="Z89" i="5"/>
  <c r="AM89" i="5"/>
  <c r="I89" i="12"/>
  <c r="L89" i="5"/>
  <c r="X88" i="5" a="1"/>
  <c r="X88" i="5" s="1"/>
  <c r="I89" i="5"/>
  <c r="I90" i="5" s="1"/>
  <c r="I91" i="5" s="1"/>
  <c r="I92" i="5" s="1"/>
  <c r="O92" i="5" s="1"/>
  <c r="Z131" i="5"/>
  <c r="AM131" i="5"/>
  <c r="L131" i="5"/>
  <c r="I131" i="12"/>
  <c r="C90" i="12"/>
  <c r="O90" i="12"/>
  <c r="M90" i="12"/>
  <c r="AO90" i="12"/>
  <c r="C54" i="6"/>
  <c r="O54" i="5"/>
  <c r="N54" i="12" l="1"/>
  <c r="Y90" i="12"/>
  <c r="Y91" i="12"/>
  <c r="D132" i="12"/>
  <c r="E132" i="6"/>
  <c r="C130" i="6"/>
  <c r="O130" i="5"/>
  <c r="AM48" i="5"/>
  <c r="Z48" i="5"/>
  <c r="L48" i="5"/>
  <c r="I48" i="12"/>
  <c r="S32" i="8"/>
  <c r="AO85" i="12"/>
  <c r="C85" i="12"/>
  <c r="O85" i="12"/>
  <c r="M85" i="12"/>
  <c r="W90" i="12"/>
  <c r="X90" i="12"/>
  <c r="C89" i="12"/>
  <c r="AO89" i="12"/>
  <c r="M89" i="12"/>
  <c r="M88" i="12" s="1"/>
  <c r="O89" i="12"/>
  <c r="W55" i="12"/>
  <c r="X55" i="12"/>
  <c r="O91" i="5"/>
  <c r="N90" i="12"/>
  <c r="AB89" i="5"/>
  <c r="AB88" i="5" s="1"/>
  <c r="C161" i="6"/>
  <c r="O161" i="5"/>
  <c r="C129" i="12"/>
  <c r="M129" i="12"/>
  <c r="M128" i="12" s="1"/>
  <c r="AO129" i="12"/>
  <c r="O129" i="12"/>
  <c r="C89" i="6"/>
  <c r="O89" i="5"/>
  <c r="C130" i="12"/>
  <c r="O130" i="12"/>
  <c r="M130" i="12"/>
  <c r="AO130" i="12"/>
  <c r="I86" i="12"/>
  <c r="Z86" i="5"/>
  <c r="L86" i="5"/>
  <c r="AM86" i="5"/>
  <c r="I86" i="5"/>
  <c r="I87" i="5" s="1"/>
  <c r="O87" i="5" s="1"/>
  <c r="C161" i="12"/>
  <c r="M161" i="12"/>
  <c r="AO161" i="12"/>
  <c r="O161" i="12"/>
  <c r="AB129" i="5"/>
  <c r="C51" i="6"/>
  <c r="O51" i="5"/>
  <c r="E56" i="6"/>
  <c r="D56" i="12"/>
  <c r="I45" i="12"/>
  <c r="Z45" i="5"/>
  <c r="L45" i="5"/>
  <c r="I45" i="5"/>
  <c r="I46" i="5" s="1"/>
  <c r="AM45" i="5"/>
  <c r="X41" i="5" a="1"/>
  <c r="X41" i="5" s="1"/>
  <c r="C51" i="12"/>
  <c r="M51" i="12"/>
  <c r="O51" i="12"/>
  <c r="AO51" i="12"/>
  <c r="I52" i="12"/>
  <c r="Z52" i="5"/>
  <c r="L52" i="5"/>
  <c r="AM52" i="5"/>
  <c r="S35" i="8"/>
  <c r="C129" i="6"/>
  <c r="O129" i="5"/>
  <c r="AB51" i="5"/>
  <c r="AB48" i="5" s="1"/>
  <c r="N159" i="12"/>
  <c r="O158" i="12"/>
  <c r="N158" i="12" s="1"/>
  <c r="AB160" i="5"/>
  <c r="C160" i="6"/>
  <c r="O160" i="5"/>
  <c r="O55" i="5"/>
  <c r="AB161" i="5"/>
  <c r="AO131" i="12"/>
  <c r="O131" i="12"/>
  <c r="N131" i="12" s="1"/>
  <c r="C131" i="12"/>
  <c r="M131" i="12"/>
  <c r="C131" i="6"/>
  <c r="O131" i="5"/>
  <c r="C53" i="12"/>
  <c r="AO53" i="12"/>
  <c r="M53" i="12"/>
  <c r="M52" i="12" s="1"/>
  <c r="O53" i="12"/>
  <c r="X57" i="5" a="1"/>
  <c r="X57" i="5" s="1"/>
  <c r="X82" i="5" a="1"/>
  <c r="X82" i="5" s="1"/>
  <c r="L158" i="12" a="1"/>
  <c r="L158" i="12" s="1"/>
  <c r="J158" i="12" a="1"/>
  <c r="J158" i="12" s="1"/>
  <c r="C158" i="12"/>
  <c r="S74" i="8"/>
  <c r="I128" i="12"/>
  <c r="AM128" i="5"/>
  <c r="L128" i="5"/>
  <c r="Z128" i="5"/>
  <c r="AB131" i="5"/>
  <c r="AO160" i="12"/>
  <c r="O160" i="12"/>
  <c r="M160" i="12"/>
  <c r="C160" i="12"/>
  <c r="C53" i="6"/>
  <c r="O53" i="5"/>
  <c r="O90" i="5"/>
  <c r="D159" i="12"/>
  <c r="E159" i="6"/>
  <c r="Y159" i="12"/>
  <c r="D92" i="12"/>
  <c r="E92" i="6"/>
  <c r="AB53" i="5"/>
  <c r="AB52" i="5" s="1"/>
  <c r="AB158" i="5"/>
  <c r="D89" i="8" s="1"/>
  <c r="W91" i="12"/>
  <c r="X91" i="12"/>
  <c r="D54" i="12"/>
  <c r="E54" i="6"/>
  <c r="AM88" i="5"/>
  <c r="L88" i="5"/>
  <c r="I88" i="12"/>
  <c r="Z88" i="5"/>
  <c r="S56" i="8"/>
  <c r="X124" i="5" a="1"/>
  <c r="X124" i="5" s="1"/>
  <c r="Z126" i="5"/>
  <c r="AM126" i="5"/>
  <c r="I126" i="12"/>
  <c r="L126" i="5"/>
  <c r="I126" i="5"/>
  <c r="I127" i="5" s="1"/>
  <c r="O127" i="5" s="1"/>
  <c r="X93" i="5" a="1"/>
  <c r="X93" i="5" s="1"/>
  <c r="C85" i="6"/>
  <c r="O85" i="5"/>
  <c r="O158" i="5"/>
  <c r="C158" i="6"/>
  <c r="D162" i="12"/>
  <c r="E162" i="6"/>
  <c r="Y54" i="12"/>
  <c r="Z157" i="5"/>
  <c r="L157" i="5"/>
  <c r="AM157" i="5"/>
  <c r="I157" i="12"/>
  <c r="X156" i="5" a="1"/>
  <c r="X156" i="5" s="1"/>
  <c r="I157" i="5"/>
  <c r="X133" i="5" a="1"/>
  <c r="X133" i="5" s="1"/>
  <c r="AB130" i="5"/>
  <c r="AB85" i="5"/>
  <c r="N91" i="12"/>
  <c r="Y89" i="8" a="1"/>
  <c r="Y89" i="8" s="1"/>
  <c r="E89" i="8" a="1"/>
  <c r="E89" i="8" s="1"/>
  <c r="U89" i="8" a="1"/>
  <c r="U89" i="8" s="1"/>
  <c r="Z89" i="8" a="1"/>
  <c r="Z89" i="8" s="1"/>
  <c r="X89" i="8" a="1"/>
  <c r="X89" i="8" s="1"/>
  <c r="V89" i="8" a="1"/>
  <c r="V89" i="8" s="1"/>
  <c r="H89" i="8" a="1"/>
  <c r="H89" i="8" s="1"/>
  <c r="J90" i="8" s="1"/>
  <c r="AE89" i="8" a="1"/>
  <c r="AE89" i="8" s="1"/>
  <c r="H90" i="8" a="1"/>
  <c r="H90" i="8" s="1"/>
  <c r="AA89" i="8" a="1"/>
  <c r="AA89" i="8" s="1"/>
  <c r="G89" i="8"/>
  <c r="AD89" i="8" a="1"/>
  <c r="AD89" i="8" s="1"/>
  <c r="W89" i="8" a="1"/>
  <c r="W89" i="8" s="1"/>
  <c r="AF89" i="8" a="1"/>
  <c r="AF89" i="8" s="1"/>
  <c r="AB89" i="8" a="1"/>
  <c r="AB89" i="8" s="1"/>
  <c r="AC89" i="8" a="1"/>
  <c r="AC89" i="8" s="1"/>
  <c r="N161" i="12" l="1"/>
  <c r="Y131" i="12"/>
  <c r="K158" i="12"/>
  <c r="N85" i="12"/>
  <c r="C157" i="6"/>
  <c r="O157" i="5"/>
  <c r="M126" i="12"/>
  <c r="O126" i="12"/>
  <c r="C126" i="12"/>
  <c r="AO126" i="12"/>
  <c r="U91" i="12"/>
  <c r="V91" i="12"/>
  <c r="T91" i="12"/>
  <c r="AB128" i="5"/>
  <c r="N130" i="12"/>
  <c r="W131" i="12"/>
  <c r="X131" i="12"/>
  <c r="AM41" i="5"/>
  <c r="I41" i="12"/>
  <c r="L41" i="5"/>
  <c r="Z41" i="5"/>
  <c r="S29" i="8"/>
  <c r="E91" i="6"/>
  <c r="D91" i="12"/>
  <c r="Y85" i="12"/>
  <c r="AB157" i="5"/>
  <c r="N160" i="12"/>
  <c r="S53" i="8"/>
  <c r="I82" i="12"/>
  <c r="L82" i="5"/>
  <c r="AM82" i="5"/>
  <c r="Z82" i="5"/>
  <c r="D129" i="12"/>
  <c r="E129" i="6"/>
  <c r="Y161" i="12"/>
  <c r="D89" i="12"/>
  <c r="E89" i="6"/>
  <c r="G32" i="8"/>
  <c r="G33" i="8" s="1" a="1"/>
  <c r="G33" i="8" s="1"/>
  <c r="H33" i="8" a="1"/>
  <c r="H33" i="8" s="1"/>
  <c r="AB32" i="8" a="1"/>
  <c r="AB32" i="8" s="1"/>
  <c r="D32" i="8"/>
  <c r="H32" i="8" a="1"/>
  <c r="H32" i="8" s="1"/>
  <c r="J33" i="8" s="1"/>
  <c r="X32" i="8" a="1"/>
  <c r="X32" i="8" s="1"/>
  <c r="AE32" i="8" a="1"/>
  <c r="AE32" i="8" s="1"/>
  <c r="E32" i="8" a="1"/>
  <c r="E32" i="8" s="1"/>
  <c r="Z32" i="8" a="1"/>
  <c r="Z32" i="8" s="1"/>
  <c r="AC32" i="8" a="1"/>
  <c r="AC32" i="8" s="1"/>
  <c r="W32" i="8" a="1"/>
  <c r="W32" i="8" s="1"/>
  <c r="U32" i="8" a="1"/>
  <c r="U32" i="8" s="1"/>
  <c r="AF32" i="8" a="1"/>
  <c r="AF32" i="8" s="1"/>
  <c r="Y32" i="8" a="1"/>
  <c r="Y32" i="8" s="1"/>
  <c r="AA32" i="8" a="1"/>
  <c r="AA32" i="8" s="1"/>
  <c r="AD32" i="8" a="1"/>
  <c r="AD32" i="8" s="1"/>
  <c r="V32" i="8" a="1"/>
  <c r="V32" i="8" s="1"/>
  <c r="X54" i="12"/>
  <c r="W54" i="12"/>
  <c r="AB56" i="8" a="1"/>
  <c r="AB56" i="8" s="1"/>
  <c r="AC56" i="8" a="1"/>
  <c r="AC56" i="8" s="1"/>
  <c r="AD56" i="8" a="1"/>
  <c r="AD56" i="8" s="1"/>
  <c r="H57" i="8" a="1"/>
  <c r="H57" i="8" s="1"/>
  <c r="AF56" i="8" a="1"/>
  <c r="AF56" i="8" s="1"/>
  <c r="H56" i="8" a="1"/>
  <c r="H56" i="8" s="1"/>
  <c r="J57" i="8" s="1"/>
  <c r="Y56" i="8" a="1"/>
  <c r="Y56" i="8" s="1"/>
  <c r="G56" i="8"/>
  <c r="X56" i="8" a="1"/>
  <c r="X56" i="8" s="1"/>
  <c r="D56" i="8"/>
  <c r="W56" i="8" a="1"/>
  <c r="W56" i="8" s="1"/>
  <c r="AE56" i="8" a="1"/>
  <c r="AE56" i="8" s="1"/>
  <c r="Z56" i="8" a="1"/>
  <c r="Z56" i="8" s="1"/>
  <c r="AA56" i="8" a="1"/>
  <c r="AA56" i="8" s="1"/>
  <c r="V56" i="8" a="1"/>
  <c r="V56" i="8" s="1"/>
  <c r="U56" i="8" a="1"/>
  <c r="U56" i="8" s="1"/>
  <c r="E56" i="8" a="1"/>
  <c r="E56" i="8" s="1"/>
  <c r="Y160" i="12"/>
  <c r="S38" i="8"/>
  <c r="L57" i="5"/>
  <c r="O15" i="11"/>
  <c r="AM57" i="5"/>
  <c r="Z57" i="5"/>
  <c r="I57" i="12"/>
  <c r="I47" i="5"/>
  <c r="O47" i="5" s="1"/>
  <c r="O46" i="5"/>
  <c r="T55" i="12"/>
  <c r="U55" i="12"/>
  <c r="V55" i="12"/>
  <c r="L48" i="12" a="1"/>
  <c r="L48" i="12" s="1"/>
  <c r="C48" i="12"/>
  <c r="J48" i="12" a="1"/>
  <c r="J48" i="12" s="1"/>
  <c r="L124" i="5"/>
  <c r="I124" i="12"/>
  <c r="AM124" i="5"/>
  <c r="S71" i="8"/>
  <c r="Z124" i="5"/>
  <c r="N53" i="12"/>
  <c r="O52" i="12"/>
  <c r="N52" i="12" s="1"/>
  <c r="G35" i="8"/>
  <c r="G36" i="8" s="1" a="1"/>
  <c r="G36" i="8" s="1"/>
  <c r="H36" i="8" a="1"/>
  <c r="H36" i="8" s="1"/>
  <c r="D35" i="8"/>
  <c r="H35" i="8" a="1"/>
  <c r="H35" i="8" s="1"/>
  <c r="J36" i="8" s="1"/>
  <c r="V35" i="8" a="1"/>
  <c r="V35" i="8" s="1"/>
  <c r="AF35" i="8" a="1"/>
  <c r="AF35" i="8" s="1"/>
  <c r="W35" i="8" a="1"/>
  <c r="W35" i="8" s="1"/>
  <c r="Z35" i="8" a="1"/>
  <c r="Z35" i="8" s="1"/>
  <c r="AE35" i="8" a="1"/>
  <c r="AE35" i="8" s="1"/>
  <c r="AA35" i="8" a="1"/>
  <c r="AA35" i="8" s="1"/>
  <c r="Y35" i="8" a="1"/>
  <c r="Y35" i="8" s="1"/>
  <c r="AD35" i="8" a="1"/>
  <c r="AD35" i="8" s="1"/>
  <c r="AC35" i="8" a="1"/>
  <c r="AC35" i="8" s="1"/>
  <c r="AB35" i="8" a="1"/>
  <c r="AB35" i="8" s="1"/>
  <c r="X35" i="8" a="1"/>
  <c r="X35" i="8" s="1"/>
  <c r="U35" i="8" a="1"/>
  <c r="U35" i="8" s="1"/>
  <c r="E35" i="8" a="1"/>
  <c r="E35" i="8" s="1"/>
  <c r="C45" i="6"/>
  <c r="O45" i="5"/>
  <c r="N129" i="12"/>
  <c r="O128" i="12"/>
  <c r="N128" i="12" s="1"/>
  <c r="N89" i="12"/>
  <c r="O88" i="12"/>
  <c r="N88" i="12" s="1"/>
  <c r="C48" i="6"/>
  <c r="O48" i="5"/>
  <c r="E55" i="6"/>
  <c r="D55" i="12"/>
  <c r="AB45" i="5"/>
  <c r="AB41" i="5" s="1"/>
  <c r="D87" i="12"/>
  <c r="E87" i="6"/>
  <c r="Y129" i="12"/>
  <c r="AO128" i="12"/>
  <c r="Y128" i="12" s="1"/>
  <c r="I89" i="8"/>
  <c r="D158" i="12"/>
  <c r="E158" i="6"/>
  <c r="X159" i="12"/>
  <c r="W159" i="12"/>
  <c r="E85" i="6"/>
  <c r="D85" i="12"/>
  <c r="AO158" i="12"/>
  <c r="Y158" i="12" s="1"/>
  <c r="E160" i="6"/>
  <c r="D160" i="12"/>
  <c r="C45" i="12"/>
  <c r="AO45" i="12"/>
  <c r="M45" i="12"/>
  <c r="O45" i="12"/>
  <c r="Y89" i="12"/>
  <c r="AO88" i="12"/>
  <c r="Y53" i="12"/>
  <c r="AO52" i="12"/>
  <c r="C52" i="6"/>
  <c r="O52" i="5"/>
  <c r="O128" i="5"/>
  <c r="C128" i="6"/>
  <c r="C86" i="6"/>
  <c r="O86" i="5"/>
  <c r="D130" i="12"/>
  <c r="E130" i="6"/>
  <c r="AB126" i="5"/>
  <c r="L88" i="12" a="1"/>
  <c r="L88" i="12" s="1"/>
  <c r="J88" i="12" a="1"/>
  <c r="J88" i="12" s="1"/>
  <c r="C88" i="12"/>
  <c r="C88" i="6"/>
  <c r="O88" i="5"/>
  <c r="S86" i="8"/>
  <c r="L156" i="5"/>
  <c r="I156" i="12"/>
  <c r="AM156" i="5"/>
  <c r="Z156" i="5"/>
  <c r="S59" i="8"/>
  <c r="Z93" i="5"/>
  <c r="O16" i="11"/>
  <c r="AM93" i="5"/>
  <c r="I93" i="12"/>
  <c r="L93" i="5"/>
  <c r="E131" i="6"/>
  <c r="D131" i="12"/>
  <c r="J52" i="12" a="1"/>
  <c r="J52" i="12" s="1"/>
  <c r="L52" i="12" a="1"/>
  <c r="L52" i="12" s="1"/>
  <c r="C52" i="12"/>
  <c r="AB86" i="5"/>
  <c r="AB57" i="5" s="1"/>
  <c r="AB15" i="11" s="1"/>
  <c r="N15" i="11" s="1"/>
  <c r="E161" i="6"/>
  <c r="D161" i="12"/>
  <c r="S77" i="8"/>
  <c r="I133" i="12"/>
  <c r="L133" i="5"/>
  <c r="AM133" i="5"/>
  <c r="O17" i="11"/>
  <c r="Z133" i="5"/>
  <c r="C157" i="12"/>
  <c r="O157" i="12"/>
  <c r="M157" i="12"/>
  <c r="M156" i="12" s="1"/>
  <c r="AO157" i="12"/>
  <c r="D127" i="12"/>
  <c r="E127" i="6"/>
  <c r="E90" i="6"/>
  <c r="D90" i="12"/>
  <c r="L128" i="12" a="1"/>
  <c r="L128" i="12" s="1"/>
  <c r="C128" i="12"/>
  <c r="J128" i="12" a="1"/>
  <c r="J128" i="12" s="1"/>
  <c r="Y51" i="12"/>
  <c r="AO48" i="12"/>
  <c r="Y48" i="12" s="1"/>
  <c r="D51" i="12"/>
  <c r="E51" i="6"/>
  <c r="C86" i="12"/>
  <c r="AO86" i="12"/>
  <c r="O86" i="12"/>
  <c r="M86" i="12"/>
  <c r="U90" i="12"/>
  <c r="V90" i="12"/>
  <c r="T90" i="12"/>
  <c r="C126" i="6"/>
  <c r="O126" i="5"/>
  <c r="D53" i="12"/>
  <c r="E53" i="6"/>
  <c r="Y74" i="8" a="1"/>
  <c r="Y74" i="8" s="1"/>
  <c r="X74" i="8" a="1"/>
  <c r="X74" i="8" s="1"/>
  <c r="AD74" i="8" a="1"/>
  <c r="AD74" i="8" s="1"/>
  <c r="AF74" i="8" a="1"/>
  <c r="AF74" i="8" s="1"/>
  <c r="H75" i="8" a="1"/>
  <c r="H75" i="8" s="1"/>
  <c r="E74" i="8" a="1"/>
  <c r="E74" i="8" s="1"/>
  <c r="AB74" i="8" a="1"/>
  <c r="AB74" i="8" s="1"/>
  <c r="H74" i="8" a="1"/>
  <c r="H74" i="8" s="1"/>
  <c r="J75" i="8" s="1"/>
  <c r="G74" i="8"/>
  <c r="V74" i="8" a="1"/>
  <c r="V74" i="8" s="1"/>
  <c r="Z74" i="8" a="1"/>
  <c r="Z74" i="8" s="1"/>
  <c r="D74" i="8"/>
  <c r="U74" i="8" a="1"/>
  <c r="U74" i="8" s="1"/>
  <c r="AA74" i="8" a="1"/>
  <c r="AA74" i="8" s="1"/>
  <c r="AC74" i="8" a="1"/>
  <c r="AC74" i="8" s="1"/>
  <c r="AE74" i="8" a="1"/>
  <c r="AE74" i="8" s="1"/>
  <c r="W74" i="8" a="1"/>
  <c r="W74" i="8" s="1"/>
  <c r="N51" i="12"/>
  <c r="Y130" i="12"/>
  <c r="Y88" i="12" l="1"/>
  <c r="Y86" i="12"/>
  <c r="N45" i="12"/>
  <c r="K52" i="12"/>
  <c r="K48" i="12"/>
  <c r="Y52" i="12"/>
  <c r="N126" i="12"/>
  <c r="W88" i="12"/>
  <c r="X88" i="12"/>
  <c r="AB156" i="5"/>
  <c r="AB133" i="5"/>
  <c r="AB17" i="11" s="1"/>
  <c r="N17" i="11" s="1"/>
  <c r="V131" i="12"/>
  <c r="T131" i="12"/>
  <c r="U131" i="12"/>
  <c r="N157" i="12"/>
  <c r="O156" i="12"/>
  <c r="N156" i="12" s="1"/>
  <c r="H60" i="8" a="1"/>
  <c r="H60" i="8" s="1"/>
  <c r="H59" i="8" a="1"/>
  <c r="H59" i="8" s="1"/>
  <c r="J60" i="8" s="1"/>
  <c r="G59" i="8"/>
  <c r="AB93" i="5"/>
  <c r="AB16" i="11" s="1"/>
  <c r="N16" i="11" s="1"/>
  <c r="AB124" i="5"/>
  <c r="D71" i="8" s="1"/>
  <c r="W89" i="12"/>
  <c r="X89" i="12"/>
  <c r="E48" i="6"/>
  <c r="I32" i="8"/>
  <c r="D48" i="12"/>
  <c r="X48" i="12"/>
  <c r="W48" i="12"/>
  <c r="X161" i="12"/>
  <c r="W161" i="12"/>
  <c r="AO82" i="12"/>
  <c r="Y82" i="12" s="1"/>
  <c r="D126" i="12"/>
  <c r="E126" i="6"/>
  <c r="X51" i="12"/>
  <c r="W51" i="12"/>
  <c r="D46" i="12"/>
  <c r="E46" i="6"/>
  <c r="W85" i="12"/>
  <c r="X85" i="12"/>
  <c r="J156" i="12" a="1"/>
  <c r="J156" i="12" s="1"/>
  <c r="L156" i="12" a="1"/>
  <c r="L156" i="12" s="1"/>
  <c r="C156" i="12"/>
  <c r="E86" i="6"/>
  <c r="D86" i="12"/>
  <c r="Y45" i="12"/>
  <c r="AO41" i="12"/>
  <c r="Y41" i="12" s="1"/>
  <c r="E47" i="6"/>
  <c r="D47" i="12"/>
  <c r="C156" i="6"/>
  <c r="O156" i="5"/>
  <c r="X128" i="12"/>
  <c r="W128" i="12"/>
  <c r="E71" i="8" a="1"/>
  <c r="E71" i="8" s="1"/>
  <c r="U71" i="8" a="1"/>
  <c r="U71" i="8" s="1"/>
  <c r="H72" i="8" a="1"/>
  <c r="H72" i="8" s="1"/>
  <c r="W71" i="8" a="1"/>
  <c r="W71" i="8" s="1"/>
  <c r="H71" i="8" a="1"/>
  <c r="H71" i="8" s="1"/>
  <c r="J72" i="8" s="1"/>
  <c r="V71" i="8" a="1"/>
  <c r="V71" i="8" s="1"/>
  <c r="Y71" i="8" a="1"/>
  <c r="Y71" i="8" s="1"/>
  <c r="G71" i="8"/>
  <c r="AE71" i="8" a="1"/>
  <c r="AE71" i="8" s="1"/>
  <c r="AF71" i="8" a="1"/>
  <c r="AF71" i="8" s="1"/>
  <c r="AC71" i="8" a="1"/>
  <c r="AC71" i="8" s="1"/>
  <c r="AD71" i="8" a="1"/>
  <c r="AD71" i="8" s="1"/>
  <c r="AA71" i="8" a="1"/>
  <c r="AA71" i="8" s="1"/>
  <c r="AB71" i="8" a="1"/>
  <c r="AB71" i="8" s="1"/>
  <c r="Z71" i="8" a="1"/>
  <c r="Z71" i="8" s="1"/>
  <c r="W61" i="8" a="1"/>
  <c r="W61" i="8" s="1"/>
  <c r="W59" i="8" s="1" a="1"/>
  <c r="W59" i="8" s="1"/>
  <c r="AA61" i="8" a="1"/>
  <c r="AA61" i="8" s="1"/>
  <c r="AA59" i="8" s="1" a="1"/>
  <c r="AA59" i="8" s="1"/>
  <c r="U61" i="8" a="1"/>
  <c r="U61" i="8" s="1"/>
  <c r="U59" i="8" s="1" a="1"/>
  <c r="U59" i="8" s="1"/>
  <c r="X61" i="8" a="1"/>
  <c r="X61" i="8" s="1"/>
  <c r="X59" i="8" s="1" a="1"/>
  <c r="X59" i="8" s="1"/>
  <c r="Y61" i="8" a="1"/>
  <c r="Y61" i="8" s="1"/>
  <c r="Y59" i="8" s="1" a="1"/>
  <c r="Y59" i="8" s="1"/>
  <c r="AC61" i="8" a="1"/>
  <c r="AC61" i="8" s="1"/>
  <c r="AC59" i="8" s="1" a="1"/>
  <c r="AC59" i="8" s="1"/>
  <c r="Z61" i="8" a="1"/>
  <c r="Z61" i="8" s="1"/>
  <c r="Z59" i="8" s="1" a="1"/>
  <c r="Z59" i="8" s="1"/>
  <c r="AB61" i="8" a="1"/>
  <c r="AB61" i="8" s="1"/>
  <c r="AB59" i="8" s="1" a="1"/>
  <c r="AB59" i="8" s="1"/>
  <c r="AF61" i="8" a="1"/>
  <c r="AF61" i="8" s="1"/>
  <c r="AF59" i="8" s="1" a="1"/>
  <c r="AF59" i="8" s="1"/>
  <c r="E61" i="8" a="1"/>
  <c r="E61" i="8" s="1"/>
  <c r="E59" i="8" s="1" a="1"/>
  <c r="E59" i="8" s="1"/>
  <c r="AE61" i="8" a="1"/>
  <c r="AE61" i="8" s="1"/>
  <c r="AE59" i="8" s="1" a="1"/>
  <c r="AE59" i="8" s="1"/>
  <c r="AD61" i="8" a="1"/>
  <c r="AD61" i="8" s="1"/>
  <c r="AD59" i="8" s="1" a="1"/>
  <c r="AD59" i="8" s="1"/>
  <c r="V61" i="8" a="1"/>
  <c r="V61" i="8" s="1"/>
  <c r="V59" i="8" s="1" a="1"/>
  <c r="V59" i="8" s="1"/>
  <c r="X71" i="8" a="1"/>
  <c r="X71" i="8" s="1"/>
  <c r="C57" i="12"/>
  <c r="J57" i="12" a="1"/>
  <c r="J57" i="12" s="1"/>
  <c r="L57" i="12" a="1"/>
  <c r="L57" i="12" s="1"/>
  <c r="T54" i="12"/>
  <c r="V54" i="12"/>
  <c r="U54" i="12"/>
  <c r="P17" i="11"/>
  <c r="L17" i="13"/>
  <c r="C17" i="11"/>
  <c r="K128" i="12"/>
  <c r="O133" i="5"/>
  <c r="C133" i="6"/>
  <c r="W86" i="8" a="1"/>
  <c r="W86" i="8" s="1"/>
  <c r="Y86" i="8" a="1"/>
  <c r="Y86" i="8" s="1"/>
  <c r="D86" i="8"/>
  <c r="AC86" i="8" a="1"/>
  <c r="AC86" i="8" s="1"/>
  <c r="U86" i="8" a="1"/>
  <c r="U86" i="8" s="1"/>
  <c r="AA86" i="8" a="1"/>
  <c r="AA86" i="8" s="1"/>
  <c r="AF86" i="8" a="1"/>
  <c r="AF86" i="8" s="1"/>
  <c r="AE86" i="8" a="1"/>
  <c r="AE86" i="8" s="1"/>
  <c r="E86" i="8" a="1"/>
  <c r="E86" i="8" s="1"/>
  <c r="X86" i="8" a="1"/>
  <c r="X86" i="8" s="1"/>
  <c r="G86" i="8"/>
  <c r="H87" i="8" a="1"/>
  <c r="H87" i="8" s="1"/>
  <c r="AD86" i="8" a="1"/>
  <c r="AD86" i="8" s="1"/>
  <c r="V86" i="8" a="1"/>
  <c r="V86" i="8" s="1"/>
  <c r="H86" i="8" a="1"/>
  <c r="H86" i="8" s="1"/>
  <c r="J87" i="8" s="1"/>
  <c r="AB86" i="8" a="1"/>
  <c r="AB86" i="8" s="1"/>
  <c r="AC79" i="8" a="1"/>
  <c r="AC79" i="8" s="1"/>
  <c r="AC77" i="8" s="1" a="1"/>
  <c r="AC77" i="8" s="1"/>
  <c r="AA79" i="8" a="1"/>
  <c r="AA79" i="8" s="1"/>
  <c r="AA77" i="8" s="1" a="1"/>
  <c r="AA77" i="8" s="1"/>
  <c r="V79" i="8" a="1"/>
  <c r="V79" i="8" s="1"/>
  <c r="V77" i="8" s="1" a="1"/>
  <c r="V77" i="8" s="1"/>
  <c r="AF79" i="8" a="1"/>
  <c r="AF79" i="8" s="1"/>
  <c r="AF77" i="8" s="1" a="1"/>
  <c r="AF77" i="8" s="1"/>
  <c r="X79" i="8" a="1"/>
  <c r="X79" i="8" s="1"/>
  <c r="X77" i="8" s="1" a="1"/>
  <c r="X77" i="8" s="1"/>
  <c r="AE79" i="8" a="1"/>
  <c r="AE79" i="8" s="1"/>
  <c r="AE77" i="8" s="1" a="1"/>
  <c r="AE77" i="8" s="1"/>
  <c r="U79" i="8" a="1"/>
  <c r="U79" i="8" s="1"/>
  <c r="U77" i="8" s="1" a="1"/>
  <c r="U77" i="8" s="1"/>
  <c r="Z79" i="8" a="1"/>
  <c r="Z79" i="8" s="1"/>
  <c r="Z77" i="8" s="1" a="1"/>
  <c r="Z77" i="8" s="1"/>
  <c r="AB79" i="8" a="1"/>
  <c r="AB79" i="8" s="1"/>
  <c r="AB77" i="8" s="1" a="1"/>
  <c r="AB77" i="8" s="1"/>
  <c r="AD79" i="8" a="1"/>
  <c r="AD79" i="8" s="1"/>
  <c r="AD77" i="8" s="1" a="1"/>
  <c r="AD77" i="8" s="1"/>
  <c r="E79" i="8" a="1"/>
  <c r="E79" i="8" s="1"/>
  <c r="E77" i="8" s="1" a="1"/>
  <c r="E77" i="8" s="1"/>
  <c r="Y79" i="8" a="1"/>
  <c r="Y79" i="8" s="1"/>
  <c r="Y77" i="8" s="1" a="1"/>
  <c r="Y77" i="8" s="1"/>
  <c r="W79" i="8" a="1"/>
  <c r="W79" i="8" s="1"/>
  <c r="W77" i="8" s="1" a="1"/>
  <c r="W77" i="8" s="1"/>
  <c r="Z86" i="8" a="1"/>
  <c r="Z86" i="8" s="1"/>
  <c r="W129" i="12"/>
  <c r="X129" i="12"/>
  <c r="G29" i="8"/>
  <c r="G30" i="8" s="1" a="1"/>
  <c r="G30" i="8" s="1"/>
  <c r="H30" i="8" a="1"/>
  <c r="H30" i="8" s="1"/>
  <c r="H29" i="8" a="1"/>
  <c r="H29" i="8" s="1"/>
  <c r="J30" i="8" s="1"/>
  <c r="D29" i="8"/>
  <c r="W29" i="8" a="1"/>
  <c r="W29" i="8" s="1"/>
  <c r="AA29" i="8" a="1"/>
  <c r="AA29" i="8" s="1"/>
  <c r="E29" i="8" a="1"/>
  <c r="E29" i="8" s="1"/>
  <c r="AC29" i="8" a="1"/>
  <c r="AC29" i="8" s="1"/>
  <c r="AB29" i="8" a="1"/>
  <c r="AB29" i="8" s="1"/>
  <c r="X29" i="8" a="1"/>
  <c r="X29" i="8" s="1"/>
  <c r="AE29" i="8" a="1"/>
  <c r="AE29" i="8" s="1"/>
  <c r="AF29" i="8" a="1"/>
  <c r="AF29" i="8" s="1"/>
  <c r="U29" i="8" a="1"/>
  <c r="U29" i="8" s="1"/>
  <c r="Y29" i="8" a="1"/>
  <c r="Y29" i="8" s="1"/>
  <c r="Z29" i="8" a="1"/>
  <c r="Z29" i="8" s="1"/>
  <c r="AD29" i="8" a="1"/>
  <c r="AD29" i="8" s="1"/>
  <c r="V29" i="8" a="1"/>
  <c r="V29" i="8" s="1"/>
  <c r="AO124" i="12"/>
  <c r="Y124" i="12" s="1"/>
  <c r="Y126" i="12"/>
  <c r="AO93" i="12"/>
  <c r="W130" i="12"/>
  <c r="X130" i="12"/>
  <c r="L133" i="12" a="1"/>
  <c r="L133" i="12" s="1"/>
  <c r="J133" i="12" a="1"/>
  <c r="J133" i="12" s="1"/>
  <c r="C133" i="12"/>
  <c r="I56" i="8"/>
  <c r="D88" i="12"/>
  <c r="E88" i="6"/>
  <c r="I74" i="8"/>
  <c r="D128" i="12"/>
  <c r="E128" i="6"/>
  <c r="E45" i="6"/>
  <c r="D45" i="12"/>
  <c r="J124" i="12" a="1"/>
  <c r="J124" i="12" s="1"/>
  <c r="C124" i="12"/>
  <c r="L124" i="12" a="1"/>
  <c r="L124" i="12" s="1"/>
  <c r="K124" i="12" s="1"/>
  <c r="O82" i="5"/>
  <c r="C82" i="6"/>
  <c r="G77" i="8"/>
  <c r="H78" i="8" a="1"/>
  <c r="H78" i="8" s="1"/>
  <c r="H77" i="8" a="1"/>
  <c r="H77" i="8" s="1"/>
  <c r="J78" i="8" s="1"/>
  <c r="O93" i="5"/>
  <c r="C93" i="6"/>
  <c r="I35" i="8"/>
  <c r="E52" i="6"/>
  <c r="D52" i="12"/>
  <c r="W158" i="12"/>
  <c r="X158" i="12"/>
  <c r="C124" i="6"/>
  <c r="O124" i="5"/>
  <c r="C15" i="11"/>
  <c r="L15" i="13"/>
  <c r="P15" i="11"/>
  <c r="L82" i="12" a="1"/>
  <c r="L82" i="12" s="1"/>
  <c r="J82" i="12" a="1"/>
  <c r="J82" i="12" s="1"/>
  <c r="C82" i="12"/>
  <c r="O41" i="5"/>
  <c r="C41" i="6"/>
  <c r="N86" i="12"/>
  <c r="AB82" i="5"/>
  <c r="D53" i="8" s="1"/>
  <c r="C93" i="12"/>
  <c r="J93" i="12" a="1"/>
  <c r="J93" i="12" s="1"/>
  <c r="L93" i="12" a="1"/>
  <c r="L93" i="12" s="1"/>
  <c r="K93" i="12" s="1"/>
  <c r="C57" i="6"/>
  <c r="O57" i="5"/>
  <c r="AA53" i="8" a="1"/>
  <c r="AA53" i="8" s="1"/>
  <c r="W53" i="8" a="1"/>
  <c r="W53" i="8" s="1"/>
  <c r="AC53" i="8" a="1"/>
  <c r="AC53" i="8" s="1"/>
  <c r="H54" i="8" a="1"/>
  <c r="H54" i="8" s="1"/>
  <c r="Z53" i="8" a="1"/>
  <c r="Z53" i="8" s="1"/>
  <c r="H53" i="8" a="1"/>
  <c r="H53" i="8" s="1"/>
  <c r="J54" i="8" s="1"/>
  <c r="U53" i="8" a="1"/>
  <c r="U53" i="8" s="1"/>
  <c r="AD53" i="8" a="1"/>
  <c r="AD53" i="8" s="1"/>
  <c r="E53" i="8" a="1"/>
  <c r="E53" i="8" s="1"/>
  <c r="G53" i="8"/>
  <c r="AE53" i="8" a="1"/>
  <c r="AE53" i="8" s="1"/>
  <c r="AF53" i="8" a="1"/>
  <c r="AF53" i="8" s="1"/>
  <c r="X53" i="8" a="1"/>
  <c r="X53" i="8" s="1"/>
  <c r="AB53" i="8" a="1"/>
  <c r="AB53" i="8" s="1"/>
  <c r="Y53" i="8" a="1"/>
  <c r="Y53" i="8" s="1"/>
  <c r="AF40" i="8" a="1"/>
  <c r="AF40" i="8" s="1"/>
  <c r="AF38" i="8" s="1" a="1"/>
  <c r="AF38" i="8" s="1"/>
  <c r="E40" i="8" a="1"/>
  <c r="E40" i="8" s="1"/>
  <c r="E38" i="8" s="1" a="1"/>
  <c r="E38" i="8" s="1"/>
  <c r="W40" i="8" a="1"/>
  <c r="W40" i="8" s="1"/>
  <c r="W38" i="8" s="1" a="1"/>
  <c r="W38" i="8" s="1"/>
  <c r="V40" i="8" a="1"/>
  <c r="V40" i="8" s="1"/>
  <c r="V38" i="8" s="1" a="1"/>
  <c r="V38" i="8" s="1"/>
  <c r="AC40" i="8" a="1"/>
  <c r="AC40" i="8" s="1"/>
  <c r="AC38" i="8" s="1" a="1"/>
  <c r="AC38" i="8" s="1"/>
  <c r="AA40" i="8" a="1"/>
  <c r="AA40" i="8" s="1"/>
  <c r="AA38" i="8" s="1" a="1"/>
  <c r="AA38" i="8" s="1"/>
  <c r="Z40" i="8" a="1"/>
  <c r="Z40" i="8" s="1"/>
  <c r="Z38" i="8" s="1" a="1"/>
  <c r="Z38" i="8" s="1"/>
  <c r="AE40" i="8" a="1"/>
  <c r="AE40" i="8" s="1"/>
  <c r="AE38" i="8" s="1" a="1"/>
  <c r="AE38" i="8" s="1"/>
  <c r="X40" i="8" a="1"/>
  <c r="X40" i="8" s="1"/>
  <c r="X38" i="8" s="1" a="1"/>
  <c r="X38" i="8" s="1"/>
  <c r="AB40" i="8" a="1"/>
  <c r="AB40" i="8" s="1"/>
  <c r="AB38" i="8" s="1" a="1"/>
  <c r="AB38" i="8" s="1"/>
  <c r="AD40" i="8" a="1"/>
  <c r="AD40" i="8" s="1"/>
  <c r="AD38" i="8" s="1" a="1"/>
  <c r="AD38" i="8" s="1"/>
  <c r="Y40" i="8" a="1"/>
  <c r="Y40" i="8" s="1"/>
  <c r="Y38" i="8" s="1" a="1"/>
  <c r="Y38" i="8" s="1"/>
  <c r="U40" i="8" a="1"/>
  <c r="U40" i="8" s="1"/>
  <c r="U38" i="8" s="1" a="1"/>
  <c r="U38" i="8" s="1"/>
  <c r="V53" i="8" a="1"/>
  <c r="V53" i="8" s="1"/>
  <c r="L41" i="12" a="1"/>
  <c r="L41" i="12" s="1"/>
  <c r="C41" i="12"/>
  <c r="J41" i="12" a="1"/>
  <c r="J41" i="12" s="1"/>
  <c r="X86" i="12"/>
  <c r="W86" i="12"/>
  <c r="W52" i="12"/>
  <c r="X52" i="12"/>
  <c r="H38" i="8" a="1"/>
  <c r="H38" i="8" s="1"/>
  <c r="J39" i="8" s="1"/>
  <c r="H39" i="8" a="1"/>
  <c r="H39" i="8" s="1"/>
  <c r="G38" i="8"/>
  <c r="G39" i="8" s="1" a="1"/>
  <c r="G39" i="8" s="1"/>
  <c r="E157" i="6"/>
  <c r="D157" i="12"/>
  <c r="Y157" i="12"/>
  <c r="AO156" i="12"/>
  <c r="Y156" i="12" s="1"/>
  <c r="AO133" i="12"/>
  <c r="Y133" i="12" s="1"/>
  <c r="L16" i="13"/>
  <c r="C16" i="11"/>
  <c r="P16" i="11"/>
  <c r="K88" i="12"/>
  <c r="X53" i="12"/>
  <c r="W53" i="12"/>
  <c r="T159" i="12"/>
  <c r="U159" i="12"/>
  <c r="V159" i="12"/>
  <c r="X160" i="12"/>
  <c r="W160" i="12"/>
  <c r="AG32" i="5"/>
  <c r="K41" i="12" l="1"/>
  <c r="K133" i="12"/>
  <c r="U32" i="5"/>
  <c r="I71" i="8"/>
  <c r="E124" i="6"/>
  <c r="D124" i="12"/>
  <c r="W82" i="12"/>
  <c r="X82" i="12"/>
  <c r="I53" i="8"/>
  <c r="D82" i="12"/>
  <c r="E82" i="6"/>
  <c r="T161" i="12"/>
  <c r="V161" i="12"/>
  <c r="U161" i="12"/>
  <c r="P17" i="13"/>
  <c r="D17" i="13"/>
  <c r="K156" i="12"/>
  <c r="D41" i="12"/>
  <c r="E41" i="6"/>
  <c r="I29" i="8"/>
  <c r="V158" i="12"/>
  <c r="U158" i="12"/>
  <c r="T158" i="12"/>
  <c r="T129" i="12"/>
  <c r="V129" i="12"/>
  <c r="U129" i="12"/>
  <c r="V128" i="12"/>
  <c r="T128" i="12"/>
  <c r="U128" i="12"/>
  <c r="U48" i="12"/>
  <c r="V48" i="12"/>
  <c r="T48" i="12"/>
  <c r="X157" i="12"/>
  <c r="W157" i="12"/>
  <c r="V130" i="12"/>
  <c r="T130" i="12"/>
  <c r="U130" i="12"/>
  <c r="I86" i="8"/>
  <c r="D156" i="12"/>
  <c r="E156" i="6"/>
  <c r="U85" i="12"/>
  <c r="V85" i="12"/>
  <c r="T85" i="12"/>
  <c r="X156" i="12"/>
  <c r="W156" i="12"/>
  <c r="K82" i="12"/>
  <c r="Y93" i="12"/>
  <c r="AO57" i="12"/>
  <c r="Y57" i="12" s="1"/>
  <c r="D57" i="12"/>
  <c r="E57" i="6"/>
  <c r="I38" i="8"/>
  <c r="W126" i="12"/>
  <c r="X126" i="12"/>
  <c r="K57" i="12"/>
  <c r="T52" i="12"/>
  <c r="U52" i="12"/>
  <c r="V52" i="12"/>
  <c r="I59" i="8"/>
  <c r="D93" i="12"/>
  <c r="E93" i="6"/>
  <c r="W124" i="12"/>
  <c r="X124" i="12"/>
  <c r="T51" i="12"/>
  <c r="V51" i="12"/>
  <c r="U51" i="12"/>
  <c r="V86" i="12"/>
  <c r="U86" i="12"/>
  <c r="T86" i="12"/>
  <c r="X41" i="12"/>
  <c r="W41" i="12"/>
  <c r="U89" i="12"/>
  <c r="V89" i="12"/>
  <c r="T89" i="12"/>
  <c r="T53" i="12"/>
  <c r="V53" i="12"/>
  <c r="U53" i="12"/>
  <c r="V160" i="12"/>
  <c r="T160" i="12"/>
  <c r="U160" i="12"/>
  <c r="P16" i="13"/>
  <c r="D16" i="13"/>
  <c r="D15" i="13"/>
  <c r="P15" i="13"/>
  <c r="X45" i="12"/>
  <c r="W45" i="12"/>
  <c r="X133" i="12"/>
  <c r="W133" i="12"/>
  <c r="I77" i="8"/>
  <c r="E133" i="6"/>
  <c r="D133" i="12"/>
  <c r="T88" i="12"/>
  <c r="V88" i="12"/>
  <c r="U88" i="12"/>
  <c r="X57" i="12" l="1"/>
  <c r="W57" i="12"/>
  <c r="T124" i="12"/>
  <c r="U124" i="12"/>
  <c r="V124" i="12"/>
  <c r="V41" i="12"/>
  <c r="U41" i="12"/>
  <c r="T41" i="12"/>
  <c r="U157" i="12"/>
  <c r="T157" i="12"/>
  <c r="V157" i="12"/>
  <c r="U45" i="12"/>
  <c r="V45" i="12"/>
  <c r="T45" i="12"/>
  <c r="W93" i="12"/>
  <c r="X93" i="12"/>
  <c r="T156" i="12"/>
  <c r="U156" i="12"/>
  <c r="V156" i="12"/>
  <c r="T82" i="12"/>
  <c r="V82" i="12"/>
  <c r="U82" i="12"/>
  <c r="T126" i="12"/>
  <c r="U126" i="12"/>
  <c r="V126" i="12"/>
  <c r="V133" i="12"/>
  <c r="T133" i="12"/>
  <c r="U133" i="12"/>
  <c r="AN32" i="5"/>
  <c r="AC32" i="5" s="1" a="1"/>
  <c r="AC32" i="5" s="1"/>
  <c r="W32" i="5"/>
  <c r="J32" i="6" l="1" a="1"/>
  <c r="J32" i="6" s="1"/>
  <c r="O12" i="5" a="1"/>
  <c r="O12" i="5" s="1"/>
  <c r="T93" i="12"/>
  <c r="V93" i="12"/>
  <c r="U93" i="12"/>
  <c r="AM32" i="6"/>
  <c r="AM15" i="6" s="1"/>
  <c r="T15" i="6" s="1"/>
  <c r="T11" i="6" s="1"/>
  <c r="AJ32" i="6"/>
  <c r="H32" i="12"/>
  <c r="AO32" i="6"/>
  <c r="AO15" i="6" s="1"/>
  <c r="V15" i="6" s="1"/>
  <c r="V11" i="6" s="1"/>
  <c r="AK32" i="6"/>
  <c r="AK15" i="6" s="1"/>
  <c r="R15" i="6" s="1"/>
  <c r="R11" i="6" s="1"/>
  <c r="AL32" i="6"/>
  <c r="AN32" i="6"/>
  <c r="AN15" i="6" s="1"/>
  <c r="U15" i="6" s="1"/>
  <c r="U11" i="6" s="1"/>
  <c r="T57" i="12"/>
  <c r="U57" i="12"/>
  <c r="V57" i="12"/>
  <c r="E25" i="8" l="1" a="1"/>
  <c r="E25" i="8" s="1"/>
  <c r="U25" i="8" a="1"/>
  <c r="U25" i="8" s="1"/>
  <c r="AL15" i="6"/>
  <c r="S15" i="6" s="1"/>
  <c r="S11" i="6" s="1"/>
  <c r="X32" i="5" a="1"/>
  <c r="X32" i="5" s="1"/>
  <c r="AJ15" i="6"/>
  <c r="Q15" i="6" s="1"/>
  <c r="Q11" i="6" s="1"/>
  <c r="I12" i="6"/>
  <c r="F11" i="6"/>
  <c r="N11" i="6"/>
  <c r="Z32" i="5" l="1"/>
  <c r="I32" i="12"/>
  <c r="I32" i="5"/>
  <c r="I33" i="5" s="1"/>
  <c r="I34" i="5" s="1"/>
  <c r="L32" i="5"/>
  <c r="AM32" i="5"/>
  <c r="X23" i="5" a="1"/>
  <c r="X23" i="5" s="1"/>
  <c r="X16" i="5" a="1"/>
  <c r="X16" i="5" s="1"/>
  <c r="X15" i="5"/>
  <c r="Z23" i="5" l="1"/>
  <c r="AM23" i="5"/>
  <c r="I23" i="12"/>
  <c r="L23" i="5"/>
  <c r="S23" i="8"/>
  <c r="Y70" i="10"/>
  <c r="AC72" i="10"/>
  <c r="AC75" i="10" s="1"/>
  <c r="O72" i="10"/>
  <c r="O75" i="10" s="1"/>
  <c r="I70" i="10"/>
  <c r="Y9" i="10" s="1"/>
  <c r="O70" i="10"/>
  <c r="S70" i="10"/>
  <c r="U70" i="10"/>
  <c r="U72" i="10"/>
  <c r="U75" i="10" s="1"/>
  <c r="M70" i="10"/>
  <c r="AE70" i="10"/>
  <c r="M72" i="10"/>
  <c r="M75" i="10" s="1"/>
  <c r="W70" i="10"/>
  <c r="K70" i="10"/>
  <c r="Z15" i="5"/>
  <c r="AA72" i="10"/>
  <c r="AA75" i="10" s="1"/>
  <c r="AM15" i="5"/>
  <c r="AA70" i="10"/>
  <c r="W72" i="10"/>
  <c r="W75" i="10" s="1"/>
  <c r="AC70" i="10"/>
  <c r="S72" i="10"/>
  <c r="S75" i="10" s="1"/>
  <c r="I72" i="10"/>
  <c r="AE9" i="10" s="1"/>
  <c r="Q72" i="10"/>
  <c r="Q75" i="10" s="1"/>
  <c r="Q70" i="10"/>
  <c r="Y72" i="10"/>
  <c r="Y75" i="10" s="1"/>
  <c r="K72" i="10"/>
  <c r="K75" i="10" s="1"/>
  <c r="AE72" i="10"/>
  <c r="AE75" i="10" s="1"/>
  <c r="I35" i="5"/>
  <c r="O34" i="5"/>
  <c r="O32" i="12"/>
  <c r="M32" i="12"/>
  <c r="C32" i="12"/>
  <c r="AO32" i="12"/>
  <c r="O14" i="11"/>
  <c r="Z16" i="5"/>
  <c r="I16" i="12"/>
  <c r="L16" i="5"/>
  <c r="S14" i="8"/>
  <c r="AM16" i="5"/>
  <c r="O32" i="5"/>
  <c r="C32" i="6"/>
  <c r="AB32" i="5"/>
  <c r="E32" i="6" l="1"/>
  <c r="D32" i="12"/>
  <c r="N32" i="12"/>
  <c r="I36" i="5"/>
  <c r="O35" i="5"/>
  <c r="H15" i="8" a="1"/>
  <c r="H15" i="8" s="1"/>
  <c r="H14" i="8" a="1"/>
  <c r="H14" i="8" s="1"/>
  <c r="J15" i="8" s="1"/>
  <c r="R96" i="8"/>
  <c r="I96" i="8" s="1"/>
  <c r="G14" i="8"/>
  <c r="G15" i="8" s="1" a="1"/>
  <c r="G15" i="8" s="1"/>
  <c r="AB23" i="5"/>
  <c r="D23" i="8" s="1"/>
  <c r="AB16" i="5"/>
  <c r="AB14" i="11" s="1"/>
  <c r="AB15" i="5"/>
  <c r="AC11" i="5"/>
  <c r="AC7" i="5"/>
  <c r="O16" i="5"/>
  <c r="C16" i="6"/>
  <c r="AF23" i="8" a="1"/>
  <c r="AF23" i="8" s="1"/>
  <c r="AE23" i="8" a="1"/>
  <c r="AE23" i="8" s="1"/>
  <c r="X23" i="8" a="1"/>
  <c r="X23" i="8" s="1"/>
  <c r="W23" i="8" a="1"/>
  <c r="W23" i="8" s="1"/>
  <c r="Z23" i="8" a="1"/>
  <c r="Z23" i="8" s="1"/>
  <c r="AC23" i="8" a="1"/>
  <c r="AC23" i="8" s="1"/>
  <c r="V23" i="8" a="1"/>
  <c r="V23" i="8" s="1"/>
  <c r="AD23" i="8" a="1"/>
  <c r="AD23" i="8" s="1"/>
  <c r="G23" i="8"/>
  <c r="G24" i="8" s="1" a="1"/>
  <c r="G24" i="8" s="1"/>
  <c r="AB23" i="8" a="1"/>
  <c r="AB23" i="8" s="1"/>
  <c r="H23" i="8" a="1"/>
  <c r="H23" i="8" s="1"/>
  <c r="J24" i="8" s="1"/>
  <c r="AA23" i="8" a="1"/>
  <c r="AA23" i="8" s="1"/>
  <c r="H24" i="8" a="1"/>
  <c r="H24" i="8" s="1"/>
  <c r="Y23" i="8" a="1"/>
  <c r="Y23" i="8" s="1"/>
  <c r="Z16" i="8" a="1"/>
  <c r="Z16" i="8" s="1"/>
  <c r="Z14" i="8" s="1" a="1"/>
  <c r="Z14" i="8" s="1"/>
  <c r="U16" i="8" a="1"/>
  <c r="U16" i="8" s="1"/>
  <c r="U105" i="8" s="1"/>
  <c r="AB16" i="8" a="1"/>
  <c r="AB16" i="8" s="1"/>
  <c r="AB14" i="8" s="1" a="1"/>
  <c r="AB14" i="8" s="1"/>
  <c r="AF16" i="8" a="1"/>
  <c r="AF16" i="8" s="1"/>
  <c r="AF14" i="8" s="1" a="1"/>
  <c r="AF14" i="8" s="1"/>
  <c r="AC16" i="8" a="1"/>
  <c r="AC16" i="8" s="1"/>
  <c r="AC14" i="8" s="1" a="1"/>
  <c r="AC14" i="8" s="1"/>
  <c r="AA16" i="8" a="1"/>
  <c r="AA16" i="8" s="1"/>
  <c r="AA14" i="8" s="1" a="1"/>
  <c r="AA14" i="8" s="1"/>
  <c r="AD16" i="8" a="1"/>
  <c r="AD16" i="8" s="1"/>
  <c r="AD14" i="8" s="1" a="1"/>
  <c r="AD14" i="8" s="1"/>
  <c r="AE16" i="8" a="1"/>
  <c r="AE16" i="8" s="1"/>
  <c r="AE14" i="8" s="1" a="1"/>
  <c r="AE14" i="8" s="1"/>
  <c r="V16" i="8" a="1"/>
  <c r="V16" i="8" s="1"/>
  <c r="V14" i="8" s="1" a="1"/>
  <c r="V14" i="8" s="1"/>
  <c r="Y16" i="8" a="1"/>
  <c r="Y16" i="8" s="1"/>
  <c r="Y14" i="8" s="1" a="1"/>
  <c r="Y14" i="8" s="1"/>
  <c r="X16" i="8" a="1"/>
  <c r="X16" i="8" s="1"/>
  <c r="X14" i="8" s="1" a="1"/>
  <c r="X14" i="8" s="1"/>
  <c r="E16" i="8" a="1"/>
  <c r="E16" i="8" s="1"/>
  <c r="W16" i="8" a="1"/>
  <c r="W16" i="8" s="1"/>
  <c r="W14" i="8" s="1" a="1"/>
  <c r="W14" i="8" s="1"/>
  <c r="U23" i="8" a="1"/>
  <c r="U23" i="8" s="1"/>
  <c r="E23" i="8" a="1"/>
  <c r="E23" i="8" s="1"/>
  <c r="H75" i="10"/>
  <c r="C23" i="6"/>
  <c r="O23" i="5"/>
  <c r="D34" i="12"/>
  <c r="E34" i="6"/>
  <c r="L16" i="12" a="1"/>
  <c r="L16" i="12" s="1"/>
  <c r="C16" i="12"/>
  <c r="J16" i="12" a="1"/>
  <c r="J16" i="12" s="1"/>
  <c r="C23" i="12"/>
  <c r="L23" i="12" a="1"/>
  <c r="L23" i="12" s="1"/>
  <c r="J23" i="12" a="1"/>
  <c r="J23" i="12" s="1"/>
  <c r="L14" i="13"/>
  <c r="O24" i="11"/>
  <c r="C14" i="11"/>
  <c r="P14" i="11"/>
  <c r="G11" i="11" s="1"/>
  <c r="Y32" i="12"/>
  <c r="AO23" i="12"/>
  <c r="Y23" i="12" s="1"/>
  <c r="AO16" i="12"/>
  <c r="Y16" i="12" s="1"/>
  <c r="K16" i="12" l="1"/>
  <c r="V105" i="8"/>
  <c r="U100" i="8"/>
  <c r="H71" i="9"/>
  <c r="U101" i="8"/>
  <c r="W105" i="8"/>
  <c r="AB24" i="11"/>
  <c r="AB7" i="11" s="1"/>
  <c r="N14" i="11"/>
  <c r="N24" i="11" s="1"/>
  <c r="I23" i="8"/>
  <c r="D23" i="12"/>
  <c r="E23" i="6"/>
  <c r="U104" i="8" a="1"/>
  <c r="U104" i="8" s="1"/>
  <c r="U14" i="8" a="1"/>
  <c r="U14" i="8" s="1"/>
  <c r="AA7" i="11"/>
  <c r="O25" i="11"/>
  <c r="K23" i="12"/>
  <c r="E105" i="8"/>
  <c r="E104" i="8" a="1"/>
  <c r="E104" i="8" s="1"/>
  <c r="E99" i="8" s="1"/>
  <c r="E14" i="8" a="1"/>
  <c r="E14" i="8" s="1"/>
  <c r="E35" i="6"/>
  <c r="D35" i="12"/>
  <c r="I37" i="5"/>
  <c r="O36" i="5"/>
  <c r="V14" i="13"/>
  <c r="V15" i="13" s="1"/>
  <c r="V16" i="13" s="1"/>
  <c r="V17" i="13" s="1"/>
  <c r="V18" i="13" s="1"/>
  <c r="V19" i="13" s="1"/>
  <c r="V20" i="13" s="1"/>
  <c r="V21" i="13" s="1"/>
  <c r="V22" i="13" s="1"/>
  <c r="V23" i="13" s="1"/>
  <c r="D14" i="13"/>
  <c r="L28" i="13"/>
  <c r="P14" i="13"/>
  <c r="W16" i="12"/>
  <c r="X16" i="12"/>
  <c r="X23" i="12"/>
  <c r="W23" i="12"/>
  <c r="W32" i="12"/>
  <c r="X32" i="12"/>
  <c r="E16" i="6"/>
  <c r="I14" i="8"/>
  <c r="D16" i="12"/>
  <c r="U99" i="8" l="1"/>
  <c r="V104" i="8" a="1"/>
  <c r="V104" i="8" s="1"/>
  <c r="T16" i="12"/>
  <c r="U16" i="12"/>
  <c r="V16" i="12"/>
  <c r="E101" i="8"/>
  <c r="E106" i="8" s="1"/>
  <c r="E100" i="8"/>
  <c r="E96" i="8" s="1"/>
  <c r="L27" i="13"/>
  <c r="D32" i="14" s="1"/>
  <c r="N25" i="11"/>
  <c r="U23" i="12"/>
  <c r="T23" i="12"/>
  <c r="V23" i="12"/>
  <c r="W100" i="8"/>
  <c r="L71" i="9"/>
  <c r="W101" i="8"/>
  <c r="L70" i="9" s="1"/>
  <c r="L73" i="9" s="1"/>
  <c r="X105" i="8"/>
  <c r="E36" i="6"/>
  <c r="D36" i="12"/>
  <c r="H70" i="9"/>
  <c r="H73" i="9" s="1"/>
  <c r="I38" i="5"/>
  <c r="O37" i="5"/>
  <c r="Z3" i="11"/>
  <c r="AA3" i="11" s="1"/>
  <c r="N24" i="13"/>
  <c r="M24" i="13"/>
  <c r="O29" i="13"/>
  <c r="O24" i="13"/>
  <c r="L24" i="13"/>
  <c r="P24" i="13"/>
  <c r="E34" i="14"/>
  <c r="D33" i="14"/>
  <c r="U32" i="12"/>
  <c r="V32" i="12"/>
  <c r="T32" i="12"/>
  <c r="U96" i="8"/>
  <c r="H68" i="9" s="1"/>
  <c r="H69" i="9"/>
  <c r="V100" i="8"/>
  <c r="V101" i="8"/>
  <c r="J70" i="9" s="1"/>
  <c r="J73" i="9" s="1"/>
  <c r="J71" i="9"/>
  <c r="D37" i="12" l="1"/>
  <c r="E37" i="6"/>
  <c r="AA87" i="5"/>
  <c r="AD15" i="11"/>
  <c r="AD16" i="11"/>
  <c r="AD18" i="11"/>
  <c r="AD12" i="11"/>
  <c r="AD17" i="11"/>
  <c r="AD22" i="11"/>
  <c r="AD20" i="11"/>
  <c r="AD19" i="11"/>
  <c r="AD23" i="11"/>
  <c r="AD14" i="11"/>
  <c r="AD21" i="11"/>
  <c r="AA146" i="5"/>
  <c r="AA63" i="5"/>
  <c r="AA79" i="5"/>
  <c r="AA37" i="5"/>
  <c r="AA120" i="5"/>
  <c r="AA119" i="5"/>
  <c r="AA31" i="5"/>
  <c r="AA148" i="5"/>
  <c r="AA115" i="5"/>
  <c r="AA100" i="5"/>
  <c r="AA77" i="5"/>
  <c r="AA36" i="5"/>
  <c r="AA99" i="5"/>
  <c r="AA122" i="5"/>
  <c r="AA151" i="5"/>
  <c r="AA27" i="5"/>
  <c r="AA152" i="5"/>
  <c r="AA43" i="5"/>
  <c r="AA78" i="5"/>
  <c r="AA73" i="5"/>
  <c r="AA110" i="5"/>
  <c r="AA67" i="5"/>
  <c r="AA95" i="5"/>
  <c r="AA106" i="5"/>
  <c r="AA142" i="5"/>
  <c r="AA71" i="5"/>
  <c r="AA25" i="5"/>
  <c r="AA75" i="5"/>
  <c r="AA35" i="5"/>
  <c r="AA70" i="5"/>
  <c r="AA140" i="5"/>
  <c r="AA108" i="5"/>
  <c r="AA30" i="5"/>
  <c r="AA143" i="5"/>
  <c r="AA121" i="5"/>
  <c r="AA97" i="5"/>
  <c r="AA150" i="5"/>
  <c r="AA39" i="5"/>
  <c r="AA111" i="5"/>
  <c r="AA112" i="5"/>
  <c r="AA103" i="5"/>
  <c r="AA155" i="5"/>
  <c r="AA64" i="5"/>
  <c r="AA113" i="5"/>
  <c r="AA154" i="5"/>
  <c r="AA81" i="5"/>
  <c r="AA76" i="5"/>
  <c r="AA153" i="5"/>
  <c r="AA44" i="5"/>
  <c r="AA149" i="5"/>
  <c r="AA105" i="5"/>
  <c r="AA102" i="5"/>
  <c r="AA137" i="5"/>
  <c r="AA114" i="5"/>
  <c r="AA135" i="5"/>
  <c r="AA107" i="5"/>
  <c r="AA118" i="5"/>
  <c r="AA138" i="5"/>
  <c r="AA29" i="5"/>
  <c r="AA61" i="5"/>
  <c r="AA42" i="5"/>
  <c r="AA98" i="5"/>
  <c r="AA144" i="5"/>
  <c r="AA69" i="5"/>
  <c r="AA28" i="5"/>
  <c r="AA47" i="5"/>
  <c r="AA24" i="5"/>
  <c r="AA104" i="5"/>
  <c r="AA145" i="5"/>
  <c r="AA109" i="5"/>
  <c r="AA62" i="5"/>
  <c r="AA65" i="5"/>
  <c r="AA46" i="5"/>
  <c r="AA80" i="5"/>
  <c r="AA18" i="5"/>
  <c r="AA123" i="5"/>
  <c r="AA68" i="5"/>
  <c r="AA38" i="5"/>
  <c r="AA147" i="5"/>
  <c r="AA40" i="5"/>
  <c r="AA96" i="5"/>
  <c r="AA72" i="5"/>
  <c r="AA117" i="5"/>
  <c r="AA26" i="5"/>
  <c r="AA34" i="5"/>
  <c r="AA139" i="5"/>
  <c r="AA19" i="5"/>
  <c r="AA164" i="5"/>
  <c r="AA163" i="5" s="1"/>
  <c r="C92" i="8" s="1"/>
  <c r="AA22" i="5"/>
  <c r="AA21" i="5" s="1"/>
  <c r="C20" i="8" s="1"/>
  <c r="AA136" i="5"/>
  <c r="AA132" i="5"/>
  <c r="AA59" i="5"/>
  <c r="AA20" i="5"/>
  <c r="AA92" i="5"/>
  <c r="AA125" i="5"/>
  <c r="AA162" i="5"/>
  <c r="AA50" i="5"/>
  <c r="AA83" i="5"/>
  <c r="AA127" i="5"/>
  <c r="AA56" i="5"/>
  <c r="AA49" i="5"/>
  <c r="AA84" i="5"/>
  <c r="AA91" i="5"/>
  <c r="AA159" i="5"/>
  <c r="AA158" i="5" s="1"/>
  <c r="C89" i="8" s="1"/>
  <c r="AA55" i="5"/>
  <c r="AA54" i="5"/>
  <c r="AA90" i="5"/>
  <c r="AA89" i="5"/>
  <c r="AA160" i="5"/>
  <c r="AA85" i="5"/>
  <c r="AA53" i="5"/>
  <c r="AA131" i="5"/>
  <c r="AA130" i="5"/>
  <c r="AA161" i="5"/>
  <c r="AA51" i="5"/>
  <c r="AA129" i="5"/>
  <c r="AA128" i="5" s="1"/>
  <c r="C74" i="8" s="1"/>
  <c r="AA157" i="5"/>
  <c r="AA156" i="5" s="1"/>
  <c r="C86" i="8" s="1"/>
  <c r="AA45" i="5"/>
  <c r="AA86" i="5"/>
  <c r="AA126" i="5"/>
  <c r="AA124" i="5" s="1"/>
  <c r="C71" i="8" s="1"/>
  <c r="AA32" i="5"/>
  <c r="I39" i="5"/>
  <c r="O38" i="5"/>
  <c r="N71" i="9"/>
  <c r="X101" i="8"/>
  <c r="X100" i="8"/>
  <c r="Y105" i="8"/>
  <c r="V99" i="8"/>
  <c r="W104" i="8" a="1"/>
  <c r="W104" i="8" s="1"/>
  <c r="G10" i="13"/>
  <c r="F34" i="14"/>
  <c r="V96" i="8"/>
  <c r="J68" i="9" s="1"/>
  <c r="J69" i="9"/>
  <c r="W96" i="8"/>
  <c r="L68" i="9" s="1"/>
  <c r="L69" i="9"/>
  <c r="AE18" i="11" l="1"/>
  <c r="M18" i="11" s="1"/>
  <c r="L18" i="11" s="1"/>
  <c r="AE19" i="11"/>
  <c r="M19" i="11" s="1"/>
  <c r="L19" i="11" s="1"/>
  <c r="AA82" i="5"/>
  <c r="C53" i="8" s="1"/>
  <c r="AA66" i="5"/>
  <c r="C47" i="8" s="1"/>
  <c r="AE23" i="11"/>
  <c r="M23" i="11" s="1"/>
  <c r="L23" i="11" s="1"/>
  <c r="AE22" i="11"/>
  <c r="M22" i="11" s="1"/>
  <c r="L22" i="11" s="1"/>
  <c r="AA58" i="5"/>
  <c r="C41" i="8" s="1"/>
  <c r="AA57" i="5"/>
  <c r="AA15" i="11" s="1"/>
  <c r="AA23" i="5"/>
  <c r="C23" i="8" s="1"/>
  <c r="AA133" i="5"/>
  <c r="AA17" i="11" s="1"/>
  <c r="Z17" i="11" s="1"/>
  <c r="AA134" i="5"/>
  <c r="C80" i="8" s="1"/>
  <c r="AE21" i="11"/>
  <c r="M21" i="11" s="1"/>
  <c r="L21" i="11" s="1"/>
  <c r="X104" i="8" a="1"/>
  <c r="X104" i="8" s="1"/>
  <c r="W99" i="8"/>
  <c r="N69" i="9"/>
  <c r="X96" i="8"/>
  <c r="N68" i="9" s="1"/>
  <c r="AE16" i="11"/>
  <c r="Y100" i="8"/>
  <c r="Y101" i="8"/>
  <c r="P70" i="9" s="1"/>
  <c r="P73" i="9" s="1"/>
  <c r="P71" i="9"/>
  <c r="Z105" i="8"/>
  <c r="N70" i="9"/>
  <c r="N73" i="9" s="1"/>
  <c r="AA101" i="5"/>
  <c r="C65" i="8" s="1"/>
  <c r="AA74" i="5"/>
  <c r="C50" i="8" s="1"/>
  <c r="AA52" i="5"/>
  <c r="C35" i="8" s="1"/>
  <c r="AA15" i="5"/>
  <c r="AA16" i="5"/>
  <c r="AA14" i="11" s="1"/>
  <c r="AA17" i="5"/>
  <c r="C17" i="8" s="1"/>
  <c r="AE15" i="11"/>
  <c r="E38" i="6"/>
  <c r="D38" i="12"/>
  <c r="I40" i="5"/>
  <c r="O40" i="5" s="1"/>
  <c r="O39" i="5"/>
  <c r="AE14" i="11"/>
  <c r="AA48" i="5"/>
  <c r="C32" i="8" s="1"/>
  <c r="AA33" i="5"/>
  <c r="C26" i="8" s="1"/>
  <c r="AA41" i="5"/>
  <c r="C29" i="8" s="1"/>
  <c r="AA141" i="5"/>
  <c r="C83" i="8" s="1"/>
  <c r="AA88" i="5"/>
  <c r="C56" i="8" s="1"/>
  <c r="AA60" i="5"/>
  <c r="C44" i="8" s="1"/>
  <c r="AE20" i="11"/>
  <c r="M20" i="11" s="1"/>
  <c r="L20" i="11" s="1"/>
  <c r="AA116" i="5"/>
  <c r="C68" i="8" s="1"/>
  <c r="AA93" i="5"/>
  <c r="AA16" i="11" s="1"/>
  <c r="AA94" i="5"/>
  <c r="C62" i="8" s="1"/>
  <c r="AE12" i="11"/>
  <c r="M12" i="11" s="1"/>
  <c r="L12" i="11" s="1"/>
  <c r="Y104" i="8" l="1" a="1"/>
  <c r="Y104" i="8" s="1"/>
  <c r="X99" i="8"/>
  <c r="E39" i="6"/>
  <c r="D39" i="12"/>
  <c r="Z101" i="8"/>
  <c r="Z100" i="8"/>
  <c r="R71" i="9"/>
  <c r="AA105" i="8"/>
  <c r="M16" i="11"/>
  <c r="L16" i="11" s="1"/>
  <c r="Z16" i="11"/>
  <c r="M15" i="11"/>
  <c r="L15" i="11" s="1"/>
  <c r="Z15" i="11"/>
  <c r="U103" i="8" a="1"/>
  <c r="U103" i="8" s="1"/>
  <c r="E103" i="8" a="1"/>
  <c r="E103" i="8" s="1"/>
  <c r="P69" i="9"/>
  <c r="Y96" i="8"/>
  <c r="P68" i="9" s="1"/>
  <c r="M14" i="11"/>
  <c r="AA24" i="11"/>
  <c r="Z14" i="11"/>
  <c r="E40" i="6"/>
  <c r="D40" i="12"/>
  <c r="Z96" i="8" l="1"/>
  <c r="R68" i="9" s="1"/>
  <c r="R69" i="9"/>
  <c r="R70" i="9"/>
  <c r="R73" i="9" s="1"/>
  <c r="F11" i="8" a="1"/>
  <c r="F11" i="8" s="1"/>
  <c r="AA100" i="8"/>
  <c r="AA101" i="8"/>
  <c r="T70" i="9" s="1"/>
  <c r="T73" i="9" s="1"/>
  <c r="T71" i="9"/>
  <c r="AB105" i="8"/>
  <c r="Z24" i="11"/>
  <c r="AE17" i="11" s="1"/>
  <c r="M17" i="11" s="1"/>
  <c r="L17" i="11" s="1"/>
  <c r="L24" i="11" s="1"/>
  <c r="L14" i="11"/>
  <c r="U102" i="8"/>
  <c r="U97" i="8" s="1"/>
  <c r="U98" i="8"/>
  <c r="V103" i="8" a="1"/>
  <c r="V103" i="8" s="1"/>
  <c r="E102" i="8"/>
  <c r="E97" i="8" s="1"/>
  <c r="E98" i="8"/>
  <c r="Z104" i="8" a="1"/>
  <c r="Z104" i="8" s="1"/>
  <c r="Y99" i="8"/>
  <c r="L25" i="11" l="1"/>
  <c r="L25" i="13"/>
  <c r="D30" i="14" s="1"/>
  <c r="L10" i="11"/>
  <c r="M10" i="13" s="1"/>
  <c r="M24" i="11"/>
  <c r="AA96" i="8"/>
  <c r="T68" i="9" s="1"/>
  <c r="T69" i="9"/>
  <c r="V71" i="9"/>
  <c r="AB101" i="8"/>
  <c r="V70" i="9" s="1"/>
  <c r="V73" i="9" s="1"/>
  <c r="AB100" i="8"/>
  <c r="AC105" i="8"/>
  <c r="Z99" i="8"/>
  <c r="AA104" i="8" a="1"/>
  <c r="AA104" i="8" s="1"/>
  <c r="V102" i="8"/>
  <c r="V97" i="8" s="1"/>
  <c r="V98" i="8"/>
  <c r="W103" i="8" a="1"/>
  <c r="W103" i="8" s="1"/>
  <c r="AC101" i="8" l="1"/>
  <c r="X70" i="9" s="1"/>
  <c r="X73" i="9" s="1"/>
  <c r="X71" i="9"/>
  <c r="AC100" i="8"/>
  <c r="AD105" i="8"/>
  <c r="X103" i="8" a="1"/>
  <c r="X103" i="8" s="1"/>
  <c r="W98" i="8"/>
  <c r="W102" i="8"/>
  <c r="W97" i="8" s="1"/>
  <c r="M25" i="11"/>
  <c r="G9" i="11" s="1"/>
  <c r="M10" i="11"/>
  <c r="N10" i="13" s="1"/>
  <c r="L26" i="13"/>
  <c r="D31" i="14" s="1"/>
  <c r="AB96" i="8"/>
  <c r="V68" i="9" s="1"/>
  <c r="V69" i="9"/>
  <c r="AB104" i="8" a="1"/>
  <c r="AB104" i="8" s="1"/>
  <c r="AA99" i="8"/>
  <c r="AD101" i="8" l="1"/>
  <c r="Z70" i="9" s="1"/>
  <c r="Z73" i="9" s="1"/>
  <c r="AD100" i="8"/>
  <c r="Z71" i="9"/>
  <c r="AE105" i="8"/>
  <c r="X98" i="8"/>
  <c r="Y103" i="8" a="1"/>
  <c r="Y103" i="8" s="1"/>
  <c r="X102" i="8"/>
  <c r="X97" i="8" s="1"/>
  <c r="X69" i="9"/>
  <c r="AC96" i="8"/>
  <c r="X68" i="9" s="1"/>
  <c r="AC104" i="8" a="1"/>
  <c r="AC104" i="8" s="1"/>
  <c r="AB99" i="8"/>
  <c r="AD104" i="8" l="1" a="1"/>
  <c r="AD104" i="8" s="1"/>
  <c r="AC99" i="8"/>
  <c r="Z103" i="8" a="1"/>
  <c r="Z103" i="8" s="1"/>
  <c r="Y98" i="8"/>
  <c r="Y102" i="8"/>
  <c r="Y97" i="8" s="1"/>
  <c r="AB71" i="9"/>
  <c r="AE100" i="8"/>
  <c r="AE101" i="8"/>
  <c r="AB70" i="9" s="1"/>
  <c r="AB73" i="9" s="1"/>
  <c r="AF105" i="8"/>
  <c r="AD96" i="8"/>
  <c r="Z68" i="9" s="1"/>
  <c r="Z69" i="9"/>
  <c r="AB69" i="9" l="1"/>
  <c r="AE96" i="8"/>
  <c r="AB68" i="9" s="1"/>
  <c r="K10" i="8" a="1"/>
  <c r="K10" i="8" s="1"/>
  <c r="AF100" i="8"/>
  <c r="AF101" i="8"/>
  <c r="AD70" i="9" s="1"/>
  <c r="AD73" i="9" s="1"/>
  <c r="G73" i="9" s="1"/>
  <c r="AD71" i="9"/>
  <c r="B6" i="9" a="1"/>
  <c r="B6" i="9" s="1"/>
  <c r="M13" i="9" s="1"/>
  <c r="AA103" i="8" a="1"/>
  <c r="AA103" i="8" s="1"/>
  <c r="Z98" i="8"/>
  <c r="Z102" i="8"/>
  <c r="Z97" i="8" s="1"/>
  <c r="AD99" i="8"/>
  <c r="AE104" i="8" a="1"/>
  <c r="AE104" i="8" s="1"/>
  <c r="AA98" i="8" l="1"/>
  <c r="AB103" i="8" a="1"/>
  <c r="AB103" i="8" s="1"/>
  <c r="AA102" i="8"/>
  <c r="AA97" i="8" s="1"/>
  <c r="AF96" i="8"/>
  <c r="AD68" i="9" s="1"/>
  <c r="AD69" i="9"/>
  <c r="AE99" i="8"/>
  <c r="AF104" i="8" a="1"/>
  <c r="AF104" i="8" s="1"/>
  <c r="AF99" i="8" l="1"/>
  <c r="AC103" i="8" a="1"/>
  <c r="AC103" i="8" s="1"/>
  <c r="AB98" i="8"/>
  <c r="AB102" i="8"/>
  <c r="AB97" i="8" s="1"/>
  <c r="AD103" i="8" l="1" a="1"/>
  <c r="AD103" i="8" s="1"/>
  <c r="AC98" i="8"/>
  <c r="AC102" i="8"/>
  <c r="AC97" i="8" s="1"/>
  <c r="AE103" i="8" l="1" a="1"/>
  <c r="AE103" i="8" s="1"/>
  <c r="AD98" i="8"/>
  <c r="AD102" i="8"/>
  <c r="AD97" i="8" s="1"/>
  <c r="AE98" i="8" l="1"/>
  <c r="AF103" i="8" a="1"/>
  <c r="AF103" i="8" s="1"/>
  <c r="AE102" i="8"/>
  <c r="AE97" i="8" s="1"/>
  <c r="AF98" i="8" l="1"/>
  <c r="AF102" i="8"/>
  <c r="AF9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<sst xmlns="http://schemas.openxmlformats.org/spreadsheetml/2006/main" count="2669" uniqueCount="1066">
  <si>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</si>
  <si>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</si>
  <si>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</si>
  <si>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</si>
  <si>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</si>
  <si>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</si>
  <si>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</si>
  <si>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</si>
  <si>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</si>
  <si>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</si>
  <si>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</si>
  <si>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</si>
  <si>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</si>
  <si>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</si>
  <si>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</si>
  <si>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</si>
  <si>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</si>
  <si>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</si>
  <si>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</si>
  <si>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</si>
  <si>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</si>
  <si>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</si>
  <si>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</si>
  <si>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</si>
  <si>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</si>
  <si>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</si>
  <si>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</si>
  <si>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</si>
  <si>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</si>
  <si>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</si>
  <si>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</si>
  <si>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</si>
  <si>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</si>
  <si>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</si>
  <si>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</si>
  <si>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</si>
  <si>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</si>
  <si>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</si>
  <si>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</si>
  <si>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</si>
  <si>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</si>
  <si>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</si>
  <si>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</si>
  <si>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</si>
  <si>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</si>
  <si>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</si>
  <si>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</si>
  <si>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</si>
  <si>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</si>
  <si>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</si>
  <si>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</si>
  <si>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</si>
  <si>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</si>
  <si>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</si>
  <si>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</si>
  <si>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</si>
  <si>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</si>
  <si>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</si>
  <si>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</si>
  <si>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</si>
  <si>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</si>
  <si>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</si>
  <si>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</si>
  <si>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</si>
  <si>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</si>
  <si>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</si>
  <si>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</si>
  <si>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</si>
  <si>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</si>
  <si>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</si>
  <si>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</si>
  <si>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</si>
  <si>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</si>
  <si>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</si>
  <si>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</si>
  <si>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</si>
  <si>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</si>
  <si>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</si>
  <si>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</si>
  <si>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</si>
  <si>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</si>
  <si>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</si>
  <si>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</si>
  <si>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</si>
  <si>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</si>
  <si>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</si>
  <si>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</si>
  <si>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</si>
  <si>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</si>
  <si>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</si>
  <si>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</si>
  <si>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</si>
  <si>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</si>
  <si>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</si>
  <si>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</si>
  <si>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</si>
  <si>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</si>
  <si>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</si>
  <si>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</si>
  <si>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</si>
  <si>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</si>
  <si>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</si>
  <si>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</si>
  <si>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</si>
  <si>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</si>
  <si>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</si>
  <si>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</si>
  <si>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</si>
  <si>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</si>
  <si>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</si>
  <si>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</si>
  <si>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</si>
  <si>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</si>
  <si>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</si>
  <si>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</si>
  <si>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</si>
  <si>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</si>
  <si>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</si>
  <si>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</si>
  <si>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</si>
  <si>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</si>
  <si>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</si>
  <si>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</si>
  <si>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</si>
  <si>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</si>
  <si>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</si>
  <si>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</si>
  <si>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</si>
  <si>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</si>
  <si>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</si>
  <si>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</si>
  <si>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</si>
  <si>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</si>
  <si>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</si>
  <si>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</si>
  <si>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</si>
  <si>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</si>
  <si>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</si>
  <si>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</si>
  <si>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</si>
  <si>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</si>
  <si>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</si>
  <si>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</si>
  <si>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</si>
  <si>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</si>
  <si>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</si>
  <si>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</si>
  <si>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</si>
  <si>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</si>
  <si>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</si>
  <si>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</si>
  <si>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</si>
  <si>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</si>
  <si>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</si>
  <si>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</si>
  <si>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</si>
  <si>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</si>
  <si>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</si>
  <si>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</si>
  <si>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</si>
  <si>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</si>
  <si>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</si>
  <si>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</si>
  <si>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</si>
  <si>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</si>
  <si>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</si>
  <si>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</si>
  <si>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</si>
  <si>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</si>
  <si>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</si>
  <si>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</si>
  <si>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</si>
  <si>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</si>
  <si>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</si>
  <si>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</si>
  <si>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</si>
  <si>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</si>
  <si>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</si>
  <si>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</si>
  <si>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</si>
  <si>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</si>
  <si>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</si>
  <si>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</si>
  <si>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</si>
  <si>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</si>
  <si>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</si>
  <si>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</si>
  <si>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</si>
  <si>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</si>
  <si>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</si>
  <si>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</si>
  <si>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</si>
  <si>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</si>
  <si>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</si>
  <si>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</si>
  <si>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</si>
  <si>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</si>
  <si>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</si>
  <si>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</si>
  <si>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</si>
  <si>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</si>
  <si>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</si>
  <si>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</si>
  <si>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</si>
  <si>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</si>
  <si>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</si>
  <si>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</si>
  <si>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</si>
  <si>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</si>
  <si>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</si>
  <si>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</si>
  <si>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</si>
  <si>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</si>
  <si>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</si>
  <si>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</si>
  <si>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</si>
  <si>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</si>
  <si>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</si>
  <si>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</si>
  <si>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</si>
  <si>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</si>
  <si>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</si>
  <si>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</si>
  <si>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</si>
  <si>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</si>
  <si>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</si>
  <si>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</si>
  <si>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</si>
  <si>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</si>
  <si>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</si>
  <si>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</si>
  <si>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</si>
  <si>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</si>
  <si>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</si>
  <si>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</si>
  <si>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</si>
  <si>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</si>
  <si>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</si>
  <si>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</si>
  <si>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</si>
  <si>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</si>
  <si>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</si>
  <si>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</si>
  <si>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</si>
  <si>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</si>
  <si>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</si>
  <si>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</si>
  <si>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</si>
  <si>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</si>
  <si>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</si>
  <si>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</si>
  <si>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</si>
  <si>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</si>
  <si>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</si>
  <si>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</si>
  <si>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</si>
  <si>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</si>
  <si>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</si>
  <si>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</si>
  <si>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</si>
  <si>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</si>
  <si>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</si>
  <si>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</si>
  <si>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</si>
  <si>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</si>
  <si>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</si>
  <si>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</si>
  <si>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</si>
  <si>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</si>
  <si>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</si>
  <si>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</si>
  <si>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</si>
  <si>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</si>
  <si>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</si>
  <si>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</si>
  <si>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</si>
  <si>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</si>
  <si>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</si>
  <si>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</si>
  <si>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</si>
  <si>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</si>
  <si>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</si>
  <si>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</si>
  <si>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</si>
  <si>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</si>
  <si>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</si>
  <si>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</si>
  <si>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</si>
  <si>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</si>
  <si>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</si>
  <si>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</si>
  <si>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</si>
  <si>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</si>
  <si>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</si>
  <si>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</si>
  <si>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</si>
  <si>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</si>
  <si>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</si>
  <si>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</si>
  <si>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</si>
  <si>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</si>
  <si>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</si>
  <si>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</si>
  <si>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</si>
  <si>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</si>
  <si>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</si>
  <si>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</si>
  <si>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</si>
  <si>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</si>
  <si>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</si>
  <si>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</si>
  <si>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</si>
  <si>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</si>
  <si>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</si>
  <si>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</si>
  <si>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</si>
  <si>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</si>
  <si>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</si>
  <si>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</si>
  <si>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</si>
  <si>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</si>
  <si>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</si>
  <si>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</si>
  <si>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</si>
  <si>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</si>
  <si>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</si>
  <si>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</si>
  <si>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</si>
  <si>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</si>
  <si>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</si>
  <si>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</si>
  <si>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</si>
  <si>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</si>
  <si>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</si>
  <si>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</si>
  <si>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</si>
  <si>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</si>
  <si>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</si>
  <si>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</si>
  <si>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</si>
  <si>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</si>
  <si>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</si>
  <si>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</si>
  <si>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</si>
  <si>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</si>
  <si>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</si>
  <si>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</si>
  <si>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</si>
  <si>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</si>
  <si>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</si>
  <si>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</si>
  <si>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</si>
  <si>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</si>
  <si>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</si>
  <si>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</si>
  <si>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</si>
  <si>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</si>
  <si>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</si>
  <si>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</si>
  <si>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</si>
  <si>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</si>
  <si>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</si>
  <si>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</si>
  <si>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</si>
  <si>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</si>
  <si>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</si>
  <si>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</si>
  <si>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</si>
  <si>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</si>
  <si>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</si>
  <si>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</si>
  <si>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</si>
  <si>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</si>
  <si>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</si>
  <si>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</si>
  <si>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</si>
  <si>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</si>
  <si>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</si>
  <si>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</si>
  <si>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</si>
  <si>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</si>
  <si>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</si>
  <si>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</si>
  <si>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</si>
  <si>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</si>
  <si>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</si>
  <si>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</si>
  <si>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</si>
  <si>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</si>
  <si>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</si>
  <si>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</si>
  <si>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</si>
  <si>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</si>
  <si>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</si>
  <si>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</si>
  <si>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</si>
  <si>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</si>
  <si>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</si>
  <si>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</si>
  <si>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</si>
  <si>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</si>
  <si>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</si>
  <si>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</si>
  <si>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</si>
  <si>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</si>
  <si>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</si>
  <si>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</si>
  <si>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</si>
  <si>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</si>
  <si>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</si>
  <si>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</si>
  <si>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</si>
  <si>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</si>
  <si>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</si>
  <si>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</si>
  <si>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</si>
  <si>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</si>
  <si>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</si>
  <si>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</si>
  <si>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</si>
  <si>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</si>
  <si>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</si>
  <si>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</si>
  <si>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</si>
  <si>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</si>
  <si>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</si>
  <si>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</si>
  <si>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</si>
  <si>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</si>
  <si>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</si>
  <si>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</si>
  <si>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</si>
  <si>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</si>
  <si>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</si>
  <si>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</si>
  <si>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</si>
  <si>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</si>
  <si>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</si>
  <si>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</si>
  <si>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</si>
  <si>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</si>
  <si>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</si>
  <si>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</si>
  <si>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</si>
  <si>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</si>
  <si>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</si>
  <si>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</si>
  <si>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</si>
  <si>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</si>
  <si>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</si>
  <si>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</si>
  <si>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</si>
  <si>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</si>
  <si>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</si>
  <si>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</si>
  <si>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</si>
  <si>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</si>
  <si>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</si>
  <si>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</si>
  <si>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</si>
  <si>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</si>
  <si>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</si>
  <si>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</si>
  <si>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</si>
  <si>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</si>
  <si>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</si>
  <si>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</si>
  <si>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</si>
  <si>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</si>
  <si>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</si>
  <si>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</si>
  <si>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</si>
  <si>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</si>
  <si>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</si>
  <si>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</si>
  <si>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</si>
  <si>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</si>
  <si>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</si>
  <si>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</si>
  <si>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</si>
  <si>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</si>
  <si>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</si>
  <si>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</si>
  <si>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</si>
  <si>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</si>
  <si>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</si>
  <si>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</si>
  <si>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</si>
  <si>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</si>
  <si>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</si>
  <si>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</si>
  <si>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</si>
  <si>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</si>
  <si>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</si>
  <si>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</si>
  <si>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</si>
  <si>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</si>
  <si>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</si>
  <si>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</si>
  <si>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</si>
  <si>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</si>
  <si>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</si>
  <si>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</si>
  <si>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</si>
  <si>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</si>
  <si>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</si>
  <si>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</si>
  <si>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</si>
  <si>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</si>
  <si>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</si>
  <si>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</si>
  <si>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</si>
  <si>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</si>
  <si>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</si>
  <si>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</si>
  <si>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</si>
  <si>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</si>
  <si>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</si>
  <si>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</si>
  <si>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</si>
  <si>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</si>
  <si>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</si>
  <si>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</si>
  <si>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</si>
  <si>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</si>
  <si>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</si>
  <si>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</si>
  <si>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</si>
  <si>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</si>
  <si>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</si>
  <si>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</si>
  <si>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</si>
  <si>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</si>
  <si>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</si>
  <si>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</si>
  <si>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</si>
  <si>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</si>
  <si>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</si>
  <si>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</si>
  <si>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</si>
  <si>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</si>
  <si>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</si>
  <si>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</si>
  <si>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</si>
  <si>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</si>
  <si>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</si>
  <si>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</si>
  <si>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</si>
  <si>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</si>
  <si>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</si>
  <si>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</si>
  <si>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</si>
  <si>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</si>
  <si>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</si>
  <si>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</si>
  <si>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</si>
  <si>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</si>
  <si>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</si>
  <si>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</si>
  <si>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</si>
  <si>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</si>
  <si>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</si>
  <si>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</si>
  <si>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</si>
  <si>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</si>
  <si>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</si>
  <si>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</si>
  <si>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</si>
  <si>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</si>
  <si>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</si>
  <si>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</si>
  <si>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</si>
  <si>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</si>
  <si>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</si>
  <si>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</si>
  <si>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</si>
  <si>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</si>
  <si>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</si>
  <si>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</si>
  <si>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</si>
  <si>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</si>
  <si>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</si>
  <si>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</si>
  <si>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</si>
  <si>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</si>
  <si>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</si>
  <si>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</si>
  <si>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</si>
  <si>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</si>
  <si>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</si>
  <si>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</si>
  <si>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</si>
  <si>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</si>
  <si>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</si>
  <si>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</si>
  <si>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</si>
  <si>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</si>
  <si>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</si>
  <si>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</si>
  <si>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</si>
  <si>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</si>
  <si>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</si>
  <si>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</si>
  <si>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</si>
  <si>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</si>
  <si>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</si>
  <si>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</si>
  <si>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</si>
  <si>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</si>
  <si>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</si>
  <si>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</si>
  <si>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</si>
  <si>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</si>
  <si>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</si>
  <si>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</si>
  <si>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</si>
  <si>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</si>
  <si>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</si>
  <si>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</si>
  <si>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</si>
  <si>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</si>
  <si>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</si>
  <si>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</si>
  <si>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</si>
  <si>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</si>
  <si>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</si>
  <si>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</si>
  <si>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</si>
  <si>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</si>
  <si>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</si>
  <si>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</si>
  <si>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</si>
  <si>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</si>
  <si>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</si>
  <si>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</si>
  <si>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</si>
  <si>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</si>
  <si>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</si>
  <si>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</si>
  <si>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</si>
  <si>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</si>
  <si>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</si>
  <si>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</si>
  <si>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</si>
  <si>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</si>
  <si>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</si>
  <si>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</si>
  <si>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</si>
  <si>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</si>
  <si>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</si>
  <si>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</si>
  <si>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</si>
  <si>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</si>
  <si>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</si>
  <si>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</si>
  <si>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</si>
  <si>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</si>
  <si>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</si>
  <si>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</si>
  <si>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</si>
  <si>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</si>
  <si>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</si>
  <si>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</si>
  <si>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</si>
  <si>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</si>
  <si>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</si>
  <si>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</si>
  <si>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</si>
  <si>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</si>
  <si>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</si>
  <si>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</si>
  <si>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</si>
  <si>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</si>
  <si>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</si>
  <si>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</si>
  <si>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</si>
  <si>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</si>
  <si>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</si>
  <si>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</si>
  <si>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</si>
  <si>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</si>
  <si>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</si>
  <si>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</si>
  <si>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</si>
  <si>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</si>
  <si>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</si>
  <si>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</si>
  <si>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</si>
  <si>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</si>
  <si>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</si>
  <si>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</si>
  <si>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</si>
  <si>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</si>
  <si>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</si>
  <si>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</si>
  <si>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</si>
  <si>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</si>
  <si>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</si>
  <si>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</si>
  <si>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</si>
  <si>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</si>
  <si>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</si>
  <si>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</si>
  <si>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</si>
  <si>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</si>
  <si>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</si>
  <si>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</si>
  <si>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</si>
  <si>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</si>
  <si>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</si>
  <si>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</si>
  <si>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</si>
  <si>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</si>
  <si>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</si>
  <si>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</si>
  <si>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</si>
  <si>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</si>
  <si>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</si>
  <si>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</si>
  <si>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</si>
  <si>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</si>
  <si>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</si>
  <si>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</si>
  <si>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</si>
  <si>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</si>
  <si>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</si>
  <si>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</si>
  <si>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</si>
  <si>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</si>
  <si>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</si>
  <si>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</si>
  <si>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</si>
  <si>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</si>
  <si>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</si>
  <si>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</si>
  <si>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</si>
  <si>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</si>
  <si>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</si>
  <si>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</si>
  <si>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</si>
  <si>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</si>
  <si>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</si>
  <si>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</si>
  <si>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</si>
  <si>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</si>
  <si>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</si>
  <si>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</si>
  <si>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</si>
  <si>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</si>
  <si>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</si>
  <si>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</si>
  <si>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</si>
  <si>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</si>
  <si>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</si>
  <si>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</si>
  <si>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</si>
  <si>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</si>
  <si>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</si>
  <si>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</si>
  <si>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</si>
  <si>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</si>
  <si>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</si>
  <si>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</si>
  <si>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</si>
  <si>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</si>
  <si>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</si>
  <si>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</si>
  <si>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</si>
  <si>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</si>
  <si>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</si>
  <si>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</si>
  <si>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</si>
  <si>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</si>
  <si>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</si>
  <si>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</si>
  <si>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</si>
  <si>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</si>
  <si>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</si>
  <si>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</si>
  <si>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</si>
  <si>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</si>
  <si>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</si>
  <si>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</si>
  <si>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</si>
  <si>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</si>
  <si>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</si>
  <si>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</si>
  <si>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</si>
  <si>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</si>
  <si>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</si>
  <si>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</si>
  <si>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</si>
  <si>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</si>
  <si>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</si>
  <si>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</si>
  <si>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</si>
  <si>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</si>
  <si>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</si>
  <si>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</si>
  <si>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</si>
  <si>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</si>
  <si>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</si>
  <si>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</si>
  <si>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</si>
  <si>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</si>
  <si>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</si>
  <si>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</si>
  <si>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</si>
  <si>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</si>
  <si>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</si>
  <si>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</si>
  <si>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</si>
  <si>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</si>
  <si>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</si>
  <si>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</si>
  <si>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</si>
  <si>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</si>
  <si>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</si>
  <si>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</si>
  <si>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</si>
  <si>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</si>
  <si>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</si>
  <si>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</si>
  <si>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</si>
  <si>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</si>
  <si>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</si>
  <si>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</si>
  <si>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</si>
  <si>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</si>
  <si>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</si>
  <si>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</si>
  <si>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</si>
  <si>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</si>
  <si>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</si>
  <si>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</si>
  <si>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</si>
  <si>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</si>
  <si>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</si>
  <si>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</si>
  <si>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</si>
  <si>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</si>
  <si>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</si>
  <si>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</si>
  <si>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</si>
  <si>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</si>
  <si>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</si>
  <si>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</si>
  <si>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</si>
  <si>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</si>
  <si>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</si>
  <si>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</si>
  <si>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</si>
  <si>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</si>
  <si>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</si>
  <si>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</si>
  <si>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</si>
  <si>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</si>
  <si>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</si>
  <si>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</si>
  <si>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</si>
  <si>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</si>
  <si>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</si>
  <si>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</si>
  <si>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</si>
  <si>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</si>
  <si>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</si>
  <si>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</si>
  <si>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</si>
  <si>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</si>
  <si>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</si>
  <si>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</si>
  <si>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</si>
  <si>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</si>
  <si>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</si>
  <si>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</si>
  <si>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</si>
  <si>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</si>
  <si>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</si>
  <si>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</si>
  <si>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</si>
  <si>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</si>
  <si>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</si>
  <si>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</si>
  <si>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</si>
  <si>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</si>
  <si>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</si>
  <si>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</si>
  <si>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</si>
  <si>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</si>
  <si>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</si>
  <si>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</si>
  <si>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</si>
  <si>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</si>
  <si>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</si>
  <si>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</si>
  <si>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</si>
  <si>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</si>
  <si>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</si>
  <si>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</si>
  <si>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</si>
  <si>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</si>
  <si>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</si>
  <si>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</si>
  <si>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</si>
  <si>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</si>
  <si>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</si>
  <si>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</si>
  <si>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</si>
  <si>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</si>
  <si>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</si>
  <si>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</si>
  <si>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</si>
  <si>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</si>
  <si>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</si>
  <si>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</si>
  <si>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</si>
  <si>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</si>
  <si>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</si>
  <si>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</si>
  <si>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</si>
  <si>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</si>
  <si>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</si>
  <si>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</si>
  <si>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</si>
  <si>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</si>
  <si>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</si>
  <si>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</si>
  <si>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</si>
  <si>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</si>
  <si>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</si>
  <si>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</si>
  <si>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</si>
  <si>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</si>
  <si>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</si>
  <si>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</si>
  <si>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</si>
  <si>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</si>
  <si>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</si>
  <si>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</si>
  <si>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</si>
  <si>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</si>
  <si>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</si>
  <si>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</si>
  <si>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</si>
  <si>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</si>
  <si>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</si>
  <si>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</si>
  <si>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</si>
  <si>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</si>
  <si>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</si>
  <si>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v3.13</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</si>
  <si>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</si>
  <si>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</si>
  <si>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</si>
  <si>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</si>
  <si>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</si>
  <si>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</si>
  <si>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</si>
  <si>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</si>
  <si>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</si>
  <si>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</si>
  <si>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</si>
  <si>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</si>
  <si>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</si>
  <si>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</si>
  <si>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</si>
  <si>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</si>
  <si>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</si>
  <si>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</si>
  <si>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</si>
  <si>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</si>
  <si>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</si>
  <si>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</si>
  <si>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</si>
  <si>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</si>
  <si>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</si>
  <si>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</si>
  <si>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</si>
  <si>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</si>
  <si>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</si>
  <si>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</si>
  <si>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</si>
  <si>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</si>
  <si>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</si>
  <si>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</si>
  <si>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</si>
  <si>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</si>
  <si>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</si>
  <si>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</si>
  <si>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</si>
  <si>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</si>
  <si>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</si>
  <si>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</si>
  <si>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</si>
  <si>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</si>
  <si>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</si>
  <si>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</si>
  <si>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</si>
  <si>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</si>
  <si>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MUNICÍPIO DE SARANDI</t>
  </si>
  <si>
    <t>SARANDI/RS</t>
  </si>
  <si>
    <t>LEONARDO HENRIQUE ZAMBERLAN</t>
  </si>
  <si>
    <t>CREA-RS 242523</t>
  </si>
  <si>
    <t>PABLO LUIZ ALIEVI MARI</t>
  </si>
  <si>
    <t>PREFEITO MUNICIPAL</t>
  </si>
  <si>
    <t>DRENAGEM</t>
  </si>
  <si>
    <t>5501706</t>
  </si>
  <si>
    <t>SERVIÇOS INICIAIS</t>
  </si>
  <si>
    <t>103689</t>
  </si>
  <si>
    <t>FORNECIMENTO E INSTALAÇÃO DE PLACA DE OBRA COM CHAPA GALVANIZADA E ESTRUTURA EM MADEIRA</t>
  </si>
  <si>
    <t>2003822</t>
  </si>
  <si>
    <t>2003869</t>
  </si>
  <si>
    <t>PAVIMENTAÇÃO</t>
  </si>
  <si>
    <t>4011352</t>
  </si>
  <si>
    <t>COT 01</t>
  </si>
  <si>
    <t>5914622</t>
  </si>
  <si>
    <t>COMP 01</t>
  </si>
  <si>
    <t>ADMINISTRAÇÃO LOCAL DA OBRA</t>
  </si>
  <si>
    <t>COMP 02</t>
  </si>
  <si>
    <t>4011353</t>
  </si>
  <si>
    <t>COT 02</t>
  </si>
  <si>
    <t>4011462</t>
  </si>
  <si>
    <t>5914389</t>
  </si>
  <si>
    <t>COT 03</t>
  </si>
  <si>
    <t>SINALIZAÇÃO</t>
  </si>
  <si>
    <t xml:space="preserve">ENSAIOS </t>
  </si>
  <si>
    <t xml:space="preserve">DESMOBILIZAÇÃO </t>
  </si>
  <si>
    <t>COMP 07</t>
  </si>
  <si>
    <t>COMP 08</t>
  </si>
  <si>
    <t>COMP 09</t>
  </si>
  <si>
    <t>ADM LOCAL</t>
  </si>
  <si>
    <t>COMP 10</t>
  </si>
  <si>
    <t>4011279</t>
  </si>
  <si>
    <t>4011276</t>
  </si>
  <si>
    <t>PAVIMENTAÇÃO ASFÁLTICA EM DIVERSOS TRECHOS NO MUNICÍPIO DE SARANDI</t>
  </si>
  <si>
    <t>RERPERFILAMENTO E CBUQ SOBRE CALÇAMENTO AV. SETE DE SETEMBRO LOTEAMENTO BEM MORAR (TRECHO 2)</t>
  </si>
  <si>
    <t>COMP 12</t>
  </si>
  <si>
    <t>TRECHO 2</t>
  </si>
  <si>
    <t xml:space="preserve">TRECHO 3 </t>
  </si>
  <si>
    <t xml:space="preserve">TRECHO 4 </t>
  </si>
  <si>
    <t>2003622</t>
  </si>
  <si>
    <t>0804381</t>
  </si>
  <si>
    <t>2003179</t>
  </si>
  <si>
    <t>COMP 23</t>
  </si>
  <si>
    <t>CAMADA DE REPERFILAMENTO</t>
  </si>
  <si>
    <t>4011463</t>
  </si>
  <si>
    <t xml:space="preserve">FAIXAS ELEVADAS </t>
  </si>
  <si>
    <t>COMP 14</t>
  </si>
  <si>
    <t>COMP 24</t>
  </si>
  <si>
    <t>COMP 18</t>
  </si>
  <si>
    <t>COMP 17</t>
  </si>
  <si>
    <t>REPERFILAMENTO EM CBUQ SOBRE CALÇAMENTO ESTRADA DE ACESSO À SANGA DO LEÃO (TRECHO 3)</t>
  </si>
  <si>
    <t>COMP 13</t>
  </si>
  <si>
    <t>LOMBADAS TIPO A (3,70m de comprimento x 0,10m altura)</t>
  </si>
  <si>
    <t>COMP 25</t>
  </si>
  <si>
    <t>COMP 16</t>
  </si>
  <si>
    <t>COMP 15</t>
  </si>
  <si>
    <t>ENSAIOS</t>
  </si>
  <si>
    <t>TRECHO 5</t>
  </si>
  <si>
    <t>IMPLANTAÇÃO DE PAVIMENTAÇÃO RUA 27 DE JUNHO (Trecho 4)</t>
  </si>
  <si>
    <t>4815671</t>
  </si>
  <si>
    <t>2003947</t>
  </si>
  <si>
    <t>4915723</t>
  </si>
  <si>
    <t>SINALIZAÇAO</t>
  </si>
  <si>
    <t>DISTRITO IND. MÁRIO ZANDONÁ (Trecho 5)</t>
  </si>
  <si>
    <t>COMP 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</si>
</sst>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7">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49" fontId="56" fillId="0" borderId="141" xfId="50" applyNumberFormat="1" applyFont="1" applyBorder="1" applyAlignment="1">
      <alignment horizontal="center" vertical="center" wrapText="1"/>
    </xf>
    <xf numFmtId="49" fontId="56" fillId="0" borderId="141" xfId="50" quotePrefix="1" applyNumberFormat="1" applyFont="1" applyBorder="1" applyAlignment="1">
      <alignment horizontal="center" vertical="center" wrapText="1"/>
    </xf>
    <xf numFmtId="4" fontId="56" fillId="28" borderId="141" xfId="50" applyNumberFormat="1" applyFont="1" applyFill="1" applyBorder="1" applyAlignment="1">
      <alignment horizontal="center" vertical="center"/>
    </xf>
    <xf numFmtId="189" fontId="56" fillId="0" borderId="141" xfId="50" applyNumberFormat="1" applyFont="1" applyBorder="1" applyAlignment="1">
      <alignment horizontal="center" vertical="center"/>
    </xf>
    <xf numFmtId="2" fontId="56" fillId="0" borderId="141" xfId="50" applyNumberFormat="1" applyFont="1" applyBorder="1" applyAlignment="1">
      <alignment horizontal="center" vertical="center"/>
    </xf>
    <xf numFmtId="189" fontId="56" fillId="28" borderId="141" xfId="50" applyNumberFormat="1" applyFont="1" applyFill="1" applyBorder="1" applyAlignment="1">
      <alignment horizontal="center" vertical="center"/>
    </xf>
    <xf numFmtId="189" fontId="56" fillId="28" borderId="141" xfId="50" applyNumberFormat="1" applyFont="1" applyFill="1" applyBorder="1" applyAlignment="1">
      <alignment horizontal="center" vertical="center" wrapText="1"/>
    </xf>
    <xf numFmtId="1" fontId="56" fillId="0" borderId="141" xfId="50" applyNumberFormat="1" applyFont="1" applyBorder="1" applyAlignment="1">
      <alignment horizontal="center" vertical="center" wrapText="1"/>
    </xf>
    <xf numFmtId="4" fontId="56" fillId="0" borderId="141" xfId="50" applyNumberFormat="1" applyFont="1" applyBorder="1" applyAlignment="1">
      <alignment horizontal="center" vertical="center"/>
    </xf>
    <xf numFmtId="0" fontId="56" fillId="0" borderId="143" xfId="50" applyFont="1" applyBorder="1" applyAlignment="1">
      <alignment horizontal="center" vertical="center" wrapText="1"/>
    </xf>
    <xf numFmtId="0" fontId="56" fillId="0" borderId="142" xfId="50" applyFont="1" applyBorder="1" applyAlignment="1">
      <alignment horizontal="center" vertical="center" wrapText="1"/>
    </xf>
    <xf numFmtId="0" fontId="0" fillId="0" borderId="145" xfId="0" applyBorder="1"/>
    <xf numFmtId="0" fontId="0" fillId="0" borderId="144" xfId="0" applyBorder="1"/>
    <xf numFmtId="0" fontId="0" fillId="0" borderId="144" xfId="0" applyBorder="1" applyAlignment="1">
      <alignment horizontal="center"/>
    </xf>
    <xf numFmtId="10" fontId="0" fillId="0" borderId="144" xfId="0" applyNumberFormat="1" applyBorder="1" applyAlignment="1">
      <alignment horizontal="center"/>
    </xf>
    <xf numFmtId="0" fontId="38" fillId="0" borderId="0" xfId="0" applyFont="1" applyAlignment="1">
      <alignment horizontal="center"/>
    </xf>
    <xf numFmtId="0" fontId="38" fillId="0" borderId="144" xfId="0" applyFont="1" applyBorder="1"/>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177" fontId="56" fillId="0" borderId="13" xfId="48" applyNumberFormat="1" applyFill="1" applyBorder="1" applyAlignment="1" applyProtection="1">
      <alignment horizontal="center" shrinkToFit="1"/>
    </xf>
    <xf numFmtId="176" fontId="24" fillId="8" borderId="31" xfId="0" applyNumberFormat="1" applyFont="1" applyFill="1" applyBorder="1" applyAlignment="1">
      <alignment horizontal="center" shrinkToFit="1"/>
    </xf>
    <xf numFmtId="14" fontId="0" fillId="6" borderId="46" xfId="0" applyNumberFormat="1" applyFill="1" applyBorder="1" applyAlignment="1" applyProtection="1">
      <alignment horizontal="center"/>
      <protection locked="0"/>
    </xf>
    <xf numFmtId="14" fontId="0" fillId="6" borderId="36" xfId="0" applyNumberFormat="1" applyFill="1" applyBorder="1" applyAlignment="1" applyProtection="1">
      <alignment horizontal="center"/>
      <protection locked="0"/>
    </xf>
    <xf numFmtId="0" fontId="24" fillId="0" borderId="31" xfId="0" applyFont="1" applyBorder="1" applyAlignment="1">
      <alignment horizontal="right" vertical="center"/>
    </xf>
    <xf numFmtId="10" fontId="56" fillId="0" borderId="0" xfId="37" applyNumberFormat="1" applyFill="1" applyBorder="1" applyAlignment="1" applyProtection="1">
      <alignment horizontal="center"/>
    </xf>
    <xf numFmtId="177" fontId="56" fillId="0" borderId="29"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39" xfId="0" applyBorder="1" applyAlignment="1">
      <alignment horizontal="left"/>
    </xf>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479">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86740" y="967740"/>
              <a:ext cx="1257300" cy="487680"/>
              <a:chOff x="523876" y="971541"/>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41"/>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43100" y="967740"/>
              <a:ext cx="1303020" cy="487680"/>
              <a:chOff x="1790690" y="971536"/>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90" y="971536"/>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45720</xdr:rowOff>
        </xdr:from>
        <xdr:to>
          <xdr:col>13</xdr:col>
          <xdr:colOff>2369820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68580</xdr:rowOff>
        </xdr:from>
        <xdr:to>
          <xdr:col>13</xdr:col>
          <xdr:colOff>2392680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68580</xdr:rowOff>
        </xdr:from>
        <xdr:to>
          <xdr:col>19</xdr:col>
          <xdr:colOff>830580</xdr:colOff>
          <xdr:row>10</xdr:row>
          <xdr:rowOff>144780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388620</xdr:colOff>
          <xdr:row>9</xdr:row>
          <xdr:rowOff>68580</xdr:rowOff>
        </xdr:from>
        <xdr:to>
          <xdr:col>20</xdr:col>
          <xdr:colOff>822960</xdr:colOff>
          <xdr:row>10</xdr:row>
          <xdr:rowOff>144780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68580</xdr:rowOff>
        </xdr:from>
        <xdr:to>
          <xdr:col>21</xdr:col>
          <xdr:colOff>678180</xdr:colOff>
          <xdr:row>10</xdr:row>
          <xdr:rowOff>144780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388620</xdr:colOff>
          <xdr:row>9</xdr:row>
          <xdr:rowOff>68580</xdr:rowOff>
        </xdr:from>
        <xdr:to>
          <xdr:col>22</xdr:col>
          <xdr:colOff>807720</xdr:colOff>
          <xdr:row>10</xdr:row>
          <xdr:rowOff>144780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426720</xdr:colOff>
          <xdr:row>9</xdr:row>
          <xdr:rowOff>45720</xdr:rowOff>
        </xdr:from>
        <xdr:to>
          <xdr:col>23</xdr:col>
          <xdr:colOff>861060</xdr:colOff>
          <xdr:row>10</xdr:row>
          <xdr:rowOff>144780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7620</xdr:rowOff>
        </xdr:from>
        <xdr:to>
          <xdr:col>11</xdr:col>
          <xdr:colOff>220980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45720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121920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78"/>
  <sheetViews>
    <sheetView showGridLines="0" zoomScaleNormal="100" workbookViewId="0">
      <pane ySplit="3" topLeftCell="A4" activePane="bottomLeft" state="frozen"/>
      <selection pane="bottomLeft"/>
    </sheetView>
  </sheetViews>
  <sheetFormatPr defaultRowHeight="13.2" x14ac:dyDescent="0.25"/>
  <cols>
    <col min="1" max="1" width="8.5546875" customWidth="1"/>
    <col min="2" max="2" width="5.5546875" customWidth="1"/>
    <col min="3" max="3" width="3.5546875" customWidth="1"/>
    <col min="4" max="4" width="130.5546875" customWidth="1"/>
  </cols>
  <sheetData>
    <row r="3" spans="1:4" ht="36.75" customHeight="1" x14ac:dyDescent="0.45">
      <c r="B3" s="41" t="s">
        <v>0</v>
      </c>
    </row>
    <row r="5" spans="1:4" ht="18" x14ac:dyDescent="0.35">
      <c r="A5" s="42"/>
      <c r="B5" s="43"/>
      <c r="C5" s="43"/>
      <c r="D5" s="44"/>
    </row>
    <row r="6" spans="1:4" ht="18" x14ac:dyDescent="0.35">
      <c r="A6" s="45" t="s">
        <v>1</v>
      </c>
      <c r="B6" s="46"/>
      <c r="C6" s="46"/>
      <c r="D6" s="3"/>
    </row>
    <row r="7" spans="1:4" ht="14.4" x14ac:dyDescent="0.3">
      <c r="A7" s="4"/>
      <c r="B7" s="47" t="s">
        <v>2</v>
      </c>
      <c r="C7" s="47"/>
      <c r="D7" s="3"/>
    </row>
    <row r="8" spans="1:4" ht="14.4" x14ac:dyDescent="0.3">
      <c r="A8" s="4"/>
      <c r="B8" s="47"/>
      <c r="C8" s="48" t="str">
        <f>IF(D8&lt;&gt;"","▪","")</f>
        <v>▪</v>
      </c>
      <c r="D8" s="499" t="s">
        <v>3</v>
      </c>
    </row>
    <row r="9" spans="1:4" ht="14.4" x14ac:dyDescent="0.3">
      <c r="A9" s="4"/>
      <c r="B9" s="47"/>
      <c r="C9" s="48" t="str">
        <f>IF(D9&lt;&gt;"","▪","")</f>
        <v/>
      </c>
      <c r="D9" s="499"/>
    </row>
    <row r="10" spans="1:4" ht="18" x14ac:dyDescent="0.35">
      <c r="A10" s="602" t="s">
        <v>4</v>
      </c>
      <c r="B10" s="603"/>
      <c r="C10" s="603"/>
      <c r="D10" s="604"/>
    </row>
    <row r="11" spans="1:4" ht="14.4" x14ac:dyDescent="0.3">
      <c r="A11" s="4"/>
      <c r="B11" s="47" t="s">
        <v>2</v>
      </c>
      <c r="C11" s="47"/>
      <c r="D11" s="499"/>
    </row>
    <row r="12" spans="1:4" ht="14.4" x14ac:dyDescent="0.3">
      <c r="A12" s="4"/>
      <c r="B12" s="47"/>
      <c r="C12" s="48" t="str">
        <f>IF(D12&lt;&gt;"","▪","")</f>
        <v>▪</v>
      </c>
      <c r="D12" s="499" t="s">
        <v>5</v>
      </c>
    </row>
    <row r="13" spans="1:4" ht="14.4" x14ac:dyDescent="0.3">
      <c r="A13" s="4"/>
      <c r="B13" s="47" t="s">
        <v>6</v>
      </c>
      <c r="C13" s="47"/>
      <c r="D13" s="499"/>
    </row>
    <row r="14" spans="1:4" ht="14.4" x14ac:dyDescent="0.3">
      <c r="A14" s="414"/>
      <c r="B14" s="47"/>
      <c r="C14" s="48" t="str">
        <f>IF(D14&lt;&gt;"","▪","")</f>
        <v>▪</v>
      </c>
      <c r="D14" s="499" t="s">
        <v>7</v>
      </c>
    </row>
    <row r="15" spans="1:4" ht="14.4" x14ac:dyDescent="0.25">
      <c r="A15" s="414"/>
      <c r="C15" s="48" t="str">
        <f>IF(D15&lt;&gt;"","▪","")</f>
        <v>▪</v>
      </c>
      <c r="D15" s="499" t="s">
        <v>8</v>
      </c>
    </row>
    <row r="16" spans="1:4" x14ac:dyDescent="0.25">
      <c r="A16" s="418"/>
      <c r="D16" s="86"/>
    </row>
    <row r="17" spans="1:4" ht="18" x14ac:dyDescent="0.35">
      <c r="A17" s="602" t="s">
        <v>9</v>
      </c>
      <c r="B17" s="603"/>
      <c r="C17" s="603"/>
      <c r="D17" s="604"/>
    </row>
    <row r="18" spans="1:4" ht="14.4" x14ac:dyDescent="0.3">
      <c r="A18" s="4"/>
      <c r="B18" s="47" t="s">
        <v>2</v>
      </c>
      <c r="C18" s="47"/>
      <c r="D18" s="499"/>
    </row>
    <row r="19" spans="1:4" ht="14.4" x14ac:dyDescent="0.3">
      <c r="A19" s="4"/>
      <c r="B19" s="47"/>
      <c r="C19" s="48" t="str">
        <f>IF(D19&lt;&gt;"","▪","")</f>
        <v>▪</v>
      </c>
      <c r="D19" s="499" t="s">
        <v>5</v>
      </c>
    </row>
    <row r="20" spans="1:4" ht="14.4" x14ac:dyDescent="0.3">
      <c r="A20" s="4"/>
      <c r="B20" s="47"/>
      <c r="C20" s="48" t="str">
        <f>IF(D20&lt;&gt;"","▪","")</f>
        <v>▪</v>
      </c>
      <c r="D20" s="499" t="s">
        <v>10</v>
      </c>
    </row>
    <row r="21" spans="1:4" ht="14.4" x14ac:dyDescent="0.3">
      <c r="A21" s="414"/>
      <c r="B21" s="47" t="s">
        <v>11</v>
      </c>
      <c r="C21" s="47"/>
      <c r="D21" s="499"/>
    </row>
    <row r="22" spans="1:4" ht="14.4" x14ac:dyDescent="0.3">
      <c r="A22" s="414"/>
      <c r="B22" s="47"/>
      <c r="C22" s="48" t="str">
        <f>IF(D22&lt;&gt;"","▪","")</f>
        <v>▪</v>
      </c>
      <c r="D22" s="499" t="s">
        <v>12</v>
      </c>
    </row>
    <row r="23" spans="1:4" ht="14.4" x14ac:dyDescent="0.3">
      <c r="A23" s="414"/>
      <c r="B23" s="47" t="s">
        <v>13</v>
      </c>
      <c r="C23" s="47"/>
      <c r="D23" s="499"/>
    </row>
    <row r="24" spans="1:4" ht="14.4" x14ac:dyDescent="0.3">
      <c r="A24" s="414"/>
      <c r="B24" s="47"/>
      <c r="C24" s="48" t="str">
        <f>IF(D24&lt;&gt;"","▪","")</f>
        <v>▪</v>
      </c>
      <c r="D24" s="499" t="s">
        <v>14</v>
      </c>
    </row>
    <row r="25" spans="1:4" ht="14.4" x14ac:dyDescent="0.3">
      <c r="A25" s="414"/>
      <c r="B25" s="47" t="s">
        <v>15</v>
      </c>
      <c r="C25" s="47"/>
      <c r="D25" s="499"/>
    </row>
    <row r="26" spans="1:4" ht="14.4" x14ac:dyDescent="0.3">
      <c r="A26" s="414"/>
      <c r="B26" s="47"/>
      <c r="C26" s="48" t="str">
        <f>IF(D26&lt;&gt;"","▪","")</f>
        <v>▪</v>
      </c>
      <c r="D26" s="499" t="s">
        <v>16</v>
      </c>
    </row>
    <row r="27" spans="1:4" ht="14.4" x14ac:dyDescent="0.3">
      <c r="A27" s="414"/>
      <c r="B27" s="47" t="s">
        <v>17</v>
      </c>
      <c r="C27" s="47"/>
      <c r="D27" s="499"/>
    </row>
    <row r="28" spans="1:4" ht="14.4" x14ac:dyDescent="0.3">
      <c r="A28" s="414"/>
      <c r="B28" s="47"/>
      <c r="C28" s="48" t="str">
        <f>IF(D28&lt;&gt;"","▪","")</f>
        <v>▪</v>
      </c>
      <c r="D28" s="499" t="s">
        <v>18</v>
      </c>
    </row>
    <row r="29" spans="1:4" x14ac:dyDescent="0.25">
      <c r="A29" s="418"/>
      <c r="D29" s="86"/>
    </row>
    <row r="30" spans="1:4" ht="18" x14ac:dyDescent="0.35">
      <c r="A30" s="602" t="s">
        <v>19</v>
      </c>
      <c r="B30" s="603"/>
      <c r="C30" s="603"/>
      <c r="D30" s="604"/>
    </row>
    <row r="31" spans="1:4" ht="14.4" x14ac:dyDescent="0.3">
      <c r="A31" s="4"/>
      <c r="B31" s="47" t="s">
        <v>2</v>
      </c>
      <c r="C31" s="47"/>
      <c r="D31" s="499"/>
    </row>
    <row r="32" spans="1:4" ht="14.4" x14ac:dyDescent="0.3">
      <c r="A32" s="4"/>
      <c r="B32" s="47"/>
      <c r="C32" s="48" t="str">
        <f>IF(D32&lt;&gt;"","▪","")</f>
        <v>▪</v>
      </c>
      <c r="D32" s="499" t="s">
        <v>10</v>
      </c>
    </row>
    <row r="33" spans="1:5" ht="14.4" x14ac:dyDescent="0.3">
      <c r="A33" s="4"/>
      <c r="B33" s="47" t="s">
        <v>20</v>
      </c>
      <c r="C33" s="48"/>
      <c r="D33" s="499"/>
    </row>
    <row r="34" spans="1:5" ht="14.4" x14ac:dyDescent="0.3">
      <c r="A34" s="4"/>
      <c r="B34" s="47"/>
      <c r="C34" s="48" t="str">
        <f>IF(D34&lt;&gt;"","▪","")</f>
        <v>▪</v>
      </c>
      <c r="D34" s="499" t="s">
        <v>21</v>
      </c>
    </row>
    <row r="35" spans="1:5" ht="14.4" x14ac:dyDescent="0.3">
      <c r="A35" s="4"/>
      <c r="B35" s="47"/>
      <c r="C35" s="47"/>
      <c r="D35" s="500"/>
      <c r="E35" s="47"/>
    </row>
    <row r="36" spans="1:5" x14ac:dyDescent="0.25">
      <c r="A36" s="418"/>
      <c r="D36" s="86"/>
    </row>
    <row r="37" spans="1:5" ht="18" x14ac:dyDescent="0.35">
      <c r="A37" s="602" t="s">
        <v>22</v>
      </c>
      <c r="B37" s="603"/>
      <c r="C37" s="603"/>
      <c r="D37" s="604"/>
    </row>
    <row r="38" spans="1:5" ht="14.4" x14ac:dyDescent="0.3">
      <c r="A38" s="4"/>
      <c r="B38" s="47" t="s">
        <v>23</v>
      </c>
      <c r="C38" s="47"/>
      <c r="D38" s="499"/>
    </row>
    <row r="39" spans="1:5" ht="14.4" x14ac:dyDescent="0.3">
      <c r="A39" s="4"/>
      <c r="B39" s="47"/>
      <c r="C39" s="48" t="str">
        <f>IF(D39&lt;&gt;"","▪","")</f>
        <v>▪</v>
      </c>
      <c r="D39" s="499" t="s">
        <v>24</v>
      </c>
    </row>
    <row r="40" spans="1:5" ht="14.4" x14ac:dyDescent="0.3">
      <c r="A40" s="4"/>
      <c r="B40" s="47" t="s">
        <v>13</v>
      </c>
      <c r="C40" s="47"/>
      <c r="D40" s="499"/>
    </row>
    <row r="41" spans="1:5" ht="14.4" x14ac:dyDescent="0.3">
      <c r="A41" s="4"/>
      <c r="B41" s="47"/>
      <c r="C41" s="48" t="str">
        <f>IF(D41&lt;&gt;"","▪","")</f>
        <v>▪</v>
      </c>
      <c r="D41" s="499" t="s">
        <v>25</v>
      </c>
    </row>
    <row r="42" spans="1:5" ht="14.4" x14ac:dyDescent="0.3">
      <c r="A42" s="4"/>
      <c r="B42" s="47" t="s">
        <v>15</v>
      </c>
      <c r="C42" s="47"/>
      <c r="D42" s="499"/>
      <c r="E42" s="47"/>
    </row>
    <row r="43" spans="1:5" ht="14.4" x14ac:dyDescent="0.3">
      <c r="A43" s="4"/>
      <c r="B43" s="47"/>
      <c r="C43" s="48" t="str">
        <f>IF(D43&lt;&gt;"","▪","")</f>
        <v>▪</v>
      </c>
      <c r="D43" s="499" t="s">
        <v>26</v>
      </c>
    </row>
    <row r="44" spans="1:5" ht="14.4" x14ac:dyDescent="0.3">
      <c r="A44" s="4"/>
      <c r="B44" s="47"/>
      <c r="C44" s="47"/>
      <c r="D44" s="500"/>
    </row>
    <row r="45" spans="1:5" ht="18" x14ac:dyDescent="0.35">
      <c r="A45" s="602" t="s">
        <v>27</v>
      </c>
      <c r="B45" s="603"/>
      <c r="C45" s="603"/>
      <c r="D45" s="604"/>
    </row>
    <row r="46" spans="1:5" ht="14.4" x14ac:dyDescent="0.3">
      <c r="A46" s="4"/>
      <c r="B46" s="47" t="s">
        <v>2</v>
      </c>
      <c r="C46" s="47"/>
      <c r="D46" s="499"/>
    </row>
    <row r="47" spans="1:5" ht="14.4" x14ac:dyDescent="0.3">
      <c r="A47" s="4"/>
      <c r="B47" s="47"/>
      <c r="C47" s="48" t="str">
        <f>IF(D47&lt;&gt;"","▪","")</f>
        <v>▪</v>
      </c>
      <c r="D47" s="499" t="s">
        <v>28</v>
      </c>
    </row>
    <row r="48" spans="1:5" ht="14.4" x14ac:dyDescent="0.3">
      <c r="A48" s="4"/>
      <c r="B48" s="47"/>
      <c r="C48" s="47"/>
      <c r="D48" s="500"/>
    </row>
    <row r="49" spans="1:4" ht="18" x14ac:dyDescent="0.35">
      <c r="A49" s="602" t="s">
        <v>29</v>
      </c>
      <c r="B49" s="603"/>
      <c r="C49" s="603"/>
      <c r="D49" s="604"/>
    </row>
    <row r="50" spans="1:4" ht="14.4" x14ac:dyDescent="0.3">
      <c r="A50" s="4"/>
      <c r="B50" s="47" t="s">
        <v>2</v>
      </c>
      <c r="C50" s="47"/>
      <c r="D50" s="499"/>
    </row>
    <row r="51" spans="1:4" ht="14.4" x14ac:dyDescent="0.3">
      <c r="A51" s="4"/>
      <c r="B51" s="47"/>
      <c r="C51" s="48" t="str">
        <f>IF(D51&lt;&gt;"","▪","")</f>
        <v>▪</v>
      </c>
      <c r="D51" s="499" t="s">
        <v>30</v>
      </c>
    </row>
    <row r="52" spans="1:4" ht="14.4" x14ac:dyDescent="0.3">
      <c r="A52" s="4"/>
      <c r="B52" s="47"/>
      <c r="C52" s="48" t="str">
        <f>IF(D52&lt;&gt;"","▪","")</f>
        <v>▪</v>
      </c>
      <c r="D52" s="499" t="s">
        <v>31</v>
      </c>
    </row>
    <row r="53" spans="1:4" ht="14.4" x14ac:dyDescent="0.3">
      <c r="A53" s="4"/>
      <c r="B53" s="47"/>
      <c r="C53" s="47"/>
      <c r="D53" s="500"/>
    </row>
    <row r="54" spans="1:4" ht="18" x14ac:dyDescent="0.35">
      <c r="A54" s="605" t="s">
        <v>32</v>
      </c>
      <c r="B54" s="603"/>
      <c r="C54" s="603"/>
      <c r="D54" s="604"/>
    </row>
    <row r="55" spans="1:4" ht="14.4" x14ac:dyDescent="0.3">
      <c r="A55" s="414"/>
      <c r="B55" s="47" t="s">
        <v>2</v>
      </c>
      <c r="C55" s="47"/>
      <c r="D55" s="499"/>
    </row>
    <row r="56" spans="1:4" ht="14.4" x14ac:dyDescent="0.3">
      <c r="A56" s="414"/>
      <c r="B56" s="47"/>
      <c r="C56" s="48" t="str">
        <f t="shared" ref="C56" si="0">IF(D56&lt;&gt;"","▪","")</f>
        <v>▪</v>
      </c>
      <c r="D56" s="499" t="s">
        <v>33</v>
      </c>
    </row>
    <row r="57" spans="1:4" ht="30" customHeight="1" x14ac:dyDescent="0.3">
      <c r="A57" s="414"/>
      <c r="B57" s="47"/>
      <c r="C57" s="48" t="str">
        <f t="shared" ref="C57:C62" si="1">IF(D57&lt;&gt;"","▪","")</f>
        <v>▪</v>
      </c>
      <c r="D57" s="499" t="s">
        <v>34</v>
      </c>
    </row>
    <row r="58" spans="1:4" ht="30" customHeight="1" x14ac:dyDescent="0.3">
      <c r="A58" s="414"/>
      <c r="B58" s="47"/>
      <c r="C58" s="48" t="str">
        <f t="shared" si="1"/>
        <v>▪</v>
      </c>
      <c r="D58" s="499" t="s">
        <v>35</v>
      </c>
    </row>
    <row r="59" spans="1:4" ht="30" customHeight="1" x14ac:dyDescent="0.3">
      <c r="A59" s="414"/>
      <c r="B59" s="47"/>
      <c r="C59" s="48" t="str">
        <f t="shared" si="1"/>
        <v>▪</v>
      </c>
      <c r="D59" s="499" t="s">
        <v>36</v>
      </c>
    </row>
    <row r="60" spans="1:4" ht="14.4" x14ac:dyDescent="0.3">
      <c r="A60" s="414"/>
      <c r="B60" s="47"/>
      <c r="C60" s="48" t="str">
        <f t="shared" si="1"/>
        <v>▪</v>
      </c>
      <c r="D60" s="499" t="s">
        <v>37</v>
      </c>
    </row>
    <row r="61" spans="1:4" ht="14.4" x14ac:dyDescent="0.3">
      <c r="A61" s="414"/>
      <c r="B61" s="47"/>
      <c r="C61" s="48" t="str">
        <f t="shared" si="1"/>
        <v>▪</v>
      </c>
      <c r="D61" s="499" t="s">
        <v>38</v>
      </c>
    </row>
    <row r="62" spans="1:4" ht="30" customHeight="1" x14ac:dyDescent="0.3">
      <c r="A62" s="414"/>
      <c r="B62" s="47"/>
      <c r="C62" s="48" t="str">
        <f t="shared" si="1"/>
        <v>▪</v>
      </c>
      <c r="D62" s="499" t="s">
        <v>39</v>
      </c>
    </row>
    <row r="63" spans="1:4" ht="14.4" x14ac:dyDescent="0.3">
      <c r="A63" s="414"/>
      <c r="B63" s="47" t="s">
        <v>40</v>
      </c>
      <c r="C63" s="47"/>
      <c r="D63" s="499"/>
    </row>
    <row r="64" spans="1:4" ht="14.4" x14ac:dyDescent="0.3">
      <c r="A64" s="414"/>
      <c r="B64" s="47"/>
      <c r="C64" s="48" t="str">
        <f>IF(D64&lt;&gt;"","▪","")</f>
        <v>▪</v>
      </c>
      <c r="D64" s="499" t="s">
        <v>41</v>
      </c>
    </row>
    <row r="65" spans="1:4" ht="14.4" x14ac:dyDescent="0.3">
      <c r="A65" s="414"/>
      <c r="B65" s="47"/>
      <c r="C65" s="48" t="str">
        <f>IF(D65&lt;&gt;"","▪","")</f>
        <v>▪</v>
      </c>
      <c r="D65" s="499" t="s">
        <v>42</v>
      </c>
    </row>
    <row r="66" spans="1:4" ht="14.4" x14ac:dyDescent="0.3">
      <c r="A66" s="414"/>
      <c r="B66" s="47"/>
      <c r="C66" s="48"/>
      <c r="D66" s="501" t="s">
        <v>43</v>
      </c>
    </row>
    <row r="67" spans="1:4" ht="14.4" x14ac:dyDescent="0.3">
      <c r="A67" s="414"/>
      <c r="B67" s="47"/>
      <c r="C67" s="48" t="str">
        <f>IF(D67&lt;&gt;"","▪","")</f>
        <v>▪</v>
      </c>
      <c r="D67" s="499" t="s">
        <v>44</v>
      </c>
    </row>
    <row r="68" spans="1:4" ht="14.4" x14ac:dyDescent="0.3">
      <c r="A68" s="414"/>
      <c r="B68" s="47"/>
      <c r="C68" s="48"/>
      <c r="D68" s="501" t="s">
        <v>45</v>
      </c>
    </row>
    <row r="69" spans="1:4" ht="14.4" x14ac:dyDescent="0.3">
      <c r="A69" s="414"/>
      <c r="B69" s="47"/>
      <c r="C69" s="48" t="str">
        <f>IF(D69&lt;&gt;"","▪","")</f>
        <v>▪</v>
      </c>
      <c r="D69" s="499" t="s">
        <v>46</v>
      </c>
    </row>
    <row r="70" spans="1:4" ht="14.4" x14ac:dyDescent="0.3">
      <c r="A70" s="414"/>
      <c r="B70" s="47"/>
      <c r="C70" s="48" t="str">
        <f>IF(D70&lt;&gt;"","▪","")</f>
        <v>▪</v>
      </c>
      <c r="D70" s="499" t="s">
        <v>47</v>
      </c>
    </row>
    <row r="71" spans="1:4" ht="14.4" x14ac:dyDescent="0.3">
      <c r="A71" s="414"/>
      <c r="B71" s="47" t="s">
        <v>23</v>
      </c>
      <c r="C71" s="47"/>
      <c r="D71" s="499"/>
    </row>
    <row r="72" spans="1:4" ht="14.4" x14ac:dyDescent="0.3">
      <c r="A72" s="414"/>
      <c r="B72" s="47"/>
      <c r="C72" s="48" t="str">
        <f>IF(D72&lt;&gt;"","▪","")</f>
        <v>▪</v>
      </c>
      <c r="D72" s="499" t="s">
        <v>48</v>
      </c>
    </row>
    <row r="73" spans="1:4" ht="14.4" x14ac:dyDescent="0.3">
      <c r="A73" s="414"/>
      <c r="B73" s="47" t="s">
        <v>49</v>
      </c>
      <c r="C73" s="47"/>
      <c r="D73" s="499"/>
    </row>
    <row r="74" spans="1:4" ht="14.4" x14ac:dyDescent="0.3">
      <c r="A74" s="414"/>
      <c r="B74" s="47"/>
      <c r="C74" s="48" t="str">
        <f>IF(D74&lt;&gt;"","▪","")</f>
        <v>▪</v>
      </c>
      <c r="D74" s="499" t="s">
        <v>50</v>
      </c>
    </row>
    <row r="75" spans="1:4" ht="14.4" x14ac:dyDescent="0.3">
      <c r="A75" s="414"/>
      <c r="B75" s="47"/>
      <c r="C75" s="48" t="str">
        <f>IF(D75&lt;&gt;"","▪","")</f>
        <v>▪</v>
      </c>
      <c r="D75" s="499" t="s">
        <v>51</v>
      </c>
    </row>
    <row r="76" spans="1:4" ht="14.4" x14ac:dyDescent="0.3">
      <c r="A76" s="414"/>
      <c r="B76" s="47"/>
      <c r="C76" s="48" t="str">
        <f>IF(D76&lt;&gt;"","▪","")</f>
        <v>▪</v>
      </c>
      <c r="D76" s="499" t="s">
        <v>52</v>
      </c>
    </row>
    <row r="77" spans="1:4" ht="14.4" x14ac:dyDescent="0.3">
      <c r="A77" s="414"/>
      <c r="B77" s="47"/>
      <c r="C77" s="48" t="str">
        <f>IF(D77&lt;&gt;"","▪","")</f>
        <v>▪</v>
      </c>
      <c r="D77" s="499" t="s">
        <v>53</v>
      </c>
    </row>
    <row r="78" spans="1:4" ht="14.4" x14ac:dyDescent="0.3">
      <c r="A78" s="414"/>
      <c r="B78" s="47" t="s">
        <v>54</v>
      </c>
      <c r="C78" s="47"/>
      <c r="D78" s="499"/>
    </row>
    <row r="79" spans="1:4" ht="14.4" x14ac:dyDescent="0.3">
      <c r="A79" s="414"/>
      <c r="B79" s="47"/>
      <c r="C79" s="48" t="str">
        <f>IF(D79&lt;&gt;"","▪","")</f>
        <v>▪</v>
      </c>
      <c r="D79" s="499" t="s">
        <v>50</v>
      </c>
    </row>
    <row r="80" spans="1:4" ht="14.4" x14ac:dyDescent="0.3">
      <c r="A80" s="414"/>
      <c r="B80" s="47"/>
      <c r="C80" s="48" t="str">
        <f>IF(D80&lt;&gt;"","▪","")</f>
        <v>▪</v>
      </c>
      <c r="D80" s="499" t="s">
        <v>55</v>
      </c>
    </row>
    <row r="81" spans="1:4" ht="14.4" x14ac:dyDescent="0.3">
      <c r="A81" s="414"/>
      <c r="B81" s="47"/>
      <c r="C81" s="48" t="str">
        <f>IF(D81&lt;&gt;"","▪","")</f>
        <v>▪</v>
      </c>
      <c r="D81" s="499" t="s">
        <v>52</v>
      </c>
    </row>
    <row r="82" spans="1:4" ht="14.4" x14ac:dyDescent="0.3">
      <c r="A82" s="414"/>
      <c r="B82" s="47"/>
      <c r="C82" s="48" t="str">
        <f>IF(D82&lt;&gt;"","▪","")</f>
        <v>▪</v>
      </c>
      <c r="D82" s="499" t="s">
        <v>53</v>
      </c>
    </row>
    <row r="83" spans="1:4" ht="14.4" x14ac:dyDescent="0.3">
      <c r="A83" s="414"/>
      <c r="B83" s="47" t="s">
        <v>17</v>
      </c>
      <c r="C83" s="47"/>
      <c r="D83" s="499"/>
    </row>
    <row r="84" spans="1:4" ht="20.100000000000001" customHeight="1" x14ac:dyDescent="0.3">
      <c r="A84" s="414"/>
      <c r="B84" s="47"/>
      <c r="C84" s="48" t="str">
        <f>IF(D84&lt;&gt;"","▪","")</f>
        <v>▪</v>
      </c>
      <c r="D84" s="499" t="s">
        <v>56</v>
      </c>
    </row>
    <row r="85" spans="1:4" ht="14.4" x14ac:dyDescent="0.3">
      <c r="A85" s="414"/>
      <c r="B85" s="47" t="s">
        <v>57</v>
      </c>
      <c r="C85" s="47"/>
      <c r="D85" s="499"/>
    </row>
    <row r="86" spans="1:4" ht="20.100000000000001" customHeight="1" x14ac:dyDescent="0.3">
      <c r="A86" s="414"/>
      <c r="B86" s="47"/>
      <c r="C86" s="48" t="str">
        <f>IF(D86&lt;&gt;"","▪","")</f>
        <v>▪</v>
      </c>
      <c r="D86" s="499" t="s">
        <v>58</v>
      </c>
    </row>
    <row r="87" spans="1:4" ht="14.4" x14ac:dyDescent="0.3">
      <c r="A87" s="418"/>
      <c r="B87" s="477"/>
      <c r="C87" s="477"/>
      <c r="D87" s="502"/>
    </row>
    <row r="88" spans="1:4" ht="18" x14ac:dyDescent="0.35">
      <c r="A88" s="602" t="s">
        <v>59</v>
      </c>
      <c r="B88" s="603"/>
      <c r="C88" s="603"/>
      <c r="D88" s="604"/>
    </row>
    <row r="89" spans="1:4" ht="14.4" x14ac:dyDescent="0.3">
      <c r="A89" s="4"/>
      <c r="B89" s="47" t="s">
        <v>2</v>
      </c>
      <c r="C89" s="47"/>
      <c r="D89" s="499"/>
    </row>
    <row r="90" spans="1:4" ht="14.4" x14ac:dyDescent="0.3">
      <c r="A90" s="4"/>
      <c r="B90" s="47"/>
      <c r="C90" s="48" t="str">
        <f>IF(D90&lt;&gt;"","▪","")</f>
        <v>▪</v>
      </c>
      <c r="D90" s="499" t="s">
        <v>60</v>
      </c>
    </row>
    <row r="91" spans="1:4" ht="14.4" x14ac:dyDescent="0.3">
      <c r="A91" s="4"/>
      <c r="B91" s="47" t="s">
        <v>40</v>
      </c>
      <c r="C91" s="47"/>
      <c r="D91" s="499"/>
    </row>
    <row r="92" spans="1:4" ht="14.4" x14ac:dyDescent="0.3">
      <c r="A92" s="4"/>
      <c r="B92" s="47"/>
      <c r="C92" s="48" t="str">
        <f>IF(D92&lt;&gt;"","▪","")</f>
        <v>▪</v>
      </c>
      <c r="D92" s="499" t="s">
        <v>61</v>
      </c>
    </row>
    <row r="93" spans="1:4" ht="39.6" x14ac:dyDescent="0.3">
      <c r="A93" s="4"/>
      <c r="B93" s="47"/>
      <c r="C93" s="48" t="str">
        <f>IF(D93&lt;&gt;"","▪","")</f>
        <v>▪</v>
      </c>
      <c r="D93" s="499" t="s">
        <v>62</v>
      </c>
    </row>
    <row r="94" spans="1:4" ht="26.4" x14ac:dyDescent="0.3">
      <c r="A94" s="4"/>
      <c r="B94" s="47"/>
      <c r="C94" s="48" t="str">
        <f>IF(D94&lt;&gt;"","▪","")</f>
        <v>▪</v>
      </c>
      <c r="D94" s="499" t="s">
        <v>63</v>
      </c>
    </row>
    <row r="95" spans="1:4" ht="14.4" x14ac:dyDescent="0.3">
      <c r="A95" s="4"/>
      <c r="B95" s="47" t="s">
        <v>23</v>
      </c>
      <c r="C95" s="47"/>
      <c r="D95" s="499"/>
    </row>
    <row r="96" spans="1:4" ht="14.4" x14ac:dyDescent="0.3">
      <c r="A96" s="4"/>
      <c r="B96" s="47"/>
      <c r="C96" s="48" t="str">
        <f>IF(D96&lt;&gt;"","▪","")</f>
        <v>▪</v>
      </c>
      <c r="D96" s="499" t="s">
        <v>64</v>
      </c>
    </row>
    <row r="97" spans="1:4" ht="14.4" x14ac:dyDescent="0.3">
      <c r="A97" s="4"/>
      <c r="B97" s="47" t="s">
        <v>11</v>
      </c>
      <c r="C97" s="47"/>
      <c r="D97" s="499"/>
    </row>
    <row r="98" spans="1:4" ht="14.4" x14ac:dyDescent="0.3">
      <c r="A98" s="4"/>
      <c r="B98" s="47"/>
      <c r="C98" s="48" t="str">
        <f>IF(D98&lt;&gt;"","▪","")</f>
        <v>▪</v>
      </c>
      <c r="D98" s="499" t="s">
        <v>65</v>
      </c>
    </row>
    <row r="99" spans="1:4" ht="14.4" x14ac:dyDescent="0.3">
      <c r="A99" s="414"/>
      <c r="B99" s="47" t="s">
        <v>49</v>
      </c>
      <c r="C99" s="47"/>
      <c r="D99" s="499"/>
    </row>
    <row r="100" spans="1:4" ht="26.4" x14ac:dyDescent="0.3">
      <c r="A100" s="414"/>
      <c r="B100" s="47"/>
      <c r="C100" s="48" t="str">
        <f>IF(D100&lt;&gt;"","▪","")</f>
        <v>▪</v>
      </c>
      <c r="D100" s="499" t="s">
        <v>66</v>
      </c>
    </row>
    <row r="101" spans="1:4" ht="14.4" x14ac:dyDescent="0.3">
      <c r="A101" s="414"/>
      <c r="B101" s="47"/>
      <c r="C101" s="48" t="str">
        <f>IF(D101&lt;&gt;"","▪","")</f>
        <v>▪</v>
      </c>
      <c r="D101" s="499" t="s">
        <v>67</v>
      </c>
    </row>
    <row r="102" spans="1:4" ht="14.4" x14ac:dyDescent="0.3">
      <c r="A102" s="414"/>
      <c r="B102" s="47" t="s">
        <v>20</v>
      </c>
      <c r="C102" s="47"/>
      <c r="D102" s="499"/>
    </row>
    <row r="103" spans="1:4" ht="14.4" x14ac:dyDescent="0.3">
      <c r="A103" s="414"/>
      <c r="B103" s="47"/>
      <c r="C103" s="48" t="str">
        <f>IF(D103&lt;&gt;"","▪","")</f>
        <v>▪</v>
      </c>
      <c r="D103" s="499" t="s">
        <v>68</v>
      </c>
    </row>
    <row r="104" spans="1:4" ht="14.4" x14ac:dyDescent="0.3">
      <c r="A104" s="4"/>
      <c r="B104" s="47" t="s">
        <v>54</v>
      </c>
      <c r="C104" s="47"/>
      <c r="D104" s="499"/>
    </row>
    <row r="105" spans="1:4" ht="14.4" x14ac:dyDescent="0.3">
      <c r="A105" s="4"/>
      <c r="B105" s="47"/>
      <c r="C105" s="48" t="str">
        <f>IF(D105&lt;&gt;"","▪","")</f>
        <v>▪</v>
      </c>
      <c r="D105" s="499" t="s">
        <v>69</v>
      </c>
    </row>
    <row r="106" spans="1:4" ht="14.4" x14ac:dyDescent="0.3">
      <c r="A106" s="4"/>
      <c r="B106" s="47"/>
      <c r="C106" s="48" t="str">
        <f>IF(D106&lt;&gt;"","▪","")</f>
        <v>▪</v>
      </c>
      <c r="D106" s="499" t="s">
        <v>70</v>
      </c>
    </row>
    <row r="107" spans="1:4" ht="14.4" x14ac:dyDescent="0.3">
      <c r="A107" s="4"/>
      <c r="B107" s="47" t="s">
        <v>71</v>
      </c>
      <c r="C107" s="47"/>
      <c r="D107" s="499"/>
    </row>
    <row r="108" spans="1:4" ht="14.4" x14ac:dyDescent="0.3">
      <c r="A108" s="4"/>
      <c r="B108" s="47"/>
      <c r="C108" s="48" t="str">
        <f>IF(D108&lt;&gt;"","▪","")</f>
        <v>▪</v>
      </c>
      <c r="D108" s="499" t="s">
        <v>72</v>
      </c>
    </row>
    <row r="109" spans="1:4" ht="14.4" x14ac:dyDescent="0.3">
      <c r="A109" s="4"/>
      <c r="B109" s="47"/>
      <c r="C109" s="48" t="str">
        <f>IF(D109&lt;&gt;"","▪","")</f>
        <v>▪</v>
      </c>
      <c r="D109" s="499" t="s">
        <v>73</v>
      </c>
    </row>
    <row r="110" spans="1:4" ht="14.4" x14ac:dyDescent="0.3">
      <c r="A110" s="4"/>
      <c r="B110" s="47"/>
      <c r="C110" s="48" t="str">
        <f>IF(D110&lt;&gt;"","▪","")</f>
        <v>▪</v>
      </c>
      <c r="D110" s="499" t="s">
        <v>74</v>
      </c>
    </row>
    <row r="111" spans="1:4" ht="14.4" x14ac:dyDescent="0.3">
      <c r="A111" s="4"/>
      <c r="B111" s="47" t="s">
        <v>17</v>
      </c>
      <c r="C111" s="47"/>
      <c r="D111" s="499"/>
    </row>
    <row r="112" spans="1:4" ht="14.4" x14ac:dyDescent="0.3">
      <c r="A112" s="4"/>
      <c r="B112" s="47"/>
      <c r="C112" s="48" t="str">
        <f>IF(D112&lt;&gt;"","▪","")</f>
        <v>▪</v>
      </c>
      <c r="D112" s="499" t="s">
        <v>75</v>
      </c>
    </row>
    <row r="113" spans="1:4" ht="14.4" x14ac:dyDescent="0.3">
      <c r="A113" s="4"/>
      <c r="B113" s="47" t="s">
        <v>76</v>
      </c>
      <c r="C113" s="47"/>
      <c r="D113" s="499"/>
    </row>
    <row r="114" spans="1:4" ht="14.4" x14ac:dyDescent="0.3">
      <c r="A114" s="4"/>
      <c r="B114" s="47"/>
      <c r="C114" s="48" t="str">
        <f>IF(D114&lt;&gt;"","▪","")</f>
        <v>▪</v>
      </c>
      <c r="D114" s="499" t="s">
        <v>77</v>
      </c>
    </row>
    <row r="115" spans="1:4" ht="14.4" x14ac:dyDescent="0.3">
      <c r="A115" s="4"/>
      <c r="B115" s="47" t="s">
        <v>78</v>
      </c>
      <c r="C115" s="47"/>
      <c r="D115" s="499"/>
    </row>
    <row r="116" spans="1:4" ht="14.4" x14ac:dyDescent="0.3">
      <c r="A116" s="4"/>
      <c r="B116" s="47"/>
      <c r="C116" s="48" t="str">
        <f>IF(D116&lt;&gt;"","▪","")</f>
        <v>▪</v>
      </c>
      <c r="D116" s="499" t="s">
        <v>79</v>
      </c>
    </row>
    <row r="117" spans="1:4" ht="14.4" x14ac:dyDescent="0.3">
      <c r="A117" s="418"/>
      <c r="B117" s="477"/>
      <c r="C117" s="477"/>
      <c r="D117" s="502"/>
    </row>
    <row r="118" spans="1:4" ht="18" x14ac:dyDescent="0.35">
      <c r="A118" s="602" t="s">
        <v>80</v>
      </c>
      <c r="B118" s="603"/>
      <c r="C118" s="603"/>
      <c r="D118" s="604"/>
    </row>
    <row r="119" spans="1:4" ht="14.4" x14ac:dyDescent="0.3">
      <c r="A119" s="4"/>
      <c r="B119" s="47" t="s">
        <v>40</v>
      </c>
      <c r="C119" s="47"/>
      <c r="D119" s="499"/>
    </row>
    <row r="120" spans="1:4" ht="26.4" x14ac:dyDescent="0.3">
      <c r="A120" s="4"/>
      <c r="B120" s="47"/>
      <c r="C120" s="48" t="str">
        <f>IF(D120&lt;&gt;"","▪","")</f>
        <v>▪</v>
      </c>
      <c r="D120" s="499" t="s">
        <v>81</v>
      </c>
    </row>
    <row r="121" spans="1:4" ht="14.4" x14ac:dyDescent="0.3">
      <c r="A121" s="4"/>
      <c r="B121" s="47" t="s">
        <v>11</v>
      </c>
      <c r="C121" s="47"/>
      <c r="D121" s="499"/>
    </row>
    <row r="122" spans="1:4" ht="14.4" x14ac:dyDescent="0.3">
      <c r="A122" s="4"/>
      <c r="B122" s="47"/>
      <c r="C122" s="48" t="str">
        <f>IF(D122&lt;&gt;"","▪","")</f>
        <v>▪</v>
      </c>
      <c r="D122" s="499" t="s">
        <v>82</v>
      </c>
    </row>
    <row r="123" spans="1:4" ht="14.4" x14ac:dyDescent="0.3">
      <c r="A123" s="4"/>
      <c r="B123" s="47" t="s">
        <v>23</v>
      </c>
      <c r="C123" s="47"/>
      <c r="D123" s="499"/>
    </row>
    <row r="124" spans="1:4" ht="14.4" x14ac:dyDescent="0.3">
      <c r="A124" s="4"/>
      <c r="B124" s="47"/>
      <c r="C124" s="48" t="str">
        <f>IF(D124&lt;&gt;"","▪","")</f>
        <v>▪</v>
      </c>
      <c r="D124" s="499" t="s">
        <v>83</v>
      </c>
    </row>
    <row r="125" spans="1:4" ht="14.4" x14ac:dyDescent="0.3">
      <c r="A125" s="418"/>
      <c r="B125" s="477"/>
      <c r="C125" s="477"/>
      <c r="D125" s="502"/>
    </row>
    <row r="126" spans="1:4" ht="18" x14ac:dyDescent="0.35">
      <c r="A126" s="602" t="s">
        <v>931</v>
      </c>
      <c r="B126" s="603"/>
      <c r="C126" s="603"/>
      <c r="D126" s="604"/>
    </row>
    <row r="127" spans="1:4" ht="14.4" x14ac:dyDescent="0.3">
      <c r="A127" s="4"/>
      <c r="B127" s="47" t="s">
        <v>2</v>
      </c>
      <c r="C127" s="47"/>
      <c r="D127" s="499"/>
    </row>
    <row r="128" spans="1:4" ht="14.4" x14ac:dyDescent="0.3">
      <c r="A128" s="4"/>
      <c r="B128" s="47"/>
      <c r="C128" s="48" t="str">
        <f>IF(D128&lt;&gt;"","▪","")</f>
        <v>▪</v>
      </c>
      <c r="D128" s="499" t="s">
        <v>932</v>
      </c>
    </row>
    <row r="129" spans="1:4" ht="14.4" x14ac:dyDescent="0.3">
      <c r="A129" s="418"/>
      <c r="B129" s="477"/>
      <c r="C129" s="477"/>
      <c r="D129" s="502"/>
    </row>
    <row r="130" spans="1:4" ht="18" x14ac:dyDescent="0.35">
      <c r="A130" s="602" t="s">
        <v>933</v>
      </c>
      <c r="B130" s="603"/>
      <c r="C130" s="603"/>
      <c r="D130" s="604"/>
    </row>
    <row r="131" spans="1:4" ht="14.4" x14ac:dyDescent="0.3">
      <c r="A131" s="4"/>
      <c r="B131" s="47" t="s">
        <v>40</v>
      </c>
      <c r="C131" s="47"/>
      <c r="D131" s="499"/>
    </row>
    <row r="132" spans="1:4" ht="14.4" x14ac:dyDescent="0.3">
      <c r="A132" s="4"/>
      <c r="B132" s="47"/>
      <c r="C132" s="48" t="str">
        <f>IF(D132&lt;&gt;"","▪","")</f>
        <v>▪</v>
      </c>
      <c r="D132" s="499" t="s">
        <v>935</v>
      </c>
    </row>
    <row r="133" spans="1:4" ht="14.4" x14ac:dyDescent="0.3">
      <c r="A133" s="4"/>
      <c r="B133" s="47"/>
      <c r="C133" s="48" t="str">
        <f>IF(D133&lt;&gt;"","▪","")</f>
        <v>▪</v>
      </c>
      <c r="D133" s="499" t="s">
        <v>938</v>
      </c>
    </row>
    <row r="134" spans="1:4" ht="14.4" x14ac:dyDescent="0.3">
      <c r="A134" s="4"/>
      <c r="B134" s="47" t="s">
        <v>71</v>
      </c>
      <c r="C134" s="47"/>
      <c r="D134" s="499"/>
    </row>
    <row r="135" spans="1:4" ht="14.4" x14ac:dyDescent="0.3">
      <c r="A135" s="414"/>
      <c r="B135" s="47"/>
      <c r="C135" s="48" t="str">
        <f>IF(D135&lt;&gt;"","▪","")</f>
        <v>▪</v>
      </c>
      <c r="D135" s="499" t="s">
        <v>936</v>
      </c>
    </row>
    <row r="136" spans="1:4" ht="14.4" x14ac:dyDescent="0.3">
      <c r="A136" s="4"/>
      <c r="B136" s="47" t="s">
        <v>17</v>
      </c>
      <c r="C136" s="47"/>
      <c r="D136" s="499"/>
    </row>
    <row r="137" spans="1:4" ht="14.4" x14ac:dyDescent="0.25">
      <c r="A137" s="414"/>
      <c r="C137" s="48" t="str">
        <f>IF(D137&lt;&gt;"","▪","")</f>
        <v>▪</v>
      </c>
      <c r="D137" s="499" t="s">
        <v>934</v>
      </c>
    </row>
    <row r="138" spans="1:4" ht="14.4" x14ac:dyDescent="0.3">
      <c r="A138" s="418"/>
      <c r="B138" s="477"/>
      <c r="C138" s="477"/>
      <c r="D138" s="502"/>
    </row>
    <row r="139" spans="1:4" ht="18" x14ac:dyDescent="0.35">
      <c r="A139" s="602" t="s">
        <v>944</v>
      </c>
      <c r="B139" s="603"/>
      <c r="C139" s="603"/>
      <c r="D139" s="604"/>
    </row>
    <row r="140" spans="1:4" ht="14.4" x14ac:dyDescent="0.3">
      <c r="A140" s="4"/>
      <c r="B140" s="47" t="s">
        <v>40</v>
      </c>
      <c r="C140" s="47"/>
      <c r="D140" s="499"/>
    </row>
    <row r="141" spans="1:4" ht="14.4" x14ac:dyDescent="0.3">
      <c r="A141" s="4"/>
      <c r="B141" s="47"/>
      <c r="C141" s="48" t="str">
        <f>IF(D141&lt;&gt;"","▪","")</f>
        <v>▪</v>
      </c>
      <c r="D141" s="499" t="s">
        <v>949</v>
      </c>
    </row>
    <row r="142" spans="1:4" ht="14.4" x14ac:dyDescent="0.3">
      <c r="A142" s="4"/>
      <c r="B142" s="47" t="s">
        <v>23</v>
      </c>
      <c r="C142" s="47"/>
      <c r="D142" s="499"/>
    </row>
    <row r="143" spans="1:4" ht="14.4" x14ac:dyDescent="0.3">
      <c r="A143" s="414"/>
      <c r="B143" s="47"/>
      <c r="C143" s="48" t="str">
        <f>IF(D143&lt;&gt;"","▪","")</f>
        <v>▪</v>
      </c>
      <c r="D143" s="499" t="s">
        <v>945</v>
      </c>
    </row>
    <row r="144" spans="1:4" ht="14.4" x14ac:dyDescent="0.3">
      <c r="A144" s="4"/>
      <c r="B144" s="47" t="s">
        <v>11</v>
      </c>
      <c r="C144" s="47"/>
      <c r="D144" s="499"/>
    </row>
    <row r="145" spans="1:4" ht="14.4" x14ac:dyDescent="0.25">
      <c r="A145" s="414"/>
      <c r="C145" s="48" t="str">
        <f>IF(D145&lt;&gt;"","▪","")</f>
        <v>▪</v>
      </c>
      <c r="D145" s="499" t="s">
        <v>945</v>
      </c>
    </row>
    <row r="146" spans="1:4" ht="14.4" x14ac:dyDescent="0.3">
      <c r="A146" s="4"/>
      <c r="B146" s="47" t="s">
        <v>49</v>
      </c>
      <c r="C146" s="47"/>
      <c r="D146" s="499"/>
    </row>
    <row r="147" spans="1:4" ht="14.4" x14ac:dyDescent="0.25">
      <c r="A147" s="414"/>
      <c r="C147" s="48" t="str">
        <f>IF(D147&lt;&gt;"","▪","")</f>
        <v>▪</v>
      </c>
      <c r="D147" s="499" t="s">
        <v>946</v>
      </c>
    </row>
    <row r="148" spans="1:4" ht="14.4" x14ac:dyDescent="0.3">
      <c r="A148" s="4"/>
      <c r="B148" s="47" t="s">
        <v>20</v>
      </c>
      <c r="C148" s="47"/>
      <c r="D148" s="499"/>
    </row>
    <row r="149" spans="1:4" ht="14.4" x14ac:dyDescent="0.25">
      <c r="A149" s="414"/>
      <c r="C149" s="48" t="str">
        <f>IF(D149&lt;&gt;"","▪","")</f>
        <v>▪</v>
      </c>
      <c r="D149" s="499" t="s">
        <v>945</v>
      </c>
    </row>
    <row r="150" spans="1:4" ht="14.4" x14ac:dyDescent="0.3">
      <c r="A150" s="4"/>
      <c r="B150" s="47" t="s">
        <v>54</v>
      </c>
      <c r="C150" s="47"/>
      <c r="D150" s="499"/>
    </row>
    <row r="151" spans="1:4" ht="14.4" x14ac:dyDescent="0.25">
      <c r="A151" s="414"/>
      <c r="C151" s="48" t="str">
        <f>IF(D151&lt;&gt;"","▪","")</f>
        <v>▪</v>
      </c>
      <c r="D151" s="499" t="s">
        <v>947</v>
      </c>
    </row>
    <row r="152" spans="1:4" ht="14.4" x14ac:dyDescent="0.3">
      <c r="A152" s="4"/>
      <c r="B152" s="47" t="s">
        <v>71</v>
      </c>
      <c r="C152" s="47"/>
      <c r="D152" s="499"/>
    </row>
    <row r="153" spans="1:4" ht="14.4" x14ac:dyDescent="0.25">
      <c r="A153" s="414"/>
      <c r="C153" s="48" t="str">
        <f>IF(D153&lt;&gt;"","▪","")</f>
        <v>▪</v>
      </c>
      <c r="D153" s="499" t="s">
        <v>948</v>
      </c>
    </row>
    <row r="154" spans="1:4" ht="14.4" x14ac:dyDescent="0.3">
      <c r="A154" s="418"/>
      <c r="B154" s="477"/>
      <c r="C154" s="477"/>
      <c r="D154" s="502"/>
    </row>
    <row r="155" spans="1:4" ht="18" x14ac:dyDescent="0.35">
      <c r="A155" s="602" t="s">
        <v>952</v>
      </c>
      <c r="B155" s="603"/>
      <c r="C155" s="603"/>
      <c r="D155" s="604"/>
    </row>
    <row r="156" spans="1:4" ht="14.4" x14ac:dyDescent="0.3">
      <c r="A156" s="4"/>
      <c r="B156" s="47" t="s">
        <v>2</v>
      </c>
      <c r="C156" s="47"/>
      <c r="D156" s="499"/>
    </row>
    <row r="157" spans="1:4" ht="14.4" x14ac:dyDescent="0.3">
      <c r="A157" s="4"/>
      <c r="B157" s="47"/>
      <c r="C157" s="48" t="str">
        <f>IF(D157&lt;&gt;"","▪","")</f>
        <v>▪</v>
      </c>
      <c r="D157" s="499" t="s">
        <v>987</v>
      </c>
    </row>
    <row r="158" spans="1:4" ht="14.4" x14ac:dyDescent="0.3">
      <c r="A158" s="4"/>
      <c r="B158" s="47" t="s">
        <v>40</v>
      </c>
      <c r="C158" s="47"/>
      <c r="D158" s="499"/>
    </row>
    <row r="159" spans="1:4" ht="26.4" x14ac:dyDescent="0.3">
      <c r="A159" s="4"/>
      <c r="B159" s="47"/>
      <c r="C159" s="48" t="str">
        <f>IF(D159&lt;&gt;"","▪","")</f>
        <v>▪</v>
      </c>
      <c r="D159" s="499" t="s">
        <v>988</v>
      </c>
    </row>
    <row r="160" spans="1:4" ht="26.4" x14ac:dyDescent="0.3">
      <c r="A160" s="4"/>
      <c r="B160" s="47"/>
      <c r="C160" s="48" t="str">
        <f>IF(D160&lt;&gt;"","▪","")</f>
        <v>▪</v>
      </c>
      <c r="D160" s="499" t="s">
        <v>994</v>
      </c>
    </row>
    <row r="161" spans="1:4" ht="39.6" x14ac:dyDescent="0.3">
      <c r="A161" s="4"/>
      <c r="B161" s="47"/>
      <c r="C161" s="48" t="str">
        <f>IF(D161&lt;&gt;"","▪","")</f>
        <v>▪</v>
      </c>
      <c r="D161" s="499" t="s">
        <v>954</v>
      </c>
    </row>
    <row r="162" spans="1:4" ht="14.4" x14ac:dyDescent="0.3">
      <c r="A162" s="4"/>
      <c r="B162" s="47" t="s">
        <v>11</v>
      </c>
      <c r="C162" s="47"/>
      <c r="D162" s="499"/>
    </row>
    <row r="163" spans="1:4" ht="14.4" x14ac:dyDescent="0.25">
      <c r="A163" s="414"/>
      <c r="C163" s="48" t="str">
        <f>IF(D163&lt;&gt;"","▪","")</f>
        <v>▪</v>
      </c>
      <c r="D163" s="499" t="s">
        <v>984</v>
      </c>
    </row>
    <row r="164" spans="1:4" ht="14.4" x14ac:dyDescent="0.25">
      <c r="A164" s="414"/>
      <c r="C164" s="48" t="str">
        <f>IF(D164&lt;&gt;"","▪","")</f>
        <v>▪</v>
      </c>
      <c r="D164" s="499" t="s">
        <v>953</v>
      </c>
    </row>
    <row r="165" spans="1:4" ht="14.4" x14ac:dyDescent="0.25">
      <c r="A165" s="414"/>
      <c r="C165" s="48" t="str">
        <f>IF(D165&lt;&gt;"","▪","")</f>
        <v>▪</v>
      </c>
      <c r="D165" s="499" t="s">
        <v>998</v>
      </c>
    </row>
    <row r="166" spans="1:4" ht="14.4" x14ac:dyDescent="0.25">
      <c r="A166" s="414"/>
      <c r="C166" s="48" t="str">
        <f>IF(D166&lt;&gt;"","▪","")</f>
        <v>▪</v>
      </c>
      <c r="D166" s="499" t="s">
        <v>989</v>
      </c>
    </row>
    <row r="167" spans="1:4" ht="14.4" x14ac:dyDescent="0.25">
      <c r="A167" s="414"/>
      <c r="C167" s="48" t="str">
        <f>IF(D167&lt;&gt;"","▪","")</f>
        <v>▪</v>
      </c>
      <c r="D167" s="499" t="s">
        <v>990</v>
      </c>
    </row>
    <row r="168" spans="1:4" ht="14.4" x14ac:dyDescent="0.3">
      <c r="A168" s="4"/>
      <c r="B168" s="47" t="s">
        <v>20</v>
      </c>
      <c r="C168" s="47"/>
      <c r="D168" s="499"/>
    </row>
    <row r="169" spans="1:4" ht="26.4" x14ac:dyDescent="0.25">
      <c r="A169" s="414"/>
      <c r="C169" s="48" t="str">
        <f>IF(D169&lt;&gt;"","▪","")</f>
        <v>▪</v>
      </c>
      <c r="D169" s="499" t="s">
        <v>991</v>
      </c>
    </row>
    <row r="170" spans="1:4" ht="14.4" x14ac:dyDescent="0.25">
      <c r="A170" s="414"/>
      <c r="C170" s="48" t="str">
        <f t="shared" ref="C170:C171" si="2">IF(D170&lt;&gt;"","▪","")</f>
        <v>▪</v>
      </c>
      <c r="D170" s="499" t="s">
        <v>992</v>
      </c>
    </row>
    <row r="171" spans="1:4" ht="14.4" x14ac:dyDescent="0.25">
      <c r="A171" s="414"/>
      <c r="C171" s="48" t="str">
        <f t="shared" si="2"/>
        <v>▪</v>
      </c>
      <c r="D171" s="499" t="s">
        <v>993</v>
      </c>
    </row>
    <row r="172" spans="1:4" ht="14.4" x14ac:dyDescent="0.3">
      <c r="A172" s="4"/>
      <c r="B172" s="47" t="s">
        <v>54</v>
      </c>
      <c r="C172" s="47"/>
      <c r="D172" s="499"/>
    </row>
    <row r="173" spans="1:4" ht="14.4" x14ac:dyDescent="0.25">
      <c r="A173" s="414"/>
      <c r="C173" s="48" t="str">
        <f>IF(D173&lt;&gt;"","▪","")</f>
        <v>▪</v>
      </c>
      <c r="D173" s="499" t="s">
        <v>947</v>
      </c>
    </row>
    <row r="174" spans="1:4" ht="14.4" x14ac:dyDescent="0.3">
      <c r="A174" s="4"/>
      <c r="B174" s="47" t="s">
        <v>76</v>
      </c>
      <c r="C174" s="47"/>
      <c r="D174" s="499"/>
    </row>
    <row r="175" spans="1:4" ht="14.4" x14ac:dyDescent="0.25">
      <c r="A175" s="414"/>
      <c r="C175" s="48" t="str">
        <f>IF(D175&lt;&gt;"","▪","")</f>
        <v>▪</v>
      </c>
      <c r="D175" s="499" t="s">
        <v>985</v>
      </c>
    </row>
    <row r="176" spans="1:4" ht="14.4" x14ac:dyDescent="0.3">
      <c r="A176" s="4"/>
      <c r="B176" s="47" t="s">
        <v>17</v>
      </c>
      <c r="C176" s="47"/>
      <c r="D176" s="499"/>
    </row>
    <row r="177" spans="1:4" ht="14.4" x14ac:dyDescent="0.25">
      <c r="A177" s="414"/>
      <c r="C177" s="48" t="str">
        <f>IF(D177&lt;&gt;"","▪","")</f>
        <v>▪</v>
      </c>
      <c r="D177" s="499" t="s">
        <v>986</v>
      </c>
    </row>
    <row r="178" spans="1:4" ht="14.4" x14ac:dyDescent="0.3">
      <c r="A178" s="418"/>
      <c r="B178" s="477"/>
      <c r="C178" s="477"/>
      <c r="D178" s="502"/>
    </row>
  </sheetData>
  <sheetProtection algorithmName="SHA-512" hashValue="IQHL0+Sh4nfXT7CoGj33daEtMY0BVdNqPYl/Ei4+fNW3hAIKfCxoYZZ9F+utpfyzKLmI3hOW5gnuQDodHA9kSQ==" saltValue="Lruoj2V67qMxQ56Rttmojg=="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&amp;LPMv3.13&amp;R&amp;P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3.2" x14ac:dyDescent="0.25"/>
  <cols>
    <col min="1" max="1" width="2.88671875" customWidth="1"/>
    <col min="2" max="2" width="5.5546875" customWidth="1"/>
    <col min="3" max="3" width="38.5546875" customWidth="1"/>
    <col min="4" max="4" width="5.5546875" customWidth="1"/>
    <col min="5" max="5" width="38.5546875" customWidth="1"/>
    <col min="6" max="6" width="5.5546875" customWidth="1"/>
    <col min="7" max="7" width="38.5546875" customWidth="1"/>
    <col min="8" max="8" width="5.5546875" customWidth="1"/>
    <col min="9" max="9" width="2.88671875" customWidth="1"/>
    <col min="10" max="10" width="19" customWidth="1"/>
    <col min="11" max="11" width="3" customWidth="1"/>
    <col min="13" max="13" width="1.5546875" customWidth="1"/>
    <col min="14" max="14" width="38.88671875" customWidth="1"/>
  </cols>
  <sheetData>
    <row r="1" spans="1:15" ht="15" customHeight="1" x14ac:dyDescent="0.25">
      <c r="A1" s="404"/>
      <c r="B1" s="404"/>
      <c r="C1" s="404"/>
      <c r="D1" s="404"/>
      <c r="E1" s="404"/>
      <c r="F1" s="404"/>
      <c r="G1" s="404"/>
      <c r="H1" s="404"/>
      <c r="I1" s="404"/>
      <c r="J1" s="491" t="s">
        <v>84</v>
      </c>
      <c r="K1" s="510" t="b">
        <v>1</v>
      </c>
    </row>
    <row r="2" spans="1:15" ht="22.5" customHeight="1" x14ac:dyDescent="0.25">
      <c r="A2" s="404"/>
      <c r="B2" s="406"/>
      <c r="C2" s="406"/>
      <c r="D2" s="406"/>
      <c r="E2" s="678" t="str">
        <f>CHOOSE(MATCH(Objeto,{"PM","PO"}),"PLANILHA MÚLTIPLA ","PLANILHA ORÇAMENTÁRIA ")&amp; Versao</f>
        <v>PLANILHA MÚLTIPLA v3.13</v>
      </c>
      <c r="F2" s="678"/>
      <c r="G2" s="678"/>
      <c r="H2" s="408"/>
      <c r="I2" s="406"/>
      <c r="J2" s="491" t="s">
        <v>950</v>
      </c>
      <c r="K2" s="510" t="b">
        <v>1</v>
      </c>
    </row>
    <row r="3" spans="1:15" ht="22.5" customHeight="1" x14ac:dyDescent="0.25">
      <c r="A3" s="404"/>
      <c r="B3" s="406"/>
      <c r="C3" s="406"/>
      <c r="D3" s="406"/>
      <c r="E3" s="678"/>
      <c r="F3" s="678"/>
      <c r="G3" s="678"/>
      <c r="H3" s="408"/>
      <c r="I3" s="406"/>
      <c r="O3" s="606">
        <v>1</v>
      </c>
    </row>
    <row r="4" spans="1:15" ht="17.100000000000001" customHeight="1" x14ac:dyDescent="0.25">
      <c r="A4" s="404"/>
      <c r="B4" s="406"/>
      <c r="C4" s="406"/>
      <c r="D4" s="406"/>
      <c r="E4" s="406"/>
      <c r="F4" s="407"/>
      <c r="G4" s="408"/>
      <c r="H4" s="408"/>
      <c r="I4" s="406"/>
      <c r="J4" s="151" t="str">
        <f>IF(VALUE(MENU!$O$4)=2,"BM","PLE")</f>
        <v>PLE</v>
      </c>
      <c r="O4" s="606">
        <v>1</v>
      </c>
    </row>
    <row r="5" spans="1:15" ht="17.100000000000001" customHeight="1" thickBot="1" x14ac:dyDescent="0.3">
      <c r="A5" s="404"/>
      <c r="B5" s="406"/>
      <c r="C5" s="406"/>
      <c r="D5" s="406"/>
      <c r="E5" s="406"/>
      <c r="F5" s="407"/>
      <c r="G5" s="408"/>
      <c r="H5" s="408"/>
      <c r="I5" s="406"/>
      <c r="J5" s="151" t="s">
        <v>85</v>
      </c>
    </row>
    <row r="6" spans="1:15" ht="21" customHeight="1" thickBot="1" x14ac:dyDescent="0.3">
      <c r="A6" s="404"/>
      <c r="B6" s="404"/>
      <c r="C6" s="404"/>
      <c r="D6" s="404"/>
      <c r="E6" s="509" t="s">
        <v>86</v>
      </c>
      <c r="F6" s="405"/>
      <c r="G6" s="509" t="s">
        <v>87</v>
      </c>
      <c r="H6" s="404"/>
      <c r="I6" s="404"/>
      <c r="J6" s="151" t="s">
        <v>88</v>
      </c>
    </row>
    <row r="7" spans="1:15" x14ac:dyDescent="0.25">
      <c r="A7" s="404"/>
      <c r="B7" s="404"/>
      <c r="C7" s="404"/>
      <c r="D7" s="404"/>
      <c r="E7" s="404"/>
      <c r="F7" s="404"/>
      <c r="G7" s="404"/>
      <c r="H7" s="404"/>
      <c r="I7" s="404"/>
      <c r="J7" s="151" t="s">
        <v>76</v>
      </c>
      <c r="K7" s="607"/>
      <c r="L7" s="608"/>
      <c r="M7" s="608"/>
      <c r="N7" s="609"/>
    </row>
    <row r="8" spans="1:15" ht="21" customHeight="1" x14ac:dyDescent="0.25">
      <c r="A8" s="406"/>
      <c r="B8" s="677" t="str">
        <f>IF($O$3&lt;&gt;2,"DOCUMENTAÇÃO DA PROPOSTA","PROPOSTA: Para visualizar/preencher esta seção, altere o TIPO DE ORÇAMENTO para 'Proposto'")</f>
        <v>DOCUMENTAÇÃO DA PROPOSTA</v>
      </c>
      <c r="C8" s="677"/>
      <c r="D8" s="677"/>
      <c r="E8" s="677"/>
      <c r="F8" s="677"/>
      <c r="G8" s="677"/>
      <c r="H8" s="677"/>
      <c r="I8" s="404"/>
      <c r="J8" s="151" t="s">
        <v>78</v>
      </c>
      <c r="K8" s="412"/>
      <c r="L8" s="413" t="s">
        <v>89</v>
      </c>
      <c r="M8" s="413"/>
      <c r="N8" s="414"/>
    </row>
    <row r="9" spans="1:15" ht="13.8" thickBot="1" x14ac:dyDescent="0.3">
      <c r="A9" s="404"/>
      <c r="B9" s="404"/>
      <c r="C9" s="404"/>
      <c r="D9" s="404"/>
      <c r="E9" s="404"/>
      <c r="F9" s="404"/>
      <c r="G9" s="404"/>
      <c r="H9" s="404"/>
      <c r="I9" s="404"/>
      <c r="K9" s="412"/>
      <c r="L9" t="s">
        <v>90</v>
      </c>
      <c r="N9" s="414"/>
    </row>
    <row r="10" spans="1:15" ht="21" customHeight="1" thickBot="1" x14ac:dyDescent="0.3">
      <c r="A10" s="404"/>
      <c r="B10" s="404"/>
      <c r="C10" s="478" t="str">
        <f>IF(TIPOORCAMENTO&lt;&gt;"Proposto","","                    BDI                    ")</f>
        <v xml:space="preserve">                    BDI                    </v>
      </c>
      <c r="D10" s="405"/>
      <c r="E10" s="478" t="str">
        <f>IF(TIPOORCAMENTO&lt;&gt;"Proposto","","             ORÇAMENTO             ")</f>
        <v xml:space="preserve">             ORÇAMENTO             </v>
      </c>
      <c r="F10" s="405"/>
      <c r="G10" s="480" t="str">
        <f>IF(TIPOORCAMENTO&lt;&gt;"Proposto","","MEMÓRIA DE CÁLCULO / PLQ")</f>
        <v>MEMÓRIA DE CÁLCULO / PLQ</v>
      </c>
      <c r="H10" s="404"/>
      <c r="I10" s="404"/>
      <c r="K10" s="412"/>
      <c r="L10" s="5"/>
      <c r="M10" s="3"/>
      <c r="N10" s="415" t="s">
        <v>91</v>
      </c>
    </row>
    <row r="11" spans="1:15" ht="13.8" thickBot="1" x14ac:dyDescent="0.3">
      <c r="A11" s="404"/>
      <c r="B11" s="404"/>
      <c r="C11" s="405"/>
      <c r="D11" s="405"/>
      <c r="E11" s="405"/>
      <c r="F11" s="405"/>
      <c r="G11" s="405"/>
      <c r="H11" s="404"/>
      <c r="I11" s="404"/>
      <c r="K11" s="412"/>
      <c r="N11" s="414"/>
    </row>
    <row r="12" spans="1:15" ht="21" customHeight="1" thickBot="1" x14ac:dyDescent="0.3">
      <c r="A12" s="404"/>
      <c r="B12" s="404"/>
      <c r="C12" s="478" t="str">
        <f>IF(TIPOORCAMENTO&lt;&gt;"Proposto","","                    QCI                    ")</f>
        <v xml:space="preserve">                    QCI                    </v>
      </c>
      <c r="D12" s="405"/>
      <c r="E12" s="479" t="str">
        <f>IF(TIPOORCAMENTO&lt;&gt;"Proposto","","CRONOGRAMA FÍSICO-FINANCEIRO")</f>
        <v>CRONOGRAMA FÍSICO-FINANCEIRO</v>
      </c>
      <c r="F12" s="405"/>
      <c r="G12" s="405"/>
      <c r="H12" s="404"/>
      <c r="I12" s="404"/>
      <c r="K12" s="412"/>
      <c r="L12" s="6"/>
      <c r="M12" s="3"/>
      <c r="N12" s="415" t="s">
        <v>92</v>
      </c>
    </row>
    <row r="13" spans="1:15" x14ac:dyDescent="0.25">
      <c r="A13" s="404"/>
      <c r="B13" s="404"/>
      <c r="C13" s="404"/>
      <c r="D13" s="404"/>
      <c r="E13" s="404"/>
      <c r="F13" s="404"/>
      <c r="G13" s="404"/>
      <c r="H13" s="404"/>
      <c r="I13" s="404"/>
      <c r="K13" s="412"/>
      <c r="N13" s="414"/>
    </row>
    <row r="14" spans="1:15" x14ac:dyDescent="0.25">
      <c r="A14" s="404"/>
      <c r="B14" s="404"/>
      <c r="C14" s="404"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10-2025.xlsm.</v>
      </c>
      <c r="D14" s="404"/>
      <c r="E14" s="404"/>
      <c r="F14" s="404"/>
      <c r="G14" s="404"/>
      <c r="H14" s="404"/>
      <c r="I14" s="404"/>
      <c r="K14" s="412"/>
      <c r="N14" s="414"/>
    </row>
    <row r="15" spans="1:15" x14ac:dyDescent="0.25">
      <c r="A15" s="404"/>
      <c r="B15" s="404"/>
      <c r="C15" s="404"/>
      <c r="D15" s="404"/>
      <c r="E15" s="404"/>
      <c r="F15" s="404"/>
      <c r="G15" s="404"/>
      <c r="H15" s="404"/>
      <c r="I15" s="404"/>
      <c r="K15" s="412"/>
      <c r="L15" t="s">
        <v>93</v>
      </c>
      <c r="N15" s="414"/>
    </row>
    <row r="16" spans="1:15" ht="21" customHeight="1" x14ac:dyDescent="0.25">
      <c r="A16" s="404"/>
      <c r="B16" s="677" t="str">
        <f>IF($O$3&lt;&gt;2,"PÓS-LICITADO: Para visualizar/preencher esta seção, altere o TIPO DE ORÇAMENTO para 'Licitado'","RESULTADO DO PROCESSO LICITATÓRIO")</f>
        <v>PÓS-LICITADO: Para visualizar/preencher esta seção, altere o TIPO DE ORÇAMENTO para 'Licitado'</v>
      </c>
      <c r="C16" s="677"/>
      <c r="D16" s="677"/>
      <c r="E16" s="677"/>
      <c r="F16" s="677"/>
      <c r="G16" s="677"/>
      <c r="H16" s="677"/>
      <c r="I16" s="404"/>
      <c r="K16" s="412"/>
      <c r="L16" s="481"/>
      <c r="M16" s="3"/>
      <c r="N16" s="415" t="s">
        <v>94</v>
      </c>
    </row>
    <row r="17" spans="1:14" ht="13.8" thickBot="1" x14ac:dyDescent="0.3">
      <c r="A17" s="404"/>
      <c r="B17" s="404"/>
      <c r="C17" s="404"/>
      <c r="D17" s="404"/>
      <c r="E17" s="404"/>
      <c r="F17" s="404"/>
      <c r="G17" s="404"/>
      <c r="H17" s="404"/>
      <c r="I17" s="404"/>
      <c r="K17" s="412"/>
      <c r="N17" s="414"/>
    </row>
    <row r="18" spans="1:14" ht="21" customHeight="1" thickBot="1" x14ac:dyDescent="0.3">
      <c r="A18" s="404"/>
      <c r="B18" s="404"/>
      <c r="C18" s="478" t="str">
        <f>IF(TIPOORCAMENTO&lt;&gt;"Licitado","","             ORÇAMENTO             ")</f>
        <v/>
      </c>
      <c r="D18" s="405"/>
      <c r="E18" s="478" t="str">
        <f>IF(TIPOORCAMENTO&lt;&gt;"Licitado","","                    QCI                    ")</f>
        <v/>
      </c>
      <c r="F18" s="405"/>
      <c r="G18" s="479" t="str">
        <f>IF(TIPOORCAMENTO&lt;&gt;"Licitado","","CRONOGRAMA FÍSICO-FINANCEIRO")</f>
        <v/>
      </c>
      <c r="H18" s="404"/>
      <c r="I18" s="404"/>
      <c r="K18" s="412"/>
      <c r="L18" s="409"/>
      <c r="M18" s="3"/>
      <c r="N18" s="415" t="s">
        <v>95</v>
      </c>
    </row>
    <row r="19" spans="1:14" x14ac:dyDescent="0.25">
      <c r="A19" s="404"/>
      <c r="B19" s="404"/>
      <c r="C19" s="404"/>
      <c r="D19" s="404"/>
      <c r="E19" s="404"/>
      <c r="F19" s="404"/>
      <c r="G19" s="404"/>
      <c r="H19" s="404"/>
      <c r="I19" s="404"/>
      <c r="K19" s="416"/>
      <c r="L19" s="417"/>
      <c r="M19" s="417"/>
      <c r="N19" s="418"/>
    </row>
    <row r="20" spans="1:14" ht="21" customHeight="1" x14ac:dyDescent="0.25">
      <c r="A20" s="406"/>
      <c r="B20" s="677" t="str">
        <f>IF($O$3&lt;&gt;2,"ACOMPANHAMENTO: Para visualizar/preencher esta seção, altere o TIPO DE ORÇAMENTO para 'Licitado'","ACOMPANHAMENTO DO EMPREENDIMENTO")</f>
        <v>ACOMPANHAMENTO: Para visualizar/preencher esta seção, altere o TIPO DE ORÇAMENTO para 'Licitado'</v>
      </c>
      <c r="C20" s="677"/>
      <c r="D20" s="677"/>
      <c r="E20" s="677"/>
      <c r="F20" s="677"/>
      <c r="G20" s="677"/>
      <c r="H20" s="677"/>
      <c r="I20" s="404"/>
    </row>
    <row r="21" spans="1:14" ht="13.8" thickBot="1" x14ac:dyDescent="0.3">
      <c r="A21" s="404"/>
      <c r="B21" s="404"/>
      <c r="C21" s="404"/>
      <c r="D21" s="404"/>
      <c r="E21" s="404"/>
      <c r="F21" s="404"/>
      <c r="G21" s="404"/>
      <c r="H21" s="404"/>
      <c r="I21" s="404"/>
    </row>
    <row r="22" spans="1:14" ht="21" customHeight="1" thickBot="1" x14ac:dyDescent="0.3">
      <c r="A22" s="404"/>
      <c r="B22" s="404"/>
      <c r="C22" s="482" t="e" cm="1">
        <f t="array" aca="1" ref="C22" ca="1">IF(OR(_xlfn.SINGLE(TIPOORCAMENTO)&lt;&gt;"Licitado",ACOMPANHAMENTO&lt;&gt;"PLE"),"","PLAN. DE LEVANT. DE EVENTOS - PLE")</f>
        <v>#NAME?</v>
      </c>
      <c r="D22" s="405"/>
      <c r="E22" s="478" t="str">
        <f>IF(TIPOORCAMENTO&lt;&gt;"Licitado","","                    RRE                    ")</f>
        <v/>
      </c>
      <c r="F22" s="405"/>
      <c r="G22" s="480" t="e" cm="1">
        <f t="array" aca="1" ref="G22" ca="1">IF(OR(_xlfn.SINGLE(TIPOORCAMENTO)&lt;&gt;"Licitado",ACOMPANHAMENTO&lt;&gt;"BM"),"","  BOLETIM DE MEDIÇÃO - BM  ")</f>
        <v>#NAME?</v>
      </c>
      <c r="H22" s="404"/>
      <c r="I22" s="404"/>
    </row>
    <row r="23" spans="1:14" ht="13.8" thickBot="1" x14ac:dyDescent="0.3">
      <c r="A23" s="404"/>
      <c r="B23" s="404"/>
      <c r="C23" s="405"/>
      <c r="D23" s="405"/>
      <c r="E23" s="405"/>
      <c r="F23" s="405"/>
      <c r="G23" s="405"/>
      <c r="H23" s="404"/>
      <c r="I23" s="404"/>
    </row>
    <row r="24" spans="1:14" ht="21" customHeight="1" thickBot="1" x14ac:dyDescent="0.3">
      <c r="A24" s="404"/>
      <c r="B24" s="404"/>
      <c r="C24" s="405"/>
      <c r="D24" s="405"/>
      <c r="E24" s="482" t="str">
        <f>IF(TIPOORCAMENTO&lt;&gt;"Licitado","","OF. DE SOLICITAÇÃO DE DESBLOQUEIO")</f>
        <v/>
      </c>
      <c r="F24" s="405"/>
      <c r="G24" s="405"/>
      <c r="H24" s="404"/>
      <c r="I24" s="404"/>
    </row>
    <row r="25" spans="1:14" x14ac:dyDescent="0.25">
      <c r="A25" s="404"/>
      <c r="B25" s="404"/>
      <c r="C25" s="404"/>
      <c r="D25" s="404"/>
      <c r="E25" s="404"/>
      <c r="F25" s="404"/>
      <c r="G25" s="404"/>
      <c r="H25" s="404"/>
      <c r="I25" s="404"/>
    </row>
  </sheetData>
  <sheetProtection algorithmName="SHA-512" hashValue="rpEvx3iOZkgjbHy4ZPysI9hQFwZB/++Cj6584VQ0lZ8UdW4RDwagtaorgjlfNb07grnRbll9kpXW1xeIdAiK4w==" saltValue="Z31IW/KQmTF8n9oQARedDg==" spinCount="100000" sheet="1" objects="1" scenarios="1" autoFilter="0"/>
  <mergeCells count="4">
    <mergeCell ref="B20:H20"/>
    <mergeCell ref="B8:H8"/>
    <mergeCell ref="E2:G3"/>
    <mergeCell ref="B16:H16"/>
  </mergeCells>
  <phoneticPr fontId="38" type="noConversion"/>
  <conditionalFormatting sqref="C10:G14">
    <cfRule type="expression" dxfId="478" priority="70" stopIfTrue="1">
      <formula>TIPOORCAMENTO="Licitado"</formula>
    </cfRule>
  </conditionalFormatting>
  <conditionalFormatting sqref="C18:G18 E22:E24">
    <cfRule type="expression" dxfId="477" priority="71" stopIfTrue="1">
      <formula>TIPOORCAMENTO&lt;&gt;"Licitado"</formula>
    </cfRule>
  </conditionalFormatting>
  <conditionalFormatting sqref="C22">
    <cfRule type="expression" dxfId="476" priority="73" stopIfTrue="1">
      <formula>OR(TIPOORCAMENTO&lt;&gt;"Licitado",ACOMPANHAMENTO&lt;&gt;"PLE")</formula>
    </cfRule>
  </conditionalFormatting>
  <conditionalFormatting sqref="G22">
    <cfRule type="expression" dxfId="475" priority="74" stopIfTrue="1">
      <formula>OR(TIPOORCAMENTO&lt;&gt;"Licitado",ACOMPANHAMENTO&lt;&gt;"BM")</formula>
    </cfRule>
  </conditionalFormatting>
  <conditionalFormatting sqref="B16:H16 B20:H20">
    <cfRule type="expression" dxfId="474" priority="599" stopIfTrue="1">
      <formula>$O$3&lt;&gt;2</formula>
    </cfRule>
  </conditionalFormatting>
  <conditionalFormatting sqref="B8:H8">
    <cfRule type="expression" dxfId="473"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&amp;LPMv3.13&amp;R&amp;P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45720</xdr:rowOff>
                  </from>
                  <to>
                    <xdr:col>13</xdr:col>
                    <xdr:colOff>2369820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68580</xdr:rowOff>
                  </from>
                  <to>
                    <xdr:col>13</xdr:col>
                    <xdr:colOff>2392680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3.2" x14ac:dyDescent="0.25"/>
  <cols>
    <col min="1" max="1" width="10.5546875" customWidth="1"/>
    <col min="2" max="2" width="42.5546875" style="3" customWidth="1"/>
    <col min="3" max="3" width="53.44140625" style="3" customWidth="1"/>
    <col min="4" max="4" width="80.5546875" customWidth="1"/>
    <col min="5" max="6" width="9.109375" customWidth="1"/>
    <col min="7" max="10" width="30.6640625" hidden="1" customWidth="1"/>
    <col min="11" max="11" width="9.109375" hidden="1" customWidth="1"/>
    <col min="12" max="12" width="14.44140625" hidden="1" customWidth="1"/>
    <col min="13" max="15" width="9.109375" hidden="1" customWidth="1"/>
    <col min="16" max="16" width="9.109375" style="7" hidden="1" customWidth="1"/>
    <col min="17" max="48" width="9.109375" hidden="1" customWidth="1"/>
    <col min="49" max="49" width="15.5546875" hidden="1" customWidth="1"/>
    <col min="50" max="50" width="9.109375" customWidth="1"/>
  </cols>
  <sheetData>
    <row r="1" spans="2:49" ht="15.75" customHeight="1" x14ac:dyDescent="0.3">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960</v>
      </c>
      <c r="I1" s="9" t="s">
        <v>961</v>
      </c>
      <c r="J1" s="9" t="s">
        <v>709</v>
      </c>
      <c r="M1" s="610"/>
      <c r="N1" s="680" t="s">
        <v>97</v>
      </c>
      <c r="O1" s="680"/>
      <c r="P1" s="680"/>
      <c r="Q1" s="680"/>
      <c r="R1" s="680"/>
      <c r="S1" s="680"/>
      <c r="T1" s="680"/>
      <c r="U1" s="680"/>
      <c r="V1" s="680"/>
      <c r="W1" s="680"/>
      <c r="X1" s="680"/>
      <c r="Y1" s="680"/>
      <c r="Z1" s="680"/>
      <c r="AA1" s="680"/>
      <c r="AB1" s="680"/>
      <c r="AC1" s="680"/>
      <c r="AD1" s="680"/>
      <c r="AE1" s="680"/>
      <c r="AF1" s="680"/>
      <c r="AG1" s="680"/>
      <c r="AH1" s="680"/>
      <c r="AI1" s="680"/>
      <c r="AJ1" s="680"/>
      <c r="AK1" s="680"/>
      <c r="AL1" s="680"/>
      <c r="AM1" s="680"/>
      <c r="AN1" s="680"/>
      <c r="AO1" s="680"/>
      <c r="AP1" s="680"/>
      <c r="AQ1" s="680"/>
      <c r="AR1" s="680"/>
      <c r="AS1" s="680"/>
      <c r="AT1" s="680"/>
      <c r="AV1" s="611" t="s">
        <v>98</v>
      </c>
      <c r="AW1" s="612"/>
    </row>
    <row r="2" spans="2:49" ht="12.75" customHeight="1" thickBot="1" x14ac:dyDescent="0.3">
      <c r="B2" s="8"/>
      <c r="G2" t="s">
        <v>139</v>
      </c>
      <c r="H2" t="s">
        <v>139</v>
      </c>
      <c r="I2" t="s">
        <v>139</v>
      </c>
      <c r="J2" t="s">
        <v>962</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 thickBot="1" x14ac:dyDescent="0.3">
      <c r="B3" s="679" t="s">
        <v>119</v>
      </c>
      <c r="C3" s="679"/>
      <c r="D3" s="562" t="str">
        <f ca="1">IF(COUNTIF(D4:D13,"◄")=0,"","Falta preencher a linha "&amp;MATCH("◄",D4:D13,0)+ROW(D3))</f>
        <v>Falta preencher a linha 4</v>
      </c>
      <c r="G3" t="s">
        <v>963</v>
      </c>
      <c r="H3" t="s">
        <v>965</v>
      </c>
      <c r="I3" t="s">
        <v>968</v>
      </c>
      <c r="J3" t="s">
        <v>951</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5">
      <c r="B4" s="13" t="s">
        <v>138</v>
      </c>
      <c r="C4" s="14" t="s">
        <v>139</v>
      </c>
      <c r="D4" s="563" t="str">
        <f ca="1">IF(OR(OFFSET(D4,0,-1)="",OFFSET(D4,0,-1)="(SELECIONAR)"),"◄","")</f>
        <v>◄</v>
      </c>
      <c r="G4" t="s">
        <v>964</v>
      </c>
      <c r="H4" t="s">
        <v>966</v>
      </c>
      <c r="I4" t="s">
        <v>969</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5">
      <c r="B5" s="15" t="s">
        <v>156</v>
      </c>
      <c r="C5" s="16" t="s">
        <v>999</v>
      </c>
      <c r="D5" s="563" t="str">
        <f t="shared" ref="D5:D11" ca="1" si="0">IF(OFFSET(D5,0,-1)="","◄","")</f>
        <v/>
      </c>
      <c r="H5" t="s">
        <v>967</v>
      </c>
      <c r="I5" t="s">
        <v>970</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5">
      <c r="B6" s="15" t="s">
        <v>169</v>
      </c>
      <c r="C6" s="16" t="s">
        <v>1000</v>
      </c>
      <c r="D6" s="563" t="str">
        <f t="shared" ca="1" si="0"/>
        <v/>
      </c>
      <c r="I6" t="s">
        <v>971</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5">
      <c r="B7" s="17" t="s">
        <v>180</v>
      </c>
      <c r="C7" s="18"/>
      <c r="D7" s="563" t="str">
        <f t="shared" ca="1" si="0"/>
        <v>◄</v>
      </c>
      <c r="I7" t="s">
        <v>972</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5">
      <c r="B8" s="17" t="s">
        <v>189</v>
      </c>
      <c r="C8" s="18"/>
      <c r="D8" s="563" t="str">
        <f ca="1">IF(AND(Import.TipoArredondamento="TransfereGOV",OFFSET(D8,0,-1)=""),"◄","")</f>
        <v>◄</v>
      </c>
      <c r="I8" t="s">
        <v>973</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5">
      <c r="B9" s="17" t="str">
        <f>IF(C4="FGTS","Valor de Financiamento Contratado (R$):","Valor do Repasse Contratado (R$):")</f>
        <v>Valor do Repasse Contratado (R$):</v>
      </c>
      <c r="C9" s="19">
        <v>1000000</v>
      </c>
      <c r="D9" s="563" t="str">
        <f t="shared" ca="1" si="0"/>
        <v/>
      </c>
      <c r="I9" t="s">
        <v>974</v>
      </c>
      <c r="L9" s="12" t="s">
        <v>106</v>
      </c>
      <c r="U9" t="s">
        <v>198</v>
      </c>
      <c r="V9" s="7" t="s">
        <v>126</v>
      </c>
      <c r="W9" t="s">
        <v>199</v>
      </c>
      <c r="X9" s="7" t="s">
        <v>128</v>
      </c>
      <c r="AV9" t="s">
        <v>200</v>
      </c>
      <c r="AW9" t="s">
        <v>201</v>
      </c>
    </row>
    <row r="10" spans="2:49" x14ac:dyDescent="0.25">
      <c r="B10" s="17" t="s">
        <v>202</v>
      </c>
      <c r="C10" s="19">
        <v>387623.57</v>
      </c>
      <c r="D10" s="563" t="str">
        <f t="shared" ca="1" si="0"/>
        <v/>
      </c>
      <c r="L10" s="12" t="s">
        <v>107</v>
      </c>
      <c r="U10" t="s">
        <v>203</v>
      </c>
      <c r="V10" s="7" t="s">
        <v>148</v>
      </c>
      <c r="W10" t="s">
        <v>204</v>
      </c>
      <c r="X10" s="7" t="s">
        <v>121</v>
      </c>
      <c r="AV10" t="s">
        <v>205</v>
      </c>
      <c r="AW10" t="s">
        <v>206</v>
      </c>
    </row>
    <row r="11" spans="2:49" x14ac:dyDescent="0.25">
      <c r="B11" s="17" t="s">
        <v>207</v>
      </c>
      <c r="C11" s="20"/>
      <c r="D11" s="563" t="str">
        <f t="shared" ca="1" si="0"/>
        <v>◄</v>
      </c>
      <c r="L11" s="12" t="s">
        <v>108</v>
      </c>
      <c r="U11" t="s">
        <v>208</v>
      </c>
      <c r="V11" s="7" t="s">
        <v>126</v>
      </c>
      <c r="AV11" t="s">
        <v>209</v>
      </c>
      <c r="AW11" t="s">
        <v>210</v>
      </c>
    </row>
    <row r="12" spans="2:49" x14ac:dyDescent="0.25">
      <c r="B12" s="17" t="s">
        <v>211</v>
      </c>
      <c r="C12" s="19"/>
      <c r="L12" s="12" t="s">
        <v>109</v>
      </c>
      <c r="U12" t="s">
        <v>129</v>
      </c>
      <c r="V12" s="7" t="s">
        <v>121</v>
      </c>
      <c r="AV12" t="s">
        <v>212</v>
      </c>
      <c r="AW12" t="s">
        <v>213</v>
      </c>
    </row>
    <row r="13" spans="2:49" ht="13.8" thickBot="1" x14ac:dyDescent="0.3">
      <c r="B13" s="21" t="s">
        <v>214</v>
      </c>
      <c r="C13" s="22"/>
      <c r="L13" s="12" t="s">
        <v>110</v>
      </c>
      <c r="U13" t="s">
        <v>215</v>
      </c>
      <c r="V13" s="7" t="s">
        <v>126</v>
      </c>
      <c r="AV13" t="s">
        <v>216</v>
      </c>
      <c r="AW13" t="s">
        <v>217</v>
      </c>
    </row>
    <row r="14" spans="2:49" ht="13.8" thickBot="1" x14ac:dyDescent="0.3">
      <c r="C14" s="23"/>
      <c r="L14" s="12" t="s">
        <v>111</v>
      </c>
      <c r="AV14" t="s">
        <v>218</v>
      </c>
      <c r="AW14" t="s">
        <v>219</v>
      </c>
    </row>
    <row r="15" spans="2:49" ht="15" thickBot="1" x14ac:dyDescent="0.3">
      <c r="B15" s="679" t="s">
        <v>220</v>
      </c>
      <c r="C15" s="679"/>
      <c r="D15" s="562" t="str">
        <f ca="1">IF(COUNTIF(D16:D19,"◄")=0,"","Falta preencher a linha "&amp;MATCH("◄",D16:D19,0)+ROW(D15))</f>
        <v/>
      </c>
      <c r="L15" s="12" t="s">
        <v>112</v>
      </c>
      <c r="AV15" t="s">
        <v>221</v>
      </c>
      <c r="AW15" t="s">
        <v>222</v>
      </c>
    </row>
    <row r="16" spans="2:49" ht="26.4" x14ac:dyDescent="0.25">
      <c r="B16" s="24" t="s">
        <v>223</v>
      </c>
      <c r="C16" s="25" t="s">
        <v>1034</v>
      </c>
      <c r="D16" s="563" t="str">
        <f t="shared" ref="D16:D19" ca="1" si="1">IF(OFFSET(D16,0,-1)="","◄","")</f>
        <v/>
      </c>
      <c r="L16" s="12" t="s">
        <v>113</v>
      </c>
      <c r="AV16" t="s">
        <v>224</v>
      </c>
      <c r="AW16" t="s">
        <v>225</v>
      </c>
    </row>
    <row r="17" spans="2:49" ht="26.4" x14ac:dyDescent="0.25">
      <c r="B17" s="17" t="s">
        <v>226</v>
      </c>
      <c r="C17" s="26" t="s">
        <v>1034</v>
      </c>
      <c r="D17" s="563" t="str">
        <f t="shared" ca="1" si="1"/>
        <v/>
      </c>
      <c r="L17" s="12" t="s">
        <v>114</v>
      </c>
      <c r="AV17" t="s">
        <v>227</v>
      </c>
      <c r="AW17" t="s">
        <v>228</v>
      </c>
    </row>
    <row r="18" spans="2:49" x14ac:dyDescent="0.25">
      <c r="B18" s="17" t="s">
        <v>229</v>
      </c>
      <c r="C18" s="27" t="s">
        <v>967</v>
      </c>
      <c r="D18" s="563" t="str">
        <f ca="1">IF(OR(OFFSET(D18,0,-1)="",OFFSET(D18,0,-1)="(SELECIONAR)"),"◄","")</f>
        <v/>
      </c>
      <c r="L18" s="12" t="s">
        <v>115</v>
      </c>
      <c r="AV18" t="s">
        <v>230</v>
      </c>
      <c r="AW18" t="s">
        <v>231</v>
      </c>
    </row>
    <row r="19" spans="2:49" ht="13.8" thickBot="1" x14ac:dyDescent="0.3">
      <c r="B19" s="28" t="s">
        <v>232</v>
      </c>
      <c r="C19" s="29">
        <v>45931</v>
      </c>
      <c r="D19" s="563" t="str">
        <f t="shared" ca="1" si="1"/>
        <v/>
      </c>
      <c r="L19" s="12" t="s">
        <v>116</v>
      </c>
      <c r="AV19" t="s">
        <v>233</v>
      </c>
      <c r="AW19" t="s">
        <v>234</v>
      </c>
    </row>
    <row r="20" spans="2:49" ht="13.8" thickBot="1" x14ac:dyDescent="0.3">
      <c r="C20" s="30"/>
      <c r="L20" s="12"/>
      <c r="AV20" t="s">
        <v>235</v>
      </c>
      <c r="AW20" t="s">
        <v>236</v>
      </c>
    </row>
    <row r="21" spans="2:49" ht="15" thickBot="1" x14ac:dyDescent="0.3">
      <c r="B21" s="679" t="s">
        <v>237</v>
      </c>
      <c r="C21" s="679"/>
      <c r="D21" s="562" t="str">
        <f ca="1">IF(COUNTIF(D22:D25,"◄")=0,"","Falta preencher a linha "&amp;MATCH("◄",D22:D25,0)+ROW(D21))</f>
        <v>Falta preencher a linha 24</v>
      </c>
      <c r="L21" s="12"/>
      <c r="AV21" t="s">
        <v>238</v>
      </c>
      <c r="AW21" t="s">
        <v>239</v>
      </c>
    </row>
    <row r="22" spans="2:49" x14ac:dyDescent="0.25">
      <c r="B22" s="15" t="s">
        <v>240</v>
      </c>
      <c r="C22" s="31" t="s">
        <v>1001</v>
      </c>
      <c r="D22" s="563" t="str">
        <f t="shared" ref="D22:D24" ca="1" si="2">IF(OFFSET(D22,0,-1)="","◄","")</f>
        <v/>
      </c>
      <c r="AV22" t="s">
        <v>241</v>
      </c>
      <c r="AW22" t="s">
        <v>242</v>
      </c>
    </row>
    <row r="23" spans="2:49" x14ac:dyDescent="0.25">
      <c r="B23" s="17" t="s">
        <v>243</v>
      </c>
      <c r="C23" s="18" t="s">
        <v>1002</v>
      </c>
      <c r="D23" s="563" t="str">
        <f t="shared" ca="1" si="2"/>
        <v/>
      </c>
      <c r="AV23" t="s">
        <v>244</v>
      </c>
      <c r="AW23" t="s">
        <v>245</v>
      </c>
    </row>
    <row r="24" spans="2:49" x14ac:dyDescent="0.25">
      <c r="B24" s="17" t="s">
        <v>246</v>
      </c>
      <c r="C24" s="18"/>
      <c r="D24" s="563" t="str">
        <f t="shared" ca="1" si="2"/>
        <v>◄</v>
      </c>
      <c r="AV24" t="s">
        <v>247</v>
      </c>
      <c r="AW24" t="s">
        <v>248</v>
      </c>
    </row>
    <row r="25" spans="2:49" ht="13.8" thickBot="1" x14ac:dyDescent="0.3">
      <c r="B25" s="21" t="s">
        <v>249</v>
      </c>
      <c r="C25" s="32">
        <v>46034</v>
      </c>
      <c r="D25" s="563" t="s">
        <v>250</v>
      </c>
      <c r="AV25" t="s">
        <v>251</v>
      </c>
      <c r="AW25" t="s">
        <v>252</v>
      </c>
    </row>
    <row r="26" spans="2:49" ht="13.8" thickBot="1" x14ac:dyDescent="0.3">
      <c r="AV26" t="s">
        <v>253</v>
      </c>
      <c r="AW26" t="s">
        <v>254</v>
      </c>
    </row>
    <row r="27" spans="2:49" ht="15" thickBot="1" x14ac:dyDescent="0.3">
      <c r="B27" s="679" t="s">
        <v>255</v>
      </c>
      <c r="C27" s="679"/>
      <c r="D27" s="562" t="str">
        <f ca="1">IF(COUNTIF(D28:D29,"◄")=0,"","Falta preencher a linha "&amp;MATCH("◄",D28:D29,0)+ROW(D27))</f>
        <v/>
      </c>
      <c r="AV27" t="s">
        <v>256</v>
      </c>
      <c r="AW27" t="s">
        <v>257</v>
      </c>
    </row>
    <row r="28" spans="2:49" x14ac:dyDescent="0.25">
      <c r="B28" s="13" t="s">
        <v>240</v>
      </c>
      <c r="C28" s="33" t="s">
        <v>1003</v>
      </c>
      <c r="D28" s="563" t="str">
        <f t="shared" ref="D28:D29" ca="1" si="3">IF(OFFSET(D28,0,-1)="","◄","")</f>
        <v/>
      </c>
      <c r="AV28" t="s">
        <v>258</v>
      </c>
      <c r="AW28" t="s">
        <v>259</v>
      </c>
    </row>
    <row r="29" spans="2:49" ht="13.8" thickBot="1" x14ac:dyDescent="0.3">
      <c r="B29" s="21" t="s">
        <v>260</v>
      </c>
      <c r="C29" s="34" t="s">
        <v>1004</v>
      </c>
      <c r="D29" s="563" t="str">
        <f t="shared" ca="1" si="3"/>
        <v/>
      </c>
      <c r="AV29" t="s">
        <v>261</v>
      </c>
      <c r="AW29" t="s">
        <v>262</v>
      </c>
    </row>
    <row r="30" spans="2:49" ht="16.2" thickBot="1" x14ac:dyDescent="0.3">
      <c r="B30" s="8"/>
      <c r="AV30" t="s">
        <v>263</v>
      </c>
      <c r="AW30" t="s">
        <v>262</v>
      </c>
    </row>
    <row r="31" spans="2:49" ht="13.8" thickBot="1" x14ac:dyDescent="0.3">
      <c r="B31" s="474" t="s">
        <v>264</v>
      </c>
      <c r="C31" s="475" t="s">
        <v>951</v>
      </c>
      <c r="D31" s="563" t="str">
        <f ca="1">IF(OFFSET(D31,0,-1)="","◄ Falta definir o método de arredondamento.","")</f>
        <v/>
      </c>
      <c r="AV31" t="s">
        <v>265</v>
      </c>
      <c r="AW31" t="s">
        <v>266</v>
      </c>
    </row>
    <row r="32" spans="2:49" ht="12.75" customHeight="1" x14ac:dyDescent="0.25">
      <c r="B32" s="8"/>
      <c r="AV32" t="s">
        <v>267</v>
      </c>
      <c r="AW32" t="s">
        <v>268</v>
      </c>
    </row>
    <row r="33" spans="2:49" ht="12.75" customHeight="1" x14ac:dyDescent="0.25">
      <c r="B33" s="8" t="s">
        <v>269</v>
      </c>
      <c r="AV33" t="s">
        <v>270</v>
      </c>
      <c r="AW33" t="s">
        <v>271</v>
      </c>
    </row>
    <row r="34" spans="2:49" ht="16.2" thickBot="1" x14ac:dyDescent="0.3">
      <c r="B34" s="8"/>
      <c r="AV34" t="s">
        <v>272</v>
      </c>
      <c r="AW34" t="s">
        <v>270</v>
      </c>
    </row>
    <row r="35" spans="2:49" ht="12.75" customHeight="1" thickBot="1" x14ac:dyDescent="0.3">
      <c r="B35" s="679" t="s">
        <v>273</v>
      </c>
      <c r="C35" s="679"/>
      <c r="D35" s="562" t="str">
        <f ca="1">IF(COUNTIF(D36:D39,"◄")=0,"","Falta preencher a linha "&amp;MATCH("◄",D36:D39,0)+ROW(D35))</f>
        <v/>
      </c>
      <c r="AV35" t="s">
        <v>274</v>
      </c>
      <c r="AW35" t="s">
        <v>275</v>
      </c>
    </row>
    <row r="36" spans="2:49" x14ac:dyDescent="0.25">
      <c r="B36" s="13" t="s">
        <v>276</v>
      </c>
      <c r="C36" s="35"/>
      <c r="D36" s="563" t="str">
        <f ca="1">IF(AND(TIPOORCAMENTO="Licitado",OFFSET(D36,0,-1)=""),"◄","")</f>
        <v/>
      </c>
      <c r="AV36" t="s">
        <v>277</v>
      </c>
      <c r="AW36" t="s">
        <v>278</v>
      </c>
    </row>
    <row r="37" spans="2:49" x14ac:dyDescent="0.25">
      <c r="B37" s="15" t="s">
        <v>279</v>
      </c>
      <c r="C37" s="16"/>
      <c r="D37" s="563" t="str">
        <f ca="1">IF(AND(TIPOORCAMENTO="Licitado",OFFSET(D37,0,-1)=""),"◄","")</f>
        <v/>
      </c>
      <c r="AV37" t="s">
        <v>280</v>
      </c>
      <c r="AW37" t="s">
        <v>281</v>
      </c>
    </row>
    <row r="38" spans="2:49" x14ac:dyDescent="0.25">
      <c r="B38" s="17" t="s">
        <v>282</v>
      </c>
      <c r="C38" s="18"/>
      <c r="D38" s="563" t="str">
        <f ca="1">IF(AND(TIPOORCAMENTO="Licitado",OFFSET(D38,0,-1)=""),"◄","")</f>
        <v/>
      </c>
      <c r="AV38" t="s">
        <v>283</v>
      </c>
      <c r="AW38" t="s">
        <v>284</v>
      </c>
    </row>
    <row r="39" spans="2:49" x14ac:dyDescent="0.25">
      <c r="B39" s="17" t="s">
        <v>285</v>
      </c>
      <c r="C39" s="18"/>
      <c r="D39" s="563" t="str">
        <f ca="1">IF(AND(TIPOORCAMENTO="Licitado",OFFSET(D39,0,-1)=""),"◄","")</f>
        <v/>
      </c>
      <c r="AV39" t="s">
        <v>286</v>
      </c>
      <c r="AW39" t="s">
        <v>287</v>
      </c>
    </row>
    <row r="40" spans="2:49" x14ac:dyDescent="0.25">
      <c r="B40" s="17" t="s">
        <v>288</v>
      </c>
      <c r="C40" s="27" t="s">
        <v>139</v>
      </c>
      <c r="D40" s="563" t="str">
        <f ca="1">IF(AND(TIPOORCAMENTO="Licitado",OR(OFFSET(D40,0,-1)="",OFFSET(D40,0,-1)="(SELECIONAR)")),"◄","")</f>
        <v/>
      </c>
      <c r="AV40" t="s">
        <v>289</v>
      </c>
      <c r="AW40" t="s">
        <v>290</v>
      </c>
    </row>
    <row r="41" spans="2:49" ht="13.8" thickBot="1" x14ac:dyDescent="0.3">
      <c r="B41" s="28" t="s">
        <v>291</v>
      </c>
      <c r="C41" s="36"/>
      <c r="D41" s="563" t="str">
        <f ca="1">IF(AND(TIPOORCAMENTO="Licitado",OFFSET(D41,0,-1)=""),"◄","")</f>
        <v/>
      </c>
      <c r="AV41" t="s">
        <v>292</v>
      </c>
      <c r="AW41" t="s">
        <v>293</v>
      </c>
    </row>
    <row r="42" spans="2:49" ht="15.6" x14ac:dyDescent="0.25">
      <c r="B42" s="8"/>
      <c r="AV42" t="s">
        <v>294</v>
      </c>
      <c r="AW42" t="s">
        <v>295</v>
      </c>
    </row>
    <row r="43" spans="2:49" ht="12.75" customHeight="1" x14ac:dyDescent="0.25">
      <c r="B43" s="8"/>
      <c r="AV43" t="s">
        <v>296</v>
      </c>
      <c r="AW43" t="s">
        <v>297</v>
      </c>
    </row>
    <row r="44" spans="2:49" ht="12.75" customHeight="1" x14ac:dyDescent="0.25">
      <c r="B44" s="8" t="s">
        <v>298</v>
      </c>
      <c r="AV44" t="s">
        <v>299</v>
      </c>
      <c r="AW44" t="s">
        <v>300</v>
      </c>
    </row>
    <row r="45" spans="2:49" ht="16.2" thickBot="1" x14ac:dyDescent="0.3">
      <c r="B45" s="8"/>
      <c r="AV45" t="s">
        <v>301</v>
      </c>
      <c r="AW45" t="s">
        <v>302</v>
      </c>
    </row>
    <row r="46" spans="2:49" ht="12.75" customHeight="1" thickBot="1" x14ac:dyDescent="0.3">
      <c r="B46" s="679" t="s">
        <v>303</v>
      </c>
      <c r="C46" s="679"/>
      <c r="D46" s="562" t="str">
        <f ca="1">IF(COUNTIF(D47:D48,"◄")=0,"","Falta preencher a linha "&amp;MATCH("◄",D47:D48,0)+ROW(D46))</f>
        <v/>
      </c>
      <c r="AV46" t="s">
        <v>304</v>
      </c>
      <c r="AW46" t="s">
        <v>305</v>
      </c>
    </row>
    <row r="47" spans="2:49" x14ac:dyDescent="0.25">
      <c r="B47" s="13" t="s">
        <v>306</v>
      </c>
      <c r="C47" s="35"/>
      <c r="D47" s="563" t="str">
        <f ca="1">IF(AND(TIPOORCAMENTO="Licitado",OFFSET(D47,0,-1)="",IFERROR(RRE!$O$28,0)&gt;0),"◄","")</f>
        <v/>
      </c>
      <c r="AV47" t="s">
        <v>307</v>
      </c>
      <c r="AW47" t="s">
        <v>308</v>
      </c>
    </row>
    <row r="48" spans="2:49" ht="13.8" thickBot="1" x14ac:dyDescent="0.3">
      <c r="B48" s="28" t="s">
        <v>309</v>
      </c>
      <c r="C48" s="37"/>
      <c r="D48" s="563" t="str">
        <f ca="1">IF(AND(TIPOORCAMENTO="Licitado",OFFSET(D48,0,-1)="",IFERROR(RRE!$O$28,0)&gt;0),"◄","")</f>
        <v/>
      </c>
      <c r="AV48" t="s">
        <v>310</v>
      </c>
      <c r="AW48" t="s">
        <v>311</v>
      </c>
    </row>
    <row r="49" spans="2:49" ht="16.2" thickBot="1" x14ac:dyDescent="0.3">
      <c r="B49" s="8"/>
      <c r="AV49" t="s">
        <v>312</v>
      </c>
      <c r="AW49" t="s">
        <v>313</v>
      </c>
    </row>
    <row r="50" spans="2:49" ht="12.75" customHeight="1" thickBot="1" x14ac:dyDescent="0.3">
      <c r="B50" s="679" t="s">
        <v>314</v>
      </c>
      <c r="C50" s="679"/>
      <c r="D50" s="562" t="str">
        <f ca="1">IF(COUNTIF(D51:D54,"◄")=0,"","Falta preencher a linha "&amp;MATCH("◄",D51:D54,0)+ROW(D50))</f>
        <v/>
      </c>
      <c r="AV50" t="s">
        <v>315</v>
      </c>
      <c r="AW50" t="s">
        <v>316</v>
      </c>
    </row>
    <row r="51" spans="2:49" x14ac:dyDescent="0.25">
      <c r="B51" s="13" t="s">
        <v>240</v>
      </c>
      <c r="C51" s="38"/>
      <c r="D51" s="563" t="str">
        <f ca="1">IF(AND(TIPOORCAMENTO="Licitado",OFFSET(D51,0,-1)="",IFERROR(RRE!$O$28,0)&gt;0),"◄","")</f>
        <v/>
      </c>
      <c r="AV51" t="s">
        <v>317</v>
      </c>
      <c r="AW51" t="s">
        <v>318</v>
      </c>
    </row>
    <row r="52" spans="2:49" x14ac:dyDescent="0.25">
      <c r="B52" s="17" t="s">
        <v>319</v>
      </c>
      <c r="C52" s="18"/>
      <c r="D52" s="563" t="str">
        <f ca="1">IF(AND(TIPOORCAMENTO="Licitado",OFFSET(D52,0,-1)="",IFERROR(RRE!$O$28,0)&gt;0),"◄","")</f>
        <v/>
      </c>
      <c r="AV52" t="s">
        <v>320</v>
      </c>
      <c r="AW52" t="s">
        <v>321</v>
      </c>
    </row>
    <row r="53" spans="2:49" x14ac:dyDescent="0.25">
      <c r="B53" s="17" t="s">
        <v>322</v>
      </c>
      <c r="C53" s="18"/>
      <c r="D53" s="563" t="str">
        <f ca="1">IF(AND(TIPOORCAMENTO="Licitado",OFFSET(D53,0,-1)="",IFERROR(RRE!$O$28,0)&gt;0),"◄","")</f>
        <v/>
      </c>
      <c r="AV53" t="s">
        <v>323</v>
      </c>
      <c r="AW53" t="s">
        <v>324</v>
      </c>
    </row>
    <row r="54" spans="2:49" ht="13.8" thickBot="1" x14ac:dyDescent="0.3">
      <c r="B54" s="21" t="s">
        <v>325</v>
      </c>
      <c r="C54" s="39"/>
      <c r="D54" s="563" t="str">
        <f ca="1">IF(AND(TIPOORCAMENTO="Licitado",OFFSET(D54,0,-1)="",IFERROR(RRE!$O$28,0)&gt;0),"◄","")</f>
        <v/>
      </c>
      <c r="AV54" t="s">
        <v>326</v>
      </c>
      <c r="AW54" t="s">
        <v>327</v>
      </c>
    </row>
    <row r="55" spans="2:49" x14ac:dyDescent="0.25">
      <c r="C55" s="30"/>
      <c r="AV55" t="s">
        <v>328</v>
      </c>
      <c r="AW55" t="s">
        <v>329</v>
      </c>
    </row>
    <row r="56" spans="2:49" x14ac:dyDescent="0.25">
      <c r="AV56" t="s">
        <v>330</v>
      </c>
      <c r="AW56" t="s">
        <v>331</v>
      </c>
    </row>
    <row r="57" spans="2:49" ht="15.6" x14ac:dyDescent="0.25">
      <c r="B57" s="8" t="s">
        <v>332</v>
      </c>
      <c r="AV57" t="s">
        <v>333</v>
      </c>
      <c r="AW57" t="s">
        <v>334</v>
      </c>
    </row>
    <row r="58" spans="2:49" ht="16.2" thickBot="1" x14ac:dyDescent="0.3">
      <c r="B58" s="8"/>
      <c r="AV58" t="s">
        <v>335</v>
      </c>
      <c r="AW58" t="s">
        <v>336</v>
      </c>
    </row>
    <row r="59" spans="2:49" ht="15" thickBot="1" x14ac:dyDescent="0.3">
      <c r="B59" s="679" t="s">
        <v>337</v>
      </c>
      <c r="C59" s="679"/>
      <c r="AV59" t="s">
        <v>338</v>
      </c>
      <c r="AW59" t="s">
        <v>339</v>
      </c>
    </row>
    <row r="60" spans="2:49" x14ac:dyDescent="0.25">
      <c r="B60" s="13" t="s">
        <v>240</v>
      </c>
      <c r="C60" s="38"/>
      <c r="AV60" t="s">
        <v>340</v>
      </c>
      <c r="AW60" t="s">
        <v>341</v>
      </c>
    </row>
    <row r="61" spans="2:49" ht="13.8" thickBot="1" x14ac:dyDescent="0.3">
      <c r="B61" s="28" t="s">
        <v>342</v>
      </c>
      <c r="C61" s="40"/>
      <c r="AV61" t="s">
        <v>343</v>
      </c>
      <c r="AW61" t="s">
        <v>344</v>
      </c>
    </row>
    <row r="62" spans="2:49" x14ac:dyDescent="0.25">
      <c r="AV62" t="s">
        <v>345</v>
      </c>
      <c r="AW62" t="s">
        <v>346</v>
      </c>
    </row>
    <row r="63" spans="2:49" x14ac:dyDescent="0.25">
      <c r="AV63" t="s">
        <v>347</v>
      </c>
      <c r="AW63" t="s">
        <v>348</v>
      </c>
    </row>
    <row r="64" spans="2:49" x14ac:dyDescent="0.25">
      <c r="AV64" t="s">
        <v>349</v>
      </c>
      <c r="AW64" t="s">
        <v>350</v>
      </c>
    </row>
    <row r="65" spans="48:49" x14ac:dyDescent="0.25">
      <c r="AV65" t="s">
        <v>351</v>
      </c>
      <c r="AW65" t="s">
        <v>352</v>
      </c>
    </row>
    <row r="66" spans="48:49" x14ac:dyDescent="0.25">
      <c r="AV66" t="s">
        <v>353</v>
      </c>
      <c r="AW66" t="s">
        <v>354</v>
      </c>
    </row>
    <row r="67" spans="48:49" x14ac:dyDescent="0.25">
      <c r="AV67" t="s">
        <v>355</v>
      </c>
      <c r="AW67" t="s">
        <v>356</v>
      </c>
    </row>
    <row r="68" spans="48:49" x14ac:dyDescent="0.25">
      <c r="AV68" t="s">
        <v>357</v>
      </c>
      <c r="AW68" t="s">
        <v>358</v>
      </c>
    </row>
    <row r="69" spans="48:49" x14ac:dyDescent="0.25">
      <c r="AV69" t="s">
        <v>359</v>
      </c>
      <c r="AW69" t="s">
        <v>360</v>
      </c>
    </row>
    <row r="70" spans="48:49" x14ac:dyDescent="0.25">
      <c r="AV70" t="s">
        <v>361</v>
      </c>
      <c r="AW70" t="s">
        <v>362</v>
      </c>
    </row>
    <row r="71" spans="48:49" x14ac:dyDescent="0.25">
      <c r="AV71" t="s">
        <v>363</v>
      </c>
      <c r="AW71" t="s">
        <v>364</v>
      </c>
    </row>
    <row r="72" spans="48:49" x14ac:dyDescent="0.25">
      <c r="AV72" t="s">
        <v>365</v>
      </c>
      <c r="AW72" t="s">
        <v>366</v>
      </c>
    </row>
    <row r="73" spans="48:49" x14ac:dyDescent="0.25">
      <c r="AV73" t="s">
        <v>367</v>
      </c>
      <c r="AW73" t="s">
        <v>368</v>
      </c>
    </row>
    <row r="74" spans="48:49" x14ac:dyDescent="0.25">
      <c r="AV74" t="s">
        <v>369</v>
      </c>
      <c r="AW74" t="s">
        <v>370</v>
      </c>
    </row>
    <row r="75" spans="48:49" x14ac:dyDescent="0.25">
      <c r="AV75" t="s">
        <v>371</v>
      </c>
      <c r="AW75" t="s">
        <v>372</v>
      </c>
    </row>
    <row r="76" spans="48:49" x14ac:dyDescent="0.25">
      <c r="AV76" t="s">
        <v>373</v>
      </c>
      <c r="AW76" t="s">
        <v>374</v>
      </c>
    </row>
    <row r="77" spans="48:49" x14ac:dyDescent="0.25">
      <c r="AV77" t="s">
        <v>375</v>
      </c>
      <c r="AW77" t="s">
        <v>376</v>
      </c>
    </row>
    <row r="78" spans="48:49" x14ac:dyDescent="0.25">
      <c r="AV78" t="s">
        <v>377</v>
      </c>
      <c r="AW78" t="s">
        <v>378</v>
      </c>
    </row>
    <row r="79" spans="48:49" x14ac:dyDescent="0.25">
      <c r="AV79" t="s">
        <v>379</v>
      </c>
      <c r="AW79" t="s">
        <v>380</v>
      </c>
    </row>
    <row r="80" spans="48:49" x14ac:dyDescent="0.25">
      <c r="AV80" t="s">
        <v>381</v>
      </c>
      <c r="AW80" t="s">
        <v>382</v>
      </c>
    </row>
    <row r="81" spans="48:49" x14ac:dyDescent="0.25">
      <c r="AV81" t="s">
        <v>383</v>
      </c>
      <c r="AW81" t="s">
        <v>384</v>
      </c>
    </row>
    <row r="82" spans="48:49" x14ac:dyDescent="0.25">
      <c r="AV82" t="s">
        <v>385</v>
      </c>
      <c r="AW82" t="s">
        <v>386</v>
      </c>
    </row>
    <row r="83" spans="48:49" x14ac:dyDescent="0.25">
      <c r="AV83" t="s">
        <v>387</v>
      </c>
      <c r="AW83" t="s">
        <v>388</v>
      </c>
    </row>
    <row r="84" spans="48:49" x14ac:dyDescent="0.25">
      <c r="AV84" t="s">
        <v>389</v>
      </c>
      <c r="AW84" t="s">
        <v>390</v>
      </c>
    </row>
    <row r="85" spans="48:49" x14ac:dyDescent="0.25">
      <c r="AV85" t="s">
        <v>391</v>
      </c>
      <c r="AW85" t="s">
        <v>392</v>
      </c>
    </row>
    <row r="86" spans="48:49" x14ac:dyDescent="0.25">
      <c r="AV86" t="s">
        <v>393</v>
      </c>
      <c r="AW86" t="s">
        <v>394</v>
      </c>
    </row>
    <row r="87" spans="48:49" x14ac:dyDescent="0.25">
      <c r="AV87" t="s">
        <v>395</v>
      </c>
      <c r="AW87" t="s">
        <v>396</v>
      </c>
    </row>
    <row r="88" spans="48:49" x14ac:dyDescent="0.25">
      <c r="AV88" t="s">
        <v>397</v>
      </c>
      <c r="AW88" t="s">
        <v>398</v>
      </c>
    </row>
    <row r="89" spans="48:49" x14ac:dyDescent="0.25">
      <c r="AV89" t="s">
        <v>399</v>
      </c>
      <c r="AW89" t="s">
        <v>400</v>
      </c>
    </row>
    <row r="90" spans="48:49" x14ac:dyDescent="0.25">
      <c r="AV90" t="s">
        <v>401</v>
      </c>
      <c r="AW90" t="s">
        <v>402</v>
      </c>
    </row>
    <row r="91" spans="48:49" x14ac:dyDescent="0.25">
      <c r="AV91" t="s">
        <v>403</v>
      </c>
      <c r="AW91" t="s">
        <v>404</v>
      </c>
    </row>
    <row r="92" spans="48:49" x14ac:dyDescent="0.25">
      <c r="AV92" t="s">
        <v>405</v>
      </c>
      <c r="AW92" t="s">
        <v>406</v>
      </c>
    </row>
    <row r="93" spans="48:49" x14ac:dyDescent="0.25">
      <c r="AV93" t="s">
        <v>407</v>
      </c>
      <c r="AW93" t="s">
        <v>408</v>
      </c>
    </row>
    <row r="94" spans="48:49" x14ac:dyDescent="0.25">
      <c r="AV94" t="s">
        <v>409</v>
      </c>
      <c r="AW94" t="s">
        <v>410</v>
      </c>
    </row>
    <row r="95" spans="48:49" x14ac:dyDescent="0.25">
      <c r="AV95" t="s">
        <v>411</v>
      </c>
      <c r="AW95" t="s">
        <v>411</v>
      </c>
    </row>
    <row r="96" spans="48:49" x14ac:dyDescent="0.25">
      <c r="AV96" t="s">
        <v>412</v>
      </c>
      <c r="AW96" t="s">
        <v>413</v>
      </c>
    </row>
    <row r="97" spans="48:49" x14ac:dyDescent="0.25">
      <c r="AV97" t="s">
        <v>414</v>
      </c>
      <c r="AW97" t="s">
        <v>415</v>
      </c>
    </row>
    <row r="98" spans="48:49" x14ac:dyDescent="0.25">
      <c r="AV98" t="s">
        <v>416</v>
      </c>
      <c r="AW98" t="s">
        <v>416</v>
      </c>
    </row>
    <row r="99" spans="48:49" x14ac:dyDescent="0.25">
      <c r="AV99" t="s">
        <v>417</v>
      </c>
      <c r="AW99" t="s">
        <v>417</v>
      </c>
    </row>
    <row r="100" spans="48:49" x14ac:dyDescent="0.25">
      <c r="AV100" t="s">
        <v>417</v>
      </c>
      <c r="AW100" t="s">
        <v>417</v>
      </c>
    </row>
    <row r="101" spans="48:49" x14ac:dyDescent="0.25">
      <c r="AV101" t="s">
        <v>418</v>
      </c>
      <c r="AW101" t="s">
        <v>419</v>
      </c>
    </row>
    <row r="102" spans="48:49" x14ac:dyDescent="0.25">
      <c r="AV102" t="s">
        <v>420</v>
      </c>
      <c r="AW102" t="s">
        <v>421</v>
      </c>
    </row>
    <row r="103" spans="48:49" x14ac:dyDescent="0.25">
      <c r="AV103" t="s">
        <v>422</v>
      </c>
      <c r="AW103" t="s">
        <v>423</v>
      </c>
    </row>
    <row r="104" spans="48:49" x14ac:dyDescent="0.25">
      <c r="AV104" t="s">
        <v>424</v>
      </c>
      <c r="AW104" t="s">
        <v>425</v>
      </c>
    </row>
    <row r="105" spans="48:49" x14ac:dyDescent="0.25">
      <c r="AV105" t="s">
        <v>426</v>
      </c>
      <c r="AW105" t="s">
        <v>427</v>
      </c>
    </row>
    <row r="106" spans="48:49" x14ac:dyDescent="0.25">
      <c r="AV106" t="s">
        <v>428</v>
      </c>
      <c r="AW106" t="s">
        <v>429</v>
      </c>
    </row>
    <row r="107" spans="48:49" x14ac:dyDescent="0.25">
      <c r="AV107" t="s">
        <v>430</v>
      </c>
      <c r="AW107" t="s">
        <v>431</v>
      </c>
    </row>
    <row r="108" spans="48:49" x14ac:dyDescent="0.25">
      <c r="AV108" t="s">
        <v>432</v>
      </c>
      <c r="AW108" t="s">
        <v>433</v>
      </c>
    </row>
    <row r="109" spans="48:49" x14ac:dyDescent="0.25">
      <c r="AV109" t="s">
        <v>434</v>
      </c>
      <c r="AW109" t="s">
        <v>435</v>
      </c>
    </row>
    <row r="110" spans="48:49" x14ac:dyDescent="0.25">
      <c r="AV110" t="s">
        <v>436</v>
      </c>
      <c r="AW110" t="s">
        <v>437</v>
      </c>
    </row>
    <row r="111" spans="48:49" x14ac:dyDescent="0.25">
      <c r="AV111" t="s">
        <v>438</v>
      </c>
      <c r="AW111" t="s">
        <v>439</v>
      </c>
    </row>
    <row r="112" spans="48:49" x14ac:dyDescent="0.25">
      <c r="AV112" t="s">
        <v>440</v>
      </c>
      <c r="AW112" t="s">
        <v>441</v>
      </c>
    </row>
    <row r="113" spans="48:49" x14ac:dyDescent="0.25">
      <c r="AV113" t="s">
        <v>442</v>
      </c>
      <c r="AW113" t="s">
        <v>443</v>
      </c>
    </row>
    <row r="114" spans="48:49" x14ac:dyDescent="0.25">
      <c r="AV114" t="s">
        <v>444</v>
      </c>
      <c r="AW114" t="s">
        <v>445</v>
      </c>
    </row>
    <row r="115" spans="48:49" x14ac:dyDescent="0.25">
      <c r="AV115" t="s">
        <v>446</v>
      </c>
      <c r="AW115" t="s">
        <v>447</v>
      </c>
    </row>
    <row r="116" spans="48:49" x14ac:dyDescent="0.25">
      <c r="AV116" t="s">
        <v>448</v>
      </c>
      <c r="AW116" t="s">
        <v>449</v>
      </c>
    </row>
    <row r="117" spans="48:49" x14ac:dyDescent="0.25">
      <c r="AV117" t="s">
        <v>450</v>
      </c>
      <c r="AW117" t="s">
        <v>451</v>
      </c>
    </row>
    <row r="118" spans="48:49" x14ac:dyDescent="0.25">
      <c r="AV118" t="s">
        <v>452</v>
      </c>
      <c r="AW118" t="s">
        <v>453</v>
      </c>
    </row>
    <row r="119" spans="48:49" x14ac:dyDescent="0.25">
      <c r="AV119" t="s">
        <v>454</v>
      </c>
      <c r="AW119" t="s">
        <v>454</v>
      </c>
    </row>
    <row r="120" spans="48:49" x14ac:dyDescent="0.25">
      <c r="AV120" t="s">
        <v>455</v>
      </c>
      <c r="AW120" t="s">
        <v>455</v>
      </c>
    </row>
    <row r="121" spans="48:49" x14ac:dyDescent="0.25">
      <c r="AV121" t="s">
        <v>456</v>
      </c>
      <c r="AW121" t="s">
        <v>457</v>
      </c>
    </row>
    <row r="122" spans="48:49" x14ac:dyDescent="0.25">
      <c r="AV122" t="s">
        <v>458</v>
      </c>
      <c r="AW122" t="s">
        <v>459</v>
      </c>
    </row>
    <row r="123" spans="48:49" x14ac:dyDescent="0.25">
      <c r="AV123" t="s">
        <v>460</v>
      </c>
      <c r="AW123" t="s">
        <v>461</v>
      </c>
    </row>
    <row r="124" spans="48:49" x14ac:dyDescent="0.25">
      <c r="AV124" t="s">
        <v>462</v>
      </c>
      <c r="AW124" t="s">
        <v>463</v>
      </c>
    </row>
    <row r="125" spans="48:49" x14ac:dyDescent="0.25">
      <c r="AV125" t="s">
        <v>464</v>
      </c>
      <c r="AW125" t="s">
        <v>465</v>
      </c>
    </row>
    <row r="126" spans="48:49" x14ac:dyDescent="0.25">
      <c r="AV126" t="s">
        <v>466</v>
      </c>
      <c r="AW126" t="s">
        <v>467</v>
      </c>
    </row>
    <row r="127" spans="48:49" x14ac:dyDescent="0.25">
      <c r="AV127" t="s">
        <v>468</v>
      </c>
      <c r="AW127" t="s">
        <v>469</v>
      </c>
    </row>
    <row r="128" spans="48:49" x14ac:dyDescent="0.25">
      <c r="AV128" t="s">
        <v>470</v>
      </c>
      <c r="AW128" t="s">
        <v>471</v>
      </c>
    </row>
    <row r="129" spans="48:49" x14ac:dyDescent="0.25">
      <c r="AV129" t="s">
        <v>472</v>
      </c>
      <c r="AW129" t="s">
        <v>473</v>
      </c>
    </row>
    <row r="130" spans="48:49" x14ac:dyDescent="0.25">
      <c r="AV130" t="s">
        <v>474</v>
      </c>
      <c r="AW130" t="s">
        <v>475</v>
      </c>
    </row>
    <row r="131" spans="48:49" x14ac:dyDescent="0.25">
      <c r="AV131" t="s">
        <v>476</v>
      </c>
      <c r="AW131" t="s">
        <v>477</v>
      </c>
    </row>
    <row r="132" spans="48:49" x14ac:dyDescent="0.25">
      <c r="AV132" t="s">
        <v>478</v>
      </c>
      <c r="AW132" t="s">
        <v>479</v>
      </c>
    </row>
    <row r="133" spans="48:49" x14ac:dyDescent="0.25">
      <c r="AV133" t="s">
        <v>480</v>
      </c>
      <c r="AW133" t="s">
        <v>481</v>
      </c>
    </row>
    <row r="134" spans="48:49" x14ac:dyDescent="0.25">
      <c r="AV134" t="s">
        <v>482</v>
      </c>
      <c r="AW134" t="s">
        <v>483</v>
      </c>
    </row>
    <row r="135" spans="48:49" x14ac:dyDescent="0.25">
      <c r="AV135" t="s">
        <v>484</v>
      </c>
      <c r="AW135" t="s">
        <v>485</v>
      </c>
    </row>
    <row r="136" spans="48:49" x14ac:dyDescent="0.25">
      <c r="AV136" t="s">
        <v>486</v>
      </c>
      <c r="AW136" t="s">
        <v>487</v>
      </c>
    </row>
    <row r="137" spans="48:49" x14ac:dyDescent="0.25">
      <c r="AV137" t="s">
        <v>488</v>
      </c>
      <c r="AW137" t="s">
        <v>489</v>
      </c>
    </row>
    <row r="138" spans="48:49" x14ac:dyDescent="0.25">
      <c r="AV138" t="s">
        <v>490</v>
      </c>
      <c r="AW138" t="s">
        <v>491</v>
      </c>
    </row>
    <row r="139" spans="48:49" x14ac:dyDescent="0.25">
      <c r="AV139" t="s">
        <v>492</v>
      </c>
      <c r="AW139" t="s">
        <v>493</v>
      </c>
    </row>
    <row r="140" spans="48:49" x14ac:dyDescent="0.25">
      <c r="AV140" t="s">
        <v>494</v>
      </c>
      <c r="AW140" t="s">
        <v>495</v>
      </c>
    </row>
    <row r="141" spans="48:49" x14ac:dyDescent="0.25">
      <c r="AV141" t="s">
        <v>496</v>
      </c>
      <c r="AW141" t="s">
        <v>497</v>
      </c>
    </row>
    <row r="142" spans="48:49" x14ac:dyDescent="0.25">
      <c r="AV142" t="s">
        <v>498</v>
      </c>
      <c r="AW142" t="s">
        <v>499</v>
      </c>
    </row>
    <row r="143" spans="48:49" x14ac:dyDescent="0.25">
      <c r="AV143" t="s">
        <v>483</v>
      </c>
      <c r="AW143" t="s">
        <v>483</v>
      </c>
    </row>
    <row r="144" spans="48:49" x14ac:dyDescent="0.25">
      <c r="AV144" t="s">
        <v>500</v>
      </c>
      <c r="AW144" t="s">
        <v>500</v>
      </c>
    </row>
    <row r="145" spans="48:49" x14ac:dyDescent="0.25">
      <c r="AV145" t="s">
        <v>501</v>
      </c>
      <c r="AW145" t="s">
        <v>501</v>
      </c>
    </row>
    <row r="146" spans="48:49" x14ac:dyDescent="0.25">
      <c r="AV146" t="s">
        <v>502</v>
      </c>
      <c r="AW146" t="s">
        <v>487</v>
      </c>
    </row>
    <row r="147" spans="48:49" x14ac:dyDescent="0.25">
      <c r="AV147" t="s">
        <v>503</v>
      </c>
      <c r="AW147" t="s">
        <v>504</v>
      </c>
    </row>
    <row r="148" spans="48:49" x14ac:dyDescent="0.25">
      <c r="AV148" t="s">
        <v>505</v>
      </c>
      <c r="AW148" t="s">
        <v>506</v>
      </c>
    </row>
    <row r="149" spans="48:49" x14ac:dyDescent="0.25">
      <c r="AV149" t="s">
        <v>507</v>
      </c>
      <c r="AW149" t="s">
        <v>508</v>
      </c>
    </row>
    <row r="150" spans="48:49" x14ac:dyDescent="0.25">
      <c r="AV150" t="s">
        <v>507</v>
      </c>
      <c r="AW150" t="s">
        <v>508</v>
      </c>
    </row>
    <row r="151" spans="48:49" x14ac:dyDescent="0.25">
      <c r="AV151" t="s">
        <v>509</v>
      </c>
      <c r="AW151" t="s">
        <v>509</v>
      </c>
    </row>
    <row r="152" spans="48:49" x14ac:dyDescent="0.25">
      <c r="AV152" t="s">
        <v>510</v>
      </c>
      <c r="AW152" t="s">
        <v>511</v>
      </c>
    </row>
    <row r="153" spans="48:49" x14ac:dyDescent="0.25">
      <c r="AV153" t="s">
        <v>512</v>
      </c>
      <c r="AW153" t="s">
        <v>513</v>
      </c>
    </row>
    <row r="154" spans="48:49" x14ac:dyDescent="0.25">
      <c r="AV154" t="s">
        <v>514</v>
      </c>
      <c r="AW154" t="s">
        <v>515</v>
      </c>
    </row>
    <row r="155" spans="48:49" x14ac:dyDescent="0.25">
      <c r="AV155" t="s">
        <v>516</v>
      </c>
      <c r="AW155" t="s">
        <v>517</v>
      </c>
    </row>
    <row r="156" spans="48:49" x14ac:dyDescent="0.25">
      <c r="AV156" t="s">
        <v>518</v>
      </c>
      <c r="AW156" t="s">
        <v>519</v>
      </c>
    </row>
    <row r="157" spans="48:49" x14ac:dyDescent="0.25">
      <c r="AV157" t="s">
        <v>520</v>
      </c>
      <c r="AW157" t="s">
        <v>521</v>
      </c>
    </row>
    <row r="158" spans="48:49" x14ac:dyDescent="0.25">
      <c r="AV158" t="s">
        <v>522</v>
      </c>
      <c r="AW158" t="s">
        <v>523</v>
      </c>
    </row>
    <row r="159" spans="48:49" x14ac:dyDescent="0.25">
      <c r="AV159" t="s">
        <v>524</v>
      </c>
      <c r="AW159" t="s">
        <v>525</v>
      </c>
    </row>
    <row r="160" spans="48:49" x14ac:dyDescent="0.25">
      <c r="AV160" t="s">
        <v>526</v>
      </c>
      <c r="AW160" t="s">
        <v>527</v>
      </c>
    </row>
    <row r="161" spans="48:49" x14ac:dyDescent="0.25">
      <c r="AV161" t="s">
        <v>528</v>
      </c>
      <c r="AW161" t="s">
        <v>529</v>
      </c>
    </row>
    <row r="162" spans="48:49" x14ac:dyDescent="0.25">
      <c r="AV162" t="s">
        <v>530</v>
      </c>
      <c r="AW162" t="s">
        <v>531</v>
      </c>
    </row>
    <row r="163" spans="48:49" x14ac:dyDescent="0.25">
      <c r="AV163" t="s">
        <v>532</v>
      </c>
      <c r="AW163" t="s">
        <v>533</v>
      </c>
    </row>
    <row r="164" spans="48:49" x14ac:dyDescent="0.25">
      <c r="AV164" t="s">
        <v>534</v>
      </c>
      <c r="AW164" t="s">
        <v>535</v>
      </c>
    </row>
    <row r="165" spans="48:49" x14ac:dyDescent="0.25">
      <c r="AV165" t="s">
        <v>536</v>
      </c>
      <c r="AW165" t="s">
        <v>537</v>
      </c>
    </row>
    <row r="166" spans="48:49" x14ac:dyDescent="0.25">
      <c r="AV166" t="s">
        <v>538</v>
      </c>
      <c r="AW166" t="s">
        <v>538</v>
      </c>
    </row>
    <row r="167" spans="48:49" x14ac:dyDescent="0.25">
      <c r="AV167" t="s">
        <v>539</v>
      </c>
      <c r="AW167" t="s">
        <v>540</v>
      </c>
    </row>
    <row r="168" spans="48:49" x14ac:dyDescent="0.25">
      <c r="AV168" t="s">
        <v>541</v>
      </c>
      <c r="AW168" t="s">
        <v>542</v>
      </c>
    </row>
    <row r="169" spans="48:49" x14ac:dyDescent="0.25">
      <c r="AV169" t="s">
        <v>543</v>
      </c>
      <c r="AW169" t="s">
        <v>544</v>
      </c>
    </row>
    <row r="170" spans="48:49" x14ac:dyDescent="0.25">
      <c r="AV170" t="s">
        <v>545</v>
      </c>
      <c r="AW170" t="s">
        <v>546</v>
      </c>
    </row>
    <row r="171" spans="48:49" x14ac:dyDescent="0.25">
      <c r="AV171" t="s">
        <v>547</v>
      </c>
      <c r="AW171" t="s">
        <v>548</v>
      </c>
    </row>
    <row r="172" spans="48:49" x14ac:dyDescent="0.25">
      <c r="AV172" t="s">
        <v>549</v>
      </c>
      <c r="AW172" t="s">
        <v>550</v>
      </c>
    </row>
    <row r="173" spans="48:49" x14ac:dyDescent="0.25">
      <c r="AV173" t="s">
        <v>551</v>
      </c>
      <c r="AW173" t="s">
        <v>552</v>
      </c>
    </row>
    <row r="174" spans="48:49" x14ac:dyDescent="0.25">
      <c r="AV174" t="s">
        <v>553</v>
      </c>
      <c r="AW174" t="s">
        <v>554</v>
      </c>
    </row>
    <row r="175" spans="48:49" x14ac:dyDescent="0.25">
      <c r="AV175" t="s">
        <v>555</v>
      </c>
      <c r="AW175" t="s">
        <v>556</v>
      </c>
    </row>
    <row r="176" spans="48:49" x14ac:dyDescent="0.25">
      <c r="AV176" t="s">
        <v>557</v>
      </c>
      <c r="AW176" t="s">
        <v>558</v>
      </c>
    </row>
    <row r="177" spans="48:49" x14ac:dyDescent="0.25">
      <c r="AV177" t="s">
        <v>559</v>
      </c>
      <c r="AW177" t="s">
        <v>560</v>
      </c>
    </row>
    <row r="178" spans="48:49" x14ac:dyDescent="0.25">
      <c r="AV178" t="s">
        <v>561</v>
      </c>
      <c r="AW178" t="s">
        <v>562</v>
      </c>
    </row>
    <row r="179" spans="48:49" x14ac:dyDescent="0.25">
      <c r="AV179" t="s">
        <v>563</v>
      </c>
      <c r="AW179" t="s">
        <v>564</v>
      </c>
    </row>
    <row r="180" spans="48:49" x14ac:dyDescent="0.25">
      <c r="AV180" t="s">
        <v>565</v>
      </c>
      <c r="AW180" t="s">
        <v>566</v>
      </c>
    </row>
    <row r="181" spans="48:49" x14ac:dyDescent="0.25">
      <c r="AV181" t="s">
        <v>567</v>
      </c>
      <c r="AW181" t="s">
        <v>568</v>
      </c>
    </row>
    <row r="182" spans="48:49" x14ac:dyDescent="0.25">
      <c r="AV182" t="s">
        <v>569</v>
      </c>
      <c r="AW182" t="s">
        <v>570</v>
      </c>
    </row>
    <row r="183" spans="48:49" x14ac:dyDescent="0.25">
      <c r="AV183" t="s">
        <v>571</v>
      </c>
      <c r="AW183" t="s">
        <v>572</v>
      </c>
    </row>
    <row r="184" spans="48:49" x14ac:dyDescent="0.25">
      <c r="AV184" t="s">
        <v>573</v>
      </c>
      <c r="AW184" t="s">
        <v>574</v>
      </c>
    </row>
    <row r="185" spans="48:49" x14ac:dyDescent="0.25">
      <c r="AV185" t="s">
        <v>575</v>
      </c>
      <c r="AW185" t="s">
        <v>576</v>
      </c>
    </row>
    <row r="186" spans="48:49" x14ac:dyDescent="0.25">
      <c r="AV186" t="s">
        <v>577</v>
      </c>
      <c r="AW186" t="s">
        <v>578</v>
      </c>
    </row>
    <row r="187" spans="48:49" x14ac:dyDescent="0.25">
      <c r="AV187" t="s">
        <v>579</v>
      </c>
      <c r="AW187" t="s">
        <v>580</v>
      </c>
    </row>
    <row r="188" spans="48:49" x14ac:dyDescent="0.25">
      <c r="AV188" t="s">
        <v>581</v>
      </c>
      <c r="AW188" t="s">
        <v>582</v>
      </c>
    </row>
    <row r="189" spans="48:49" x14ac:dyDescent="0.25">
      <c r="AV189" t="s">
        <v>583</v>
      </c>
      <c r="AW189" t="s">
        <v>584</v>
      </c>
    </row>
    <row r="190" spans="48:49" x14ac:dyDescent="0.25">
      <c r="AV190" t="s">
        <v>585</v>
      </c>
      <c r="AW190" t="s">
        <v>586</v>
      </c>
    </row>
    <row r="191" spans="48:49" x14ac:dyDescent="0.25">
      <c r="AV191" t="s">
        <v>587</v>
      </c>
      <c r="AW191" t="s">
        <v>588</v>
      </c>
    </row>
    <row r="192" spans="48:49" x14ac:dyDescent="0.25">
      <c r="AV192" t="s">
        <v>589</v>
      </c>
      <c r="AW192" t="s">
        <v>590</v>
      </c>
    </row>
    <row r="193" spans="48:49" x14ac:dyDescent="0.25">
      <c r="AV193" t="s">
        <v>591</v>
      </c>
      <c r="AW193" t="s">
        <v>592</v>
      </c>
    </row>
    <row r="194" spans="48:49" x14ac:dyDescent="0.25">
      <c r="AV194" t="s">
        <v>593</v>
      </c>
      <c r="AW194" t="s">
        <v>594</v>
      </c>
    </row>
    <row r="195" spans="48:49" x14ac:dyDescent="0.25">
      <c r="AV195" t="s">
        <v>595</v>
      </c>
      <c r="AW195" t="s">
        <v>596</v>
      </c>
    </row>
    <row r="196" spans="48:49" x14ac:dyDescent="0.25">
      <c r="AV196" t="s">
        <v>597</v>
      </c>
      <c r="AW196" t="s">
        <v>598</v>
      </c>
    </row>
    <row r="197" spans="48:49" x14ac:dyDescent="0.25">
      <c r="AV197" t="s">
        <v>599</v>
      </c>
      <c r="AW197" t="s">
        <v>600</v>
      </c>
    </row>
    <row r="198" spans="48:49" x14ac:dyDescent="0.25">
      <c r="AV198" t="s">
        <v>601</v>
      </c>
      <c r="AW198" t="s">
        <v>602</v>
      </c>
    </row>
    <row r="199" spans="48:49" x14ac:dyDescent="0.25">
      <c r="AV199" t="s">
        <v>603</v>
      </c>
      <c r="AW199" t="s">
        <v>604</v>
      </c>
    </row>
    <row r="200" spans="48:49" x14ac:dyDescent="0.25">
      <c r="AV200" t="s">
        <v>605</v>
      </c>
      <c r="AW200" t="s">
        <v>606</v>
      </c>
    </row>
    <row r="201" spans="48:49" x14ac:dyDescent="0.25">
      <c r="AV201" t="s">
        <v>607</v>
      </c>
      <c r="AW201" t="s">
        <v>608</v>
      </c>
    </row>
    <row r="202" spans="48:49" x14ac:dyDescent="0.25">
      <c r="AV202" t="s">
        <v>609</v>
      </c>
      <c r="AW202" t="s">
        <v>610</v>
      </c>
    </row>
    <row r="203" spans="48:49" x14ac:dyDescent="0.25">
      <c r="AV203" t="s">
        <v>611</v>
      </c>
      <c r="AW203" t="s">
        <v>612</v>
      </c>
    </row>
    <row r="204" spans="48:49" x14ac:dyDescent="0.25">
      <c r="AV204" t="s">
        <v>613</v>
      </c>
      <c r="AW204" t="s">
        <v>614</v>
      </c>
    </row>
    <row r="205" spans="48:49" x14ac:dyDescent="0.25">
      <c r="AV205" t="s">
        <v>615</v>
      </c>
      <c r="AW205" t="s">
        <v>616</v>
      </c>
    </row>
    <row r="206" spans="48:49" x14ac:dyDescent="0.25">
      <c r="AV206" t="s">
        <v>617</v>
      </c>
      <c r="AW206" t="s">
        <v>618</v>
      </c>
    </row>
    <row r="207" spans="48:49" x14ac:dyDescent="0.25">
      <c r="AV207" t="s">
        <v>619</v>
      </c>
      <c r="AW207" t="s">
        <v>620</v>
      </c>
    </row>
    <row r="208" spans="48:49" x14ac:dyDescent="0.25">
      <c r="AV208" t="s">
        <v>621</v>
      </c>
      <c r="AW208" t="s">
        <v>622</v>
      </c>
    </row>
    <row r="209" spans="48:49" x14ac:dyDescent="0.25">
      <c r="AV209" t="s">
        <v>623</v>
      </c>
      <c r="AW209" t="s">
        <v>624</v>
      </c>
    </row>
    <row r="210" spans="48:49" x14ac:dyDescent="0.25">
      <c r="AV210" t="s">
        <v>625</v>
      </c>
      <c r="AW210" t="s">
        <v>626</v>
      </c>
    </row>
    <row r="211" spans="48:49" x14ac:dyDescent="0.25">
      <c r="AV211" t="s">
        <v>627</v>
      </c>
      <c r="AW211" t="s">
        <v>627</v>
      </c>
    </row>
    <row r="212" spans="48:49" x14ac:dyDescent="0.25">
      <c r="AV212" t="s">
        <v>628</v>
      </c>
      <c r="AW212" t="s">
        <v>628</v>
      </c>
    </row>
    <row r="213" spans="48:49" x14ac:dyDescent="0.25">
      <c r="AV213" t="s">
        <v>629</v>
      </c>
      <c r="AW213" t="s">
        <v>630</v>
      </c>
    </row>
    <row r="214" spans="48:49" x14ac:dyDescent="0.25">
      <c r="AV214" t="s">
        <v>631</v>
      </c>
      <c r="AW214" t="s">
        <v>630</v>
      </c>
    </row>
    <row r="215" spans="48:49" x14ac:dyDescent="0.25">
      <c r="AV215" t="s">
        <v>632</v>
      </c>
      <c r="AW215" t="s">
        <v>632</v>
      </c>
    </row>
    <row r="216" spans="48:49" x14ac:dyDescent="0.25">
      <c r="AV216" t="s">
        <v>633</v>
      </c>
      <c r="AW216" t="s">
        <v>633</v>
      </c>
    </row>
    <row r="217" spans="48:49" x14ac:dyDescent="0.25">
      <c r="AV217" t="s">
        <v>634</v>
      </c>
      <c r="AW217" t="s">
        <v>635</v>
      </c>
    </row>
    <row r="218" spans="48:49" x14ac:dyDescent="0.25">
      <c r="AV218" t="s">
        <v>636</v>
      </c>
      <c r="AW218" t="s">
        <v>637</v>
      </c>
    </row>
    <row r="219" spans="48:49" x14ac:dyDescent="0.25">
      <c r="AV219" t="s">
        <v>638</v>
      </c>
      <c r="AW219" t="s">
        <v>638</v>
      </c>
    </row>
    <row r="220" spans="48:49" x14ac:dyDescent="0.25">
      <c r="AV220" t="s">
        <v>639</v>
      </c>
      <c r="AW220" t="s">
        <v>640</v>
      </c>
    </row>
    <row r="222" spans="48:49" x14ac:dyDescent="0.25">
      <c r="AV222" s="519"/>
      <c r="AW222" s="84"/>
    </row>
  </sheetData>
  <sheetProtection algorithmName="SHA-512" hashValue="An2o4VPV76x1oOb70xhLVxh9aK2AAEUnK9h9TSczj418fQeu47QgJ6F8pMyZ1HdOymzfCS1gvxwTmui54E85Gg==" saltValue="k65ipqmukQFqDSkud2NIwQ=="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472" priority="2" stopIfTrue="1">
      <formula>CAIXA.Modo=FALSE</formula>
    </cfRule>
  </conditionalFormatting>
  <conditionalFormatting sqref="B59:C61">
    <cfRule type="expression" dxfId="471"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&amp;LPMv3.13&amp;R&amp;P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3.2" x14ac:dyDescent="0.25"/>
  <cols>
    <col min="1" max="4" width="5.5546875" style="49" hidden="1" customWidth="1"/>
    <col min="5" max="6" width="11.44140625" style="49" hidden="1" customWidth="1"/>
    <col min="7" max="7" width="11.88671875" style="49" hidden="1" customWidth="1"/>
    <col min="8" max="8" width="10.5546875" customWidth="1"/>
    <col min="9" max="9" width="3.5546875" customWidth="1"/>
    <col min="10" max="15" width="10.5546875" style="49" customWidth="1"/>
    <col min="16" max="16" width="12.88671875" style="49" customWidth="1"/>
    <col min="17" max="19" width="10.5546875" style="49" customWidth="1"/>
  </cols>
  <sheetData>
    <row r="1" spans="1:21" ht="15.6" x14ac:dyDescent="0.3">
      <c r="E1" s="50" t="s">
        <v>641</v>
      </c>
      <c r="F1" s="50" t="s">
        <v>642</v>
      </c>
      <c r="G1" s="50" t="s">
        <v>643</v>
      </c>
      <c r="O1" s="51" t="str">
        <f>"Quadro de Composição do BDI"</f>
        <v>Quadro de Composição do BDI</v>
      </c>
      <c r="R1" s="705" t="s">
        <v>644</v>
      </c>
      <c r="S1" s="705"/>
    </row>
    <row r="2" spans="1:21" x14ac:dyDescent="0.25">
      <c r="A2" s="49" t="s">
        <v>645</v>
      </c>
      <c r="B2" s="53" t="s">
        <v>646</v>
      </c>
      <c r="C2" s="49" t="str">
        <f t="shared" ref="C2:C49" si="0">CONCATENATE(A2,"-",B2)</f>
        <v>Construção e Reforma de Edifícios-AC</v>
      </c>
      <c r="E2" s="54">
        <v>0.03</v>
      </c>
      <c r="F2" s="54">
        <v>0.04</v>
      </c>
      <c r="G2" s="54">
        <v>5.5E-2</v>
      </c>
      <c r="R2" s="706" t="s">
        <v>647</v>
      </c>
      <c r="S2" s="706"/>
    </row>
    <row r="3" spans="1:21" x14ac:dyDescent="0.25">
      <c r="A3" s="49" t="str">
        <f>A2</f>
        <v>Construção e Reforma de Edifícios</v>
      </c>
      <c r="B3" s="53" t="s">
        <v>648</v>
      </c>
      <c r="C3" s="49" t="str">
        <f t="shared" si="0"/>
        <v>Construção e Reforma de Edifícios-SG</v>
      </c>
      <c r="E3" s="54">
        <v>8.0000000000000002E-3</v>
      </c>
      <c r="F3" s="54">
        <v>8.0000000000000002E-3</v>
      </c>
      <c r="G3" s="54">
        <v>0.01</v>
      </c>
    </row>
    <row r="4" spans="1:21" x14ac:dyDescent="0.25">
      <c r="A4" s="49" t="str">
        <f>A3</f>
        <v>Construção e Reforma de Edifícios</v>
      </c>
      <c r="B4" s="53" t="s">
        <v>649</v>
      </c>
      <c r="C4" s="49" t="str">
        <f t="shared" si="0"/>
        <v>Construção e Reforma de Edifícios-R</v>
      </c>
      <c r="E4" s="54">
        <v>9.7000000000000003E-3</v>
      </c>
      <c r="F4" s="54">
        <v>1.2699999999999999E-2</v>
      </c>
      <c r="G4" s="54">
        <v>1.2699999999999999E-2</v>
      </c>
      <c r="J4" s="701" t="s">
        <v>650</v>
      </c>
      <c r="K4" s="701"/>
      <c r="L4" s="701" t="s">
        <v>651</v>
      </c>
      <c r="M4" s="701"/>
      <c r="N4" s="701" t="s">
        <v>652</v>
      </c>
      <c r="O4" s="701"/>
      <c r="P4" s="701"/>
      <c r="Q4" s="701"/>
      <c r="R4" s="701"/>
      <c r="S4" s="701"/>
    </row>
    <row r="5" spans="1:21" ht="12.75" customHeight="1" x14ac:dyDescent="0.25">
      <c r="A5" s="49" t="str">
        <f>A4</f>
        <v>Construção e Reforma de Edifícios</v>
      </c>
      <c r="B5" s="53" t="s">
        <v>653</v>
      </c>
      <c r="C5" s="49" t="str">
        <f t="shared" si="0"/>
        <v>Construção e Reforma de Edifícios-DF</v>
      </c>
      <c r="E5" s="54">
        <v>5.8999999999999999E-3</v>
      </c>
      <c r="F5" s="54">
        <v>1.23E-2</v>
      </c>
      <c r="G5" s="54">
        <v>1.3899999999999999E-2</v>
      </c>
      <c r="J5" s="704">
        <f>Import.CR</f>
        <v>0</v>
      </c>
      <c r="K5" s="704"/>
      <c r="L5" s="704">
        <f>Import.TransfereGOV</f>
        <v>0</v>
      </c>
      <c r="M5" s="704"/>
      <c r="N5" s="704" t="str">
        <f>Import.Proponente</f>
        <v>MUNICÍPIO DE SARANDI</v>
      </c>
      <c r="O5" s="704"/>
      <c r="P5" s="704"/>
      <c r="Q5" s="704"/>
      <c r="R5" s="704"/>
      <c r="S5" s="704"/>
    </row>
    <row r="6" spans="1:21" x14ac:dyDescent="0.25">
      <c r="A6" s="49" t="str">
        <f>A5</f>
        <v>Construção e Reforma de Edifícios</v>
      </c>
      <c r="B6" s="53" t="s">
        <v>654</v>
      </c>
      <c r="C6" s="49" t="str">
        <f t="shared" si="0"/>
        <v>Construção e Reforma de Edifícios-L</v>
      </c>
      <c r="E6" s="54">
        <v>6.1600000000000002E-2</v>
      </c>
      <c r="F6" s="54">
        <v>7.400000000000001E-2</v>
      </c>
      <c r="G6" s="54">
        <v>8.9600000000000013E-2</v>
      </c>
      <c r="I6" s="694" t="s">
        <v>655</v>
      </c>
      <c r="J6" s="57"/>
      <c r="K6" s="57"/>
      <c r="L6" s="57"/>
      <c r="M6" s="57"/>
      <c r="N6" s="57"/>
      <c r="O6" s="57"/>
      <c r="P6" s="57"/>
      <c r="Q6" s="57"/>
      <c r="R6" s="57"/>
      <c r="S6" s="57"/>
    </row>
    <row r="7" spans="1:21" ht="26.4" x14ac:dyDescent="0.3">
      <c r="A7" s="49" t="str">
        <f>A6</f>
        <v>Construção e Reforma de Edifícios</v>
      </c>
      <c r="B7" s="58" t="s">
        <v>656</v>
      </c>
      <c r="C7" s="49" t="str">
        <f t="shared" si="0"/>
        <v>Construção e Reforma de Edifícios-BDI PAD</v>
      </c>
      <c r="E7" s="54">
        <v>0.2034</v>
      </c>
      <c r="F7" s="54">
        <v>0.22120000000000001</v>
      </c>
      <c r="G7" s="54">
        <v>0.25</v>
      </c>
      <c r="I7" s="694"/>
      <c r="J7" s="701" t="s">
        <v>657</v>
      </c>
      <c r="K7" s="701"/>
      <c r="L7" s="701"/>
      <c r="M7" s="701"/>
      <c r="N7" s="701"/>
      <c r="O7" s="701"/>
      <c r="P7" s="701"/>
      <c r="Q7" s="701"/>
      <c r="R7" s="701"/>
      <c r="S7" s="701"/>
      <c r="U7" s="521" t="str">
        <f ca="1">IF(OR(U10&lt;&gt;"",U11&lt;&gt;""),"Falta preencher os percentuais do ISS",IF(U14&lt;&gt;"","Falta preencher o BDI 1",IF(U54&lt;&gt;"","Falta preencher o BDI 2",IF(U94&lt;&gt;"","Falta preencher o BDI 3",""))))</f>
        <v/>
      </c>
    </row>
    <row r="8" spans="1:21" ht="15.6" x14ac:dyDescent="0.3">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4"/>
      <c r="J8" s="709" t="str">
        <f>Import.Apelido&amp;" / "&amp;Import.DescLote</f>
        <v>PAVIMENTAÇÃO ASFÁLTICA EM DIVERSOS TRECHOS NO MUNICÍPIO DE SARANDI / PAVIMENTAÇÃO ASFÁLTICA EM DIVERSOS TRECHOS NO MUNICÍPIO DE SARANDI</v>
      </c>
      <c r="K8" s="709"/>
      <c r="L8" s="709"/>
      <c r="M8" s="709"/>
      <c r="N8" s="709"/>
      <c r="O8" s="709"/>
      <c r="P8" s="709"/>
      <c r="Q8" s="709"/>
      <c r="R8" s="709"/>
      <c r="S8" s="709"/>
      <c r="U8" s="521" t="str">
        <f ca="1">IF(U29="FORA DO INTERVALO","BDI 1 fora do intervalo",IF(U69="FORA DO INTERVALO","BDI 2 fora do intervalo",IF(U109="FORA DO INTERVALO","BDI 3 fora do intervalo","")))</f>
        <v/>
      </c>
    </row>
    <row r="9" spans="1:21" x14ac:dyDescent="0.25">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4"/>
      <c r="J9" s="57"/>
      <c r="K9" s="57"/>
      <c r="L9" s="57"/>
      <c r="M9" s="57"/>
      <c r="N9" s="57"/>
      <c r="O9" s="57"/>
      <c r="P9" s="57"/>
      <c r="Q9" s="57"/>
      <c r="R9" s="57"/>
      <c r="S9" s="57"/>
    </row>
    <row r="10" spans="1:21" ht="12.75" customHeight="1" x14ac:dyDescent="0.25">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4"/>
      <c r="J10" s="710" t="s">
        <v>659</v>
      </c>
      <c r="K10" s="710"/>
      <c r="L10" s="710"/>
      <c r="M10" s="710"/>
      <c r="N10" s="710"/>
      <c r="O10" s="710"/>
      <c r="P10" s="710"/>
      <c r="Q10" s="710"/>
      <c r="R10" s="708">
        <v>1</v>
      </c>
      <c r="S10" s="708"/>
      <c r="U10" s="571" t="str">
        <f>IF(R10="","Falta definir a base de cálculo para o ISS","")</f>
        <v/>
      </c>
    </row>
    <row r="11" spans="1:21" ht="12.75" customHeight="1" x14ac:dyDescent="0.25">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7" t="s">
        <v>661</v>
      </c>
      <c r="K11" s="707"/>
      <c r="L11" s="707"/>
      <c r="M11" s="707"/>
      <c r="N11" s="707"/>
      <c r="O11" s="707"/>
      <c r="P11" s="707"/>
      <c r="Q11" s="707"/>
      <c r="R11" s="708">
        <v>0.05</v>
      </c>
      <c r="S11" s="708"/>
      <c r="U11" s="571" t="str">
        <f>IF(R11="","Falta definir a alíquota do ISS","")</f>
        <v/>
      </c>
    </row>
    <row r="12" spans="1:21" x14ac:dyDescent="0.25">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5">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6" x14ac:dyDescent="0.3">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3" t="s">
        <v>663</v>
      </c>
      <c r="K14" s="703"/>
      <c r="L14" s="703"/>
      <c r="M14" s="703"/>
      <c r="N14" s="703"/>
      <c r="O14" s="703"/>
      <c r="P14" s="703"/>
      <c r="Q14" s="703"/>
      <c r="R14" s="703"/>
      <c r="S14" s="703"/>
      <c r="U14" s="521" t="str">
        <f ca="1">IF(COUNTIF(ORÇAMENTO!$V$15:$V$165,BDI_1.Título)=0,"",IF(OR(Import.BDI.Tipo1="(SELECIONAR)",Import.BDI.Tipo1="",U17&lt;&gt;"",AND($J17&lt;&gt;$A$145,OR(S21="",S22="",AND($J17&lt;&gt;$A$146,OR(S23="",S24="")),S25="",S26=""))),"Falta preencher o BDI 1",""))</f>
        <v/>
      </c>
    </row>
    <row r="15" spans="1:21" x14ac:dyDescent="0.25">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5">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1" t="s">
        <v>664</v>
      </c>
      <c r="K16" s="701"/>
      <c r="L16" s="701"/>
      <c r="M16" s="701"/>
      <c r="N16" s="701"/>
      <c r="O16" s="701"/>
      <c r="P16" s="701"/>
      <c r="Q16" s="701"/>
      <c r="R16" s="701"/>
      <c r="S16" s="701"/>
    </row>
    <row r="17" spans="1:26" ht="13.8"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2" t="s">
        <v>658</v>
      </c>
      <c r="K17" s="702"/>
      <c r="L17" s="702"/>
      <c r="M17" s="702"/>
      <c r="N17" s="702"/>
      <c r="O17" s="702"/>
      <c r="P17" s="702"/>
      <c r="Q17" s="702"/>
      <c r="R17" s="702"/>
      <c r="S17" s="702"/>
      <c r="T17" s="563" t="str">
        <f ca="1">IF(U17="","","◄")</f>
        <v/>
      </c>
      <c r="U17" s="562" t="str">
        <f ca="1">IF(AND(OR(S29&gt;0,COUNTIF(ORÇAMENTO!$V$15:$V$165,BDI_1.Título)&gt;0),OR(Import.BDI.Tipo1="(SELECIONAR)",Import.BDI.Tipo1="")),"Selecione o Tipo de obra","")</f>
        <v/>
      </c>
    </row>
    <row r="18" spans="1:26" x14ac:dyDescent="0.25">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5">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00" t="s">
        <v>666</v>
      </c>
      <c r="K19" s="700"/>
      <c r="L19" s="700"/>
      <c r="M19" s="700"/>
      <c r="N19" s="700"/>
      <c r="O19" s="700"/>
      <c r="P19" s="700"/>
      <c r="Q19" s="700"/>
      <c r="R19" s="700" t="s">
        <v>667</v>
      </c>
      <c r="S19" s="691" t="s">
        <v>668</v>
      </c>
      <c r="U19" s="691" t="s">
        <v>669</v>
      </c>
      <c r="V19" s="691"/>
      <c r="W19" s="691"/>
      <c r="X19" s="699" t="s">
        <v>670</v>
      </c>
      <c r="Y19" s="699" t="s">
        <v>671</v>
      </c>
      <c r="Z19" s="699" t="s">
        <v>672</v>
      </c>
    </row>
    <row r="20" spans="1:26" ht="12.75" customHeight="1" x14ac:dyDescent="0.25">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00"/>
      <c r="K20" s="700"/>
      <c r="L20" s="700"/>
      <c r="M20" s="700"/>
      <c r="N20" s="700"/>
      <c r="O20" s="700"/>
      <c r="P20" s="700"/>
      <c r="Q20" s="700"/>
      <c r="R20" s="700"/>
      <c r="S20" s="691"/>
      <c r="U20" s="691"/>
      <c r="V20" s="691"/>
      <c r="W20" s="691"/>
      <c r="X20" s="699"/>
      <c r="Y20" s="699"/>
      <c r="Z20" s="699"/>
    </row>
    <row r="21" spans="1:26" ht="15" customHeight="1" x14ac:dyDescent="0.25">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89" t="str">
        <f>IF($J$17=$A$146,"Encargos Sociais incidentes sobre a mão de obra","Administração Central")</f>
        <v>Administração Central</v>
      </c>
      <c r="K21" s="689"/>
      <c r="L21" s="689"/>
      <c r="M21" s="689"/>
      <c r="N21" s="689"/>
      <c r="O21" s="689"/>
      <c r="P21" s="689"/>
      <c r="Q21" s="689"/>
      <c r="R21" s="60" t="str">
        <f>IF($J17=$A$146,"K1","AC")</f>
        <v>AC</v>
      </c>
      <c r="S21" s="61">
        <v>0.03</v>
      </c>
      <c r="T21" s="572" t="str">
        <f ca="1">IF(AND($U$14&lt;&gt;"",$U$17="",R21&lt;&gt;"",S21=""),"◄","")</f>
        <v/>
      </c>
      <c r="U21" s="690" t="str">
        <f ca="1">IFERROR(IF(T21="◄","FALTA PREENCHER",IF(AND(OR(S21&gt;=X21,X21="-"),OR(S21&lt;=Z21,Z21="-")),"OK","FORA DO INTERVALO")),"-")</f>
        <v>FORA DO INTERVALO</v>
      </c>
      <c r="V21" s="690"/>
      <c r="W21" s="690"/>
      <c r="X21" s="62">
        <f>VLOOKUP(CONCATENATE(J17,"-",R21),$C$2:$G$136,3,FALSE)</f>
        <v>3.7999999999999999E-2</v>
      </c>
      <c r="Y21" s="62">
        <f>VLOOKUP(CONCATENATE(J17,"-",R21),$C$2:$G$136,4,FALSE)</f>
        <v>4.0099999999999997E-2</v>
      </c>
      <c r="Z21" s="62">
        <f>VLOOKUP(CONCATENATE(J17,"-",R21),$C$2:$G$136,5,FALSE)</f>
        <v>4.6699999999999998E-2</v>
      </c>
    </row>
    <row r="22" spans="1:26" ht="15" customHeight="1" x14ac:dyDescent="0.25">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89" t="str">
        <f>IF($J$17=$A$146,"Administração Central da empresa ou consultoria - overhead","Seguro e Garantia")</f>
        <v>Seguro e Garantia</v>
      </c>
      <c r="K22" s="689"/>
      <c r="L22" s="689"/>
      <c r="M22" s="689"/>
      <c r="N22" s="689"/>
      <c r="O22" s="689"/>
      <c r="P22" s="689"/>
      <c r="Q22" s="689"/>
      <c r="R22" s="60" t="str">
        <f>IF($J17=$A$146,"K2","SG")</f>
        <v>SG</v>
      </c>
      <c r="S22" s="61">
        <v>2E-3</v>
      </c>
      <c r="T22" s="572" t="str">
        <f t="shared" ref="T22:T26" ca="1" si="1">IF(AND($U$14&lt;&gt;"",$U$17="",R22&lt;&gt;"",S22=""),"◄","")</f>
        <v/>
      </c>
      <c r="U22" s="690" t="str">
        <f t="shared" ref="U22:U28" ca="1" si="2">IFERROR(IF(T22="◄","FALTA PREENCHER",IF(AND(OR(S22&gt;=X22,X22="-"),OR(S22&lt;=Z22,Z22="-")),"OK","FORA DO INTERVALO")),"-")</f>
        <v>FORA DO INTERVALO</v>
      </c>
      <c r="V22" s="690"/>
      <c r="W22" s="690"/>
      <c r="X22" s="62">
        <f>VLOOKUP(CONCATENATE(J17,"-",R22),$C$2:$G$136,3,FALSE)</f>
        <v>3.2000000000000002E-3</v>
      </c>
      <c r="Y22" s="62">
        <f>VLOOKUP(CONCATENATE(J17,"-",R22),$C$2:$G$136,4,FALSE)</f>
        <v>4.0000000000000001E-3</v>
      </c>
      <c r="Z22" s="62">
        <f>VLOOKUP(CONCATENATE(J17,"-",R22),$C$2:$G$136,5,FALSE)</f>
        <v>7.4000000000000003E-3</v>
      </c>
    </row>
    <row r="23" spans="1:26" ht="15" customHeight="1" x14ac:dyDescent="0.25">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89" t="s">
        <v>942</v>
      </c>
      <c r="K23" s="689"/>
      <c r="L23" s="689"/>
      <c r="M23" s="689"/>
      <c r="N23" s="689"/>
      <c r="O23" s="689"/>
      <c r="P23" s="689"/>
      <c r="Q23" s="689"/>
      <c r="R23" s="60" t="str">
        <f>IF($J17=$A$146,"","R")</f>
        <v>R</v>
      </c>
      <c r="S23" s="61">
        <v>6.4000000000000003E-3</v>
      </c>
      <c r="T23" s="572" t="str">
        <f t="shared" ca="1" si="1"/>
        <v/>
      </c>
      <c r="U23" s="690" t="str">
        <f t="shared" ca="1" si="2"/>
        <v>OK</v>
      </c>
      <c r="V23" s="690"/>
      <c r="W23" s="690"/>
      <c r="X23" s="62">
        <f>VLOOKUP(CONCATENATE(J17,"-",R23),$C$2:$G$136,3,FALSE)</f>
        <v>5.0000000000000001E-3</v>
      </c>
      <c r="Y23" s="62">
        <f>VLOOKUP(CONCATENATE(J17,"-",R23),$C$2:$G$136,4,FALSE)</f>
        <v>5.6000000000000008E-3</v>
      </c>
      <c r="Z23" s="62">
        <f>VLOOKUP(CONCATENATE(J17,"-",R23),$C$2:$G$136,5,FALSE)</f>
        <v>9.7000000000000003E-3</v>
      </c>
    </row>
    <row r="24" spans="1:26" ht="15" customHeight="1" x14ac:dyDescent="0.25">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89" t="s">
        <v>943</v>
      </c>
      <c r="K24" s="689"/>
      <c r="L24" s="689"/>
      <c r="M24" s="689"/>
      <c r="N24" s="689"/>
      <c r="O24" s="689"/>
      <c r="P24" s="689"/>
      <c r="Q24" s="689"/>
      <c r="R24" s="60" t="str">
        <f>IF($J17=$A$146,"","DF")</f>
        <v>DF</v>
      </c>
      <c r="S24" s="61">
        <v>0.01</v>
      </c>
      <c r="T24" s="572" t="str">
        <f t="shared" ca="1" si="1"/>
        <v/>
      </c>
      <c r="U24" s="690" t="str">
        <f t="shared" ca="1" si="2"/>
        <v>FORA DO INTERVALO</v>
      </c>
      <c r="V24" s="690"/>
      <c r="W24" s="690"/>
      <c r="X24" s="62">
        <f>VLOOKUP(CONCATENATE(J17,"-",R24),$C$2:$G$136,3,FALSE)</f>
        <v>1.0200000000000001E-2</v>
      </c>
      <c r="Y24" s="62">
        <f>VLOOKUP(CONCATENATE(J17,"-",R24),$C$2:$G$136,4,FALSE)</f>
        <v>1.11E-2</v>
      </c>
      <c r="Z24" s="62">
        <f>VLOOKUP(CONCATENATE(J17,"-",R24),$C$2:$G$136,5,FALSE)</f>
        <v>1.21E-2</v>
      </c>
    </row>
    <row r="25" spans="1:26" ht="15" customHeight="1" x14ac:dyDescent="0.25">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89" t="str">
        <f>IF($J$17=$A$146,"Margem bruta da empresa de consultoria","Lucro")</f>
        <v>Lucro</v>
      </c>
      <c r="K25" s="689"/>
      <c r="L25" s="689"/>
      <c r="M25" s="689"/>
      <c r="N25" s="689"/>
      <c r="O25" s="689"/>
      <c r="P25" s="689"/>
      <c r="Q25" s="689"/>
      <c r="R25" s="60" t="str">
        <f>IF($J17=$A$146,"K3","L")</f>
        <v>L</v>
      </c>
      <c r="S25" s="61">
        <v>6.9900000000000004E-2</v>
      </c>
      <c r="T25" s="572" t="str">
        <f t="shared" ca="1" si="1"/>
        <v/>
      </c>
      <c r="U25" s="690" t="str">
        <f t="shared" ca="1" si="2"/>
        <v>OK</v>
      </c>
      <c r="V25" s="690"/>
      <c r="W25" s="690"/>
      <c r="X25" s="62">
        <f>VLOOKUP(CONCATENATE(J17,"-",R25),$C$2:$G$136,3,FALSE)</f>
        <v>6.6400000000000001E-2</v>
      </c>
      <c r="Y25" s="62">
        <f>VLOOKUP(CONCATENATE(J17,"-",R25),$C$2:$G$136,4,FALSE)</f>
        <v>7.2999999999999995E-2</v>
      </c>
      <c r="Z25" s="62">
        <f>VLOOKUP(CONCATENATE(J17,"-",R25),$C$2:$G$136,5,FALSE)</f>
        <v>8.6899999999999991E-2</v>
      </c>
    </row>
    <row r="26" spans="1:26" ht="15" customHeight="1" x14ac:dyDescent="0.25">
      <c r="A26" s="49" t="s">
        <v>674</v>
      </c>
      <c r="B26" s="53" t="s">
        <v>646</v>
      </c>
      <c r="C26" s="49" t="str">
        <f t="shared" si="0"/>
        <v>Obras Portuárias, Marítimas e Fluviais-AC</v>
      </c>
      <c r="E26" s="54">
        <v>0.04</v>
      </c>
      <c r="F26" s="54">
        <v>5.5199999999999999E-2</v>
      </c>
      <c r="G26" s="54">
        <v>7.85E-2</v>
      </c>
      <c r="I26" s="7" t="s">
        <v>536</v>
      </c>
      <c r="J26" s="689" t="s">
        <v>675</v>
      </c>
      <c r="K26" s="689"/>
      <c r="L26" s="689"/>
      <c r="M26" s="689"/>
      <c r="N26" s="689"/>
      <c r="O26" s="689"/>
      <c r="P26" s="689"/>
      <c r="Q26" s="689"/>
      <c r="R26" s="60" t="s">
        <v>456</v>
      </c>
      <c r="S26" s="61">
        <v>3.6499999999999998E-2</v>
      </c>
      <c r="T26" s="572" t="str">
        <f t="shared" ca="1" si="1"/>
        <v/>
      </c>
      <c r="U26" s="690" t="str">
        <f t="shared" ca="1" si="2"/>
        <v>OK</v>
      </c>
      <c r="V26" s="690"/>
      <c r="W26" s="690"/>
      <c r="X26" s="62">
        <f>Y26</f>
        <v>3.6499999999999998E-2</v>
      </c>
      <c r="Y26" s="62">
        <f>IF($J17=$A$145,"-",3.65%)</f>
        <v>3.6499999999999998E-2</v>
      </c>
      <c r="Z26" s="62">
        <f>Y26</f>
        <v>3.6499999999999998E-2</v>
      </c>
    </row>
    <row r="27" spans="1:26" ht="15" customHeight="1" x14ac:dyDescent="0.25">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89" t="s">
        <v>676</v>
      </c>
      <c r="K27" s="689"/>
      <c r="L27" s="689"/>
      <c r="M27" s="689"/>
      <c r="N27" s="689"/>
      <c r="O27" s="689"/>
      <c r="P27" s="689"/>
      <c r="Q27" s="689"/>
      <c r="R27" s="60" t="s">
        <v>677</v>
      </c>
      <c r="S27" s="62">
        <f ca="1">IF(AND($J17&lt;&gt;$A$145,COUNTA(OFFSET(S20,1,0,6))&gt;0),$R$11*$R$10,0)</f>
        <v>0.05</v>
      </c>
      <c r="U27" s="690" t="str">
        <f t="shared" ca="1" si="2"/>
        <v>OK</v>
      </c>
      <c r="V27" s="690"/>
      <c r="W27" s="690"/>
      <c r="X27" s="62">
        <v>0</v>
      </c>
      <c r="Y27" s="62">
        <v>2.5000000000000001E-2</v>
      </c>
      <c r="Z27" s="62">
        <v>0.05</v>
      </c>
    </row>
    <row r="28" spans="1:26" ht="15" customHeight="1" x14ac:dyDescent="0.25">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89" t="s">
        <v>678</v>
      </c>
      <c r="K28" s="689"/>
      <c r="L28" s="689"/>
      <c r="M28" s="689"/>
      <c r="N28" s="689"/>
      <c r="O28" s="689"/>
      <c r="P28" s="689"/>
      <c r="Q28" s="689"/>
      <c r="R28" s="60" t="s">
        <v>679</v>
      </c>
      <c r="S28" s="62" cm="1">
        <f t="array" aca="1" ref="S28" ca="1">IF(BDI.Opcao&lt;&gt;"Desonerado",0,IF(AND($J17&lt;&gt;$A$145,COUNTA(OFFSET(S20,1,0,6))&gt;0),IF(YEAR(Import.DataBase)&lt;2025,4.5%,IF(YEAR(Import.DataBase)=2025,3.6%,IF(YEAR(Import.DataBase)=2026,2.7%,IF(YEAR(Import.DataBase)=2027,1.8%,0%)))),0%))</f>
        <v>0</v>
      </c>
      <c r="U28" s="690" t="str">
        <f t="shared" ca="1" si="2"/>
        <v>OK</v>
      </c>
      <c r="V28" s="690"/>
      <c r="W28" s="690"/>
      <c r="X28" s="63">
        <f ca="1">$S28</f>
        <v>0</v>
      </c>
      <c r="Y28" s="63">
        <f ca="1">$S28</f>
        <v>0</v>
      </c>
      <c r="Z28" s="63">
        <f ca="1">$S28</f>
        <v>0</v>
      </c>
    </row>
    <row r="29" spans="1:26" ht="15" customHeight="1" x14ac:dyDescent="0.25">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89" t="s">
        <v>680</v>
      </c>
      <c r="K29" s="689"/>
      <c r="L29" s="689"/>
      <c r="M29" s="689"/>
      <c r="N29" s="689"/>
      <c r="O29" s="689"/>
      <c r="P29" s="689"/>
      <c r="Q29" s="689"/>
      <c r="R29" s="64" t="s">
        <v>656</v>
      </c>
      <c r="S29" s="62">
        <f ca="1">IF($J17=$A$145,0,ROUND((((1+S21+S22+S23)*(1+S24)*(1+S25)/(1-(S26+S27)))-1),4))</f>
        <v>0.2283</v>
      </c>
      <c r="U29" s="691" t="str">
        <f ca="1">IFERROR(IF(AND(OR(S29&gt;=X29,X29="-"),OR(S29&lt;=Z29,Z29="-")),"OK","FORA DO INTERVALO"),IF(S29=0,"OK","Selecione o Tipo de obra"))</f>
        <v>OK</v>
      </c>
      <c r="V29" s="691"/>
      <c r="W29" s="691"/>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5">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2" t="s">
        <v>681</v>
      </c>
      <c r="K30" s="692"/>
      <c r="L30" s="692"/>
      <c r="M30" s="692"/>
      <c r="N30" s="692"/>
      <c r="O30" s="692"/>
      <c r="P30" s="692"/>
      <c r="Q30" s="692"/>
      <c r="R30" s="65" t="s">
        <v>682</v>
      </c>
      <c r="S30" s="66">
        <f ca="1">IF($J17=$A$145,0,ROUND((((1+S21+S22+S23)*(1+S24)*(1+S25)/(1-(S26+S27+S28)))-1),4))</f>
        <v>0.2283</v>
      </c>
    </row>
    <row r="31" spans="1:26" ht="15" customHeight="1" x14ac:dyDescent="0.25">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6" x14ac:dyDescent="0.25">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3" t="str">
        <f ca="1">IF(U29&lt;&gt;"ok","Anexo: Relatório Técnico Circunstanciado justificando a adoção do percentual de cada parcela do BDI.","")</f>
        <v/>
      </c>
      <c r="L32" s="693"/>
      <c r="M32" s="693"/>
      <c r="N32" s="693"/>
      <c r="O32" s="693"/>
      <c r="P32" s="693"/>
      <c r="Q32" s="693"/>
      <c r="R32" s="693"/>
      <c r="S32" s="693"/>
    </row>
    <row r="33" spans="1:19" x14ac:dyDescent="0.25">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5">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5" t="s">
        <v>683</v>
      </c>
      <c r="K34" s="695"/>
      <c r="L34" s="695"/>
      <c r="M34" s="695"/>
      <c r="N34" s="695"/>
      <c r="O34" s="695"/>
      <c r="P34" s="695"/>
      <c r="Q34" s="695"/>
      <c r="R34" s="695"/>
      <c r="S34" s="695"/>
    </row>
    <row r="35" spans="1:19" ht="15.6" x14ac:dyDescent="0.3">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6" t="s">
        <v>684</v>
      </c>
      <c r="N35" s="697" t="str">
        <f>IF($J17=$A$146,"(1+K1+K2)*(1+K3)","(1+AC + S + R + G)*(1 + DF)*(1+L)")</f>
        <v>(1+AC + S + R + G)*(1 + DF)*(1+L)</v>
      </c>
      <c r="O35" s="697"/>
      <c r="P35" s="697"/>
      <c r="Q35" s="698" t="s">
        <v>685</v>
      </c>
      <c r="R35" s="68"/>
      <c r="S35" s="68"/>
    </row>
    <row r="36" spans="1:19" ht="15.6" x14ac:dyDescent="0.25">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6"/>
      <c r="N36" s="688" t="s">
        <v>686</v>
      </c>
      <c r="O36" s="688"/>
      <c r="P36" s="688"/>
      <c r="Q36" s="698"/>
      <c r="R36" s="68"/>
      <c r="S36" s="68"/>
    </row>
    <row r="37" spans="1:19" ht="15" customHeight="1" x14ac:dyDescent="0.25">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5">
      <c r="A38" s="49" t="s">
        <v>687</v>
      </c>
      <c r="B38" s="58" t="s">
        <v>646</v>
      </c>
      <c r="C38" s="49" t="str">
        <f t="shared" si="0"/>
        <v>Fornecimento de Materiais e Equipamentos (aquisição direta)-AC</v>
      </c>
      <c r="E38" s="54" t="s">
        <v>688</v>
      </c>
      <c r="F38" s="54" t="s">
        <v>688</v>
      </c>
      <c r="G38" s="54" t="s">
        <v>688</v>
      </c>
      <c r="I38" t="s">
        <v>536</v>
      </c>
      <c r="J38" s="68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82"/>
      <c r="L38" s="682"/>
      <c r="M38" s="682"/>
      <c r="N38" s="682"/>
      <c r="O38" s="682"/>
      <c r="P38" s="682"/>
      <c r="Q38" s="682"/>
      <c r="R38" s="682"/>
      <c r="S38" s="682"/>
    </row>
    <row r="39" spans="1:19" x14ac:dyDescent="0.25">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5">
      <c r="A40" s="49" t="s">
        <v>687</v>
      </c>
      <c r="B40" s="58" t="s">
        <v>649</v>
      </c>
      <c r="C40" s="49" t="str">
        <f t="shared" si="0"/>
        <v>Fornecimento de Materiais e Equipamentos (aquisição direta)-R</v>
      </c>
      <c r="E40" s="54" t="s">
        <v>688</v>
      </c>
      <c r="F40" s="54" t="s">
        <v>688</v>
      </c>
      <c r="G40" s="54" t="s">
        <v>688</v>
      </c>
      <c r="I40" t="s">
        <v>536</v>
      </c>
      <c r="J40" s="682"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2"/>
      <c r="L40" s="682"/>
      <c r="M40" s="682"/>
      <c r="N40" s="682"/>
      <c r="O40" s="682"/>
      <c r="P40" s="682"/>
      <c r="Q40" s="682"/>
      <c r="R40" s="682"/>
      <c r="S40" s="682"/>
    </row>
    <row r="41" spans="1:19" x14ac:dyDescent="0.25">
      <c r="A41" s="49" t="s">
        <v>687</v>
      </c>
      <c r="B41" s="58" t="s">
        <v>653</v>
      </c>
      <c r="C41" s="49" t="str">
        <f t="shared" si="0"/>
        <v>Fornecimento de Materiais e Equipamentos (aquisição direta)-DF</v>
      </c>
      <c r="E41" s="54" t="s">
        <v>688</v>
      </c>
      <c r="F41" s="54" t="s">
        <v>688</v>
      </c>
      <c r="G41" s="54" t="s">
        <v>688</v>
      </c>
      <c r="I41" t="s">
        <v>536</v>
      </c>
    </row>
    <row r="42" spans="1:19" x14ac:dyDescent="0.25">
      <c r="A42" s="49" t="s">
        <v>687</v>
      </c>
      <c r="B42" s="58" t="s">
        <v>654</v>
      </c>
      <c r="C42" s="49" t="str">
        <f t="shared" si="0"/>
        <v>Fornecimento de Materiais e Equipamentos (aquisição direta)-L</v>
      </c>
      <c r="E42" s="54" t="s">
        <v>688</v>
      </c>
      <c r="F42" s="54" t="s">
        <v>688</v>
      </c>
      <c r="G42" s="54" t="s">
        <v>688</v>
      </c>
      <c r="I42" t="s">
        <v>536</v>
      </c>
      <c r="J42" s="49" t="s">
        <v>689</v>
      </c>
    </row>
    <row r="43" spans="1:19" ht="99.9" customHeight="1" x14ac:dyDescent="0.25">
      <c r="A43" s="49" t="s">
        <v>687</v>
      </c>
      <c r="B43" s="58" t="s">
        <v>656</v>
      </c>
      <c r="C43" s="49" t="str">
        <f t="shared" si="0"/>
        <v>Fornecimento de Materiais e Equipamentos (aquisição direta)-BDI PAD</v>
      </c>
      <c r="E43" s="54" t="s">
        <v>688</v>
      </c>
      <c r="F43" s="54" t="s">
        <v>688</v>
      </c>
      <c r="G43" s="54" t="s">
        <v>688</v>
      </c>
      <c r="I43" t="s">
        <v>536</v>
      </c>
      <c r="J43" s="683"/>
      <c r="K43" s="683"/>
      <c r="L43" s="683"/>
      <c r="M43" s="683"/>
      <c r="N43" s="683"/>
      <c r="O43" s="683"/>
      <c r="P43" s="683"/>
      <c r="Q43" s="683"/>
      <c r="R43" s="683"/>
      <c r="S43" s="683"/>
    </row>
    <row r="44" spans="1:19" x14ac:dyDescent="0.25">
      <c r="A44" s="49" t="s">
        <v>690</v>
      </c>
      <c r="B44" s="53" t="s">
        <v>691</v>
      </c>
      <c r="C44" s="49" t="str">
        <f t="shared" si="0"/>
        <v>Estudos e Projetos, Planos e Gerenciamento e outros correlatos-K1</v>
      </c>
      <c r="E44" s="54" t="s">
        <v>688</v>
      </c>
      <c r="F44" s="54" t="s">
        <v>688</v>
      </c>
      <c r="G44" s="54" t="s">
        <v>688</v>
      </c>
      <c r="I44" t="s">
        <v>536</v>
      </c>
    </row>
    <row r="45" spans="1:19" x14ac:dyDescent="0.25">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4" t="str">
        <f>Import.Município</f>
        <v>SARANDI/RS</v>
      </c>
      <c r="K45" s="684"/>
      <c r="L45" s="684"/>
      <c r="M45" s="684"/>
      <c r="P45" s="685">
        <f>DADOS!$C$25</f>
        <v>46034</v>
      </c>
      <c r="Q45" s="685"/>
      <c r="R45" s="685"/>
      <c r="S45" s="685"/>
    </row>
    <row r="46" spans="1:19" x14ac:dyDescent="0.25">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6" t="s">
        <v>693</v>
      </c>
      <c r="K46" s="686"/>
      <c r="L46" s="686"/>
      <c r="M46" s="686"/>
      <c r="O46" s="73"/>
      <c r="P46" s="74" t="s">
        <v>694</v>
      </c>
      <c r="Q46" s="75"/>
      <c r="R46" s="75"/>
      <c r="S46" s="75"/>
    </row>
    <row r="47" spans="1:19" ht="30" customHeight="1" x14ac:dyDescent="0.25">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3.8" x14ac:dyDescent="0.25">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7"/>
      <c r="K48" s="687"/>
      <c r="L48" s="687"/>
      <c r="M48" s="687"/>
      <c r="N48" s="76"/>
    </row>
    <row r="49" spans="1:26" ht="12.75" customHeight="1" x14ac:dyDescent="0.25">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1" t="s">
        <v>696</v>
      </c>
      <c r="K49" s="681"/>
      <c r="L49" s="681"/>
      <c r="M49" s="681"/>
    </row>
    <row r="50" spans="1:26" ht="13.8" x14ac:dyDescent="0.25">
      <c r="B50" s="58"/>
      <c r="E50" s="54"/>
      <c r="F50" s="54"/>
      <c r="G50" s="54"/>
      <c r="I50" t="s">
        <v>536</v>
      </c>
      <c r="J50" s="77" t="s">
        <v>240</v>
      </c>
      <c r="K50" s="78" t="str">
        <f t="array" ref="K50:K52">Import.RespOrçamento</f>
        <v>LEONARDO HENRIQUE ZAMBERLAN</v>
      </c>
      <c r="L50" s="79"/>
      <c r="M50" s="79"/>
      <c r="N50" s="76"/>
    </row>
    <row r="51" spans="1:26" ht="13.8" x14ac:dyDescent="0.25">
      <c r="A51"/>
      <c r="B51"/>
      <c r="C51"/>
      <c r="D51"/>
      <c r="E51"/>
      <c r="F51"/>
      <c r="G51"/>
      <c r="I51" t="s">
        <v>536</v>
      </c>
      <c r="J51" s="77" t="s">
        <v>243</v>
      </c>
      <c r="K51" s="78" t="str">
        <v>CREA-RS 242523</v>
      </c>
      <c r="L51" s="79"/>
      <c r="M51" s="79"/>
      <c r="N51" s="76"/>
    </row>
    <row r="52" spans="1:26" ht="13.8" x14ac:dyDescent="0.25">
      <c r="A52"/>
      <c r="B52"/>
      <c r="C52"/>
      <c r="D52"/>
      <c r="E52"/>
      <c r="F52"/>
      <c r="G52"/>
      <c r="I52" t="s">
        <v>536</v>
      </c>
      <c r="J52" s="77" t="s">
        <v>246</v>
      </c>
      <c r="K52" s="78">
        <v>0</v>
      </c>
      <c r="L52" s="79"/>
      <c r="M52" s="79"/>
      <c r="N52" s="76"/>
    </row>
    <row r="53" spans="1:26" ht="13.8" x14ac:dyDescent="0.25">
      <c r="A53"/>
      <c r="B53"/>
      <c r="C53"/>
      <c r="D53"/>
      <c r="E53"/>
      <c r="F53"/>
      <c r="G53"/>
      <c r="I53" t="s">
        <v>536</v>
      </c>
      <c r="J53" s="77"/>
      <c r="K53" s="80"/>
      <c r="L53" s="79"/>
      <c r="M53" s="79"/>
      <c r="N53" s="76"/>
    </row>
    <row r="54" spans="1:26" ht="15.6" x14ac:dyDescent="0.3">
      <c r="A54"/>
      <c r="B54"/>
      <c r="C54"/>
      <c r="D54"/>
      <c r="E54"/>
      <c r="F54"/>
      <c r="G54"/>
      <c r="I54" t="str">
        <f ca="1">IF($S$69=0,"","F")</f>
        <v>F</v>
      </c>
      <c r="J54" s="703" t="s">
        <v>697</v>
      </c>
      <c r="K54" s="703"/>
      <c r="L54" s="703"/>
      <c r="M54" s="703"/>
      <c r="N54" s="703"/>
      <c r="O54" s="703"/>
      <c r="P54" s="703"/>
      <c r="Q54" s="703"/>
      <c r="R54" s="703"/>
      <c r="S54" s="703"/>
      <c r="U54" s="521" t="str">
        <f ca="1">IF(COUNTIF(ORÇAMENTO!$V$15:$V$165,BDI_2.Título)=0,"",IF(OR(Import.BDI.Tipo2="(SELECIONAR)",Import.BDI.Tipo2="",U57&lt;&gt;"",AND($J57&lt;&gt;$A$145,OR(S61="",S62="",AND($J57&lt;&gt;$A$146,OR(S63="",S64="")),S65="",S66=""))),"Falta preencher o BDI 2",""))</f>
        <v/>
      </c>
    </row>
    <row r="55" spans="1:26" x14ac:dyDescent="0.25">
      <c r="A55"/>
      <c r="B55"/>
      <c r="C55"/>
      <c r="D55"/>
      <c r="E55"/>
      <c r="F55"/>
      <c r="G55"/>
      <c r="I55" t="str">
        <f t="shared" ref="I55:I93" ca="1" si="3">IF($S$69=0,"","F")</f>
        <v>F</v>
      </c>
    </row>
    <row r="56" spans="1:26" x14ac:dyDescent="0.25">
      <c r="A56"/>
      <c r="B56"/>
      <c r="C56"/>
      <c r="D56"/>
      <c r="E56"/>
      <c r="F56"/>
      <c r="G56"/>
      <c r="I56" t="str">
        <f t="shared" ca="1" si="3"/>
        <v>F</v>
      </c>
      <c r="J56" s="701" t="s">
        <v>664</v>
      </c>
      <c r="K56" s="701"/>
      <c r="L56" s="701"/>
      <c r="M56" s="701"/>
      <c r="N56" s="701"/>
      <c r="O56" s="701"/>
      <c r="P56" s="701"/>
      <c r="Q56" s="701"/>
      <c r="R56" s="701"/>
      <c r="S56" s="701"/>
    </row>
    <row r="57" spans="1:26" ht="13.8" x14ac:dyDescent="0.25">
      <c r="A57"/>
      <c r="B57"/>
      <c r="C57"/>
      <c r="D57"/>
      <c r="E57"/>
      <c r="F57"/>
      <c r="G57"/>
      <c r="I57" t="str">
        <f t="shared" ca="1" si="3"/>
        <v>F</v>
      </c>
      <c r="J57" s="702" t="s">
        <v>665</v>
      </c>
      <c r="K57" s="702"/>
      <c r="L57" s="702"/>
      <c r="M57" s="702"/>
      <c r="N57" s="702"/>
      <c r="O57" s="702"/>
      <c r="P57" s="702"/>
      <c r="Q57" s="702"/>
      <c r="R57" s="702"/>
      <c r="S57" s="702"/>
      <c r="T57" s="563" t="str">
        <f ca="1">IF(U57="","","◄")</f>
        <v/>
      </c>
      <c r="U57" s="562" t="str">
        <f ca="1">IF(AND(OR(S69&gt;0,COUNTIF(ORÇAMENTO!$V$15:$V$165,BDI_2.Título)&gt;0),OR(Import.BDI.Tipo2="(SELECIONAR)",Import.BDI.Tipo2="")),"Selecione o Tipo de obra","")</f>
        <v/>
      </c>
    </row>
    <row r="58" spans="1:26" x14ac:dyDescent="0.25">
      <c r="A58"/>
      <c r="B58"/>
      <c r="C58"/>
      <c r="D58"/>
      <c r="E58"/>
      <c r="F58"/>
      <c r="G58"/>
      <c r="I58" t="str">
        <f t="shared" ca="1" si="3"/>
        <v>F</v>
      </c>
    </row>
    <row r="59" spans="1:26" ht="12.75" customHeight="1" x14ac:dyDescent="0.25">
      <c r="A59"/>
      <c r="B59"/>
      <c r="C59"/>
      <c r="D59"/>
      <c r="E59"/>
      <c r="F59"/>
      <c r="G59"/>
      <c r="I59" t="str">
        <f t="shared" ca="1" si="3"/>
        <v>F</v>
      </c>
      <c r="J59" s="700" t="s">
        <v>666</v>
      </c>
      <c r="K59" s="700"/>
      <c r="L59" s="700"/>
      <c r="M59" s="700"/>
      <c r="N59" s="700"/>
      <c r="O59" s="700"/>
      <c r="P59" s="700"/>
      <c r="Q59" s="700"/>
      <c r="R59" s="700" t="s">
        <v>667</v>
      </c>
      <c r="S59" s="691" t="s">
        <v>668</v>
      </c>
      <c r="U59" s="691" t="s">
        <v>669</v>
      </c>
      <c r="V59" s="691"/>
      <c r="W59" s="691"/>
      <c r="X59" s="699" t="s">
        <v>670</v>
      </c>
      <c r="Y59" s="699" t="s">
        <v>671</v>
      </c>
      <c r="Z59" s="699" t="s">
        <v>672</v>
      </c>
    </row>
    <row r="60" spans="1:26" ht="12.75" customHeight="1" x14ac:dyDescent="0.25">
      <c r="A60"/>
      <c r="B60"/>
      <c r="C60"/>
      <c r="D60"/>
      <c r="E60"/>
      <c r="F60"/>
      <c r="G60"/>
      <c r="I60" t="str">
        <f t="shared" ca="1" si="3"/>
        <v>F</v>
      </c>
      <c r="J60" s="700"/>
      <c r="K60" s="700"/>
      <c r="L60" s="700"/>
      <c r="M60" s="700"/>
      <c r="N60" s="700"/>
      <c r="O60" s="700"/>
      <c r="P60" s="700"/>
      <c r="Q60" s="700"/>
      <c r="R60" s="700"/>
      <c r="S60" s="691"/>
      <c r="U60" s="691"/>
      <c r="V60" s="691"/>
      <c r="W60" s="691"/>
      <c r="X60" s="699"/>
      <c r="Y60" s="699"/>
      <c r="Z60" s="699"/>
    </row>
    <row r="61" spans="1:26" ht="15" customHeight="1" x14ac:dyDescent="0.25">
      <c r="A61"/>
      <c r="B61"/>
      <c r="C61"/>
      <c r="D61"/>
      <c r="E61"/>
      <c r="F61"/>
      <c r="G61"/>
      <c r="I61" t="str">
        <f t="shared" ca="1" si="3"/>
        <v>F</v>
      </c>
      <c r="J61" s="689" t="str">
        <f>IF($J$17=$A$146,"Encargos Sociais incidentes sobre a mão de obra","Administração Central")</f>
        <v>Administração Central</v>
      </c>
      <c r="K61" s="689"/>
      <c r="L61" s="689"/>
      <c r="M61" s="689"/>
      <c r="N61" s="689"/>
      <c r="O61" s="689"/>
      <c r="P61" s="689"/>
      <c r="Q61" s="689"/>
      <c r="R61" s="60" t="str">
        <f>IF($J57=$A$146,"K1","AC")</f>
        <v>AC</v>
      </c>
      <c r="S61" s="61">
        <v>2.0000000000000001E-4</v>
      </c>
      <c r="T61" s="572" t="str">
        <f ca="1">IF(AND($U$54&lt;&gt;"",$U$57="",R61&lt;&gt;"",S61=""),"◄","")</f>
        <v/>
      </c>
      <c r="U61" s="690" t="str">
        <f ca="1">IFERROR(IF(T61="◄","FALTA PREENCHER",IF(AND(OR(S61&gt;=X61,X61="-"),OR(S61&lt;=Z61,Z61="-")),"OK","FORA DO INTERVALO")),"-")</f>
        <v>FORA DO INTERVALO</v>
      </c>
      <c r="V61" s="690"/>
      <c r="W61" s="690"/>
      <c r="X61" s="62">
        <f>VLOOKUP(CONCATENATE(J57,"-",R61),$C$2:$G$136,3,FALSE)</f>
        <v>1.4999999999999999E-2</v>
      </c>
      <c r="Y61" s="62">
        <f>VLOOKUP(CONCATENATE(J57,"-",R61),$C$2:$G$136,4,FALSE)</f>
        <v>3.4500000000000003E-2</v>
      </c>
      <c r="Z61" s="62">
        <f>VLOOKUP(CONCATENATE(J57,"-",R61),$C$2:$G$136,5,FALSE)</f>
        <v>4.4900000000000002E-2</v>
      </c>
    </row>
    <row r="62" spans="1:26" ht="15" customHeight="1" x14ac:dyDescent="0.25">
      <c r="A62"/>
      <c r="B62"/>
      <c r="C62"/>
      <c r="D62"/>
      <c r="E62"/>
      <c r="F62"/>
      <c r="G62"/>
      <c r="I62" t="str">
        <f t="shared" ca="1" si="3"/>
        <v>F</v>
      </c>
      <c r="J62" s="689" t="str">
        <f>IF($J$17=$A$146,"Administração Central da empresa ou consultoria - overhead","Seguro e Garantia")</f>
        <v>Seguro e Garantia</v>
      </c>
      <c r="K62" s="689"/>
      <c r="L62" s="689"/>
      <c r="M62" s="689"/>
      <c r="N62" s="689"/>
      <c r="O62" s="689"/>
      <c r="P62" s="689"/>
      <c r="Q62" s="689"/>
      <c r="R62" s="60" t="str">
        <f>IF($J57=$A$146,"K2","SG")</f>
        <v>SG</v>
      </c>
      <c r="S62" s="61">
        <v>6.9999999999999999E-4</v>
      </c>
      <c r="T62" s="572" t="str">
        <f t="shared" ref="T62:T66" ca="1" si="4">IF(AND($U$54&lt;&gt;"",$U$57="",R62&lt;&gt;"",S62=""),"◄","")</f>
        <v/>
      </c>
      <c r="U62" s="690" t="str">
        <f t="shared" ref="U62:U68" ca="1" si="5">IFERROR(IF(T62="◄","FALTA PREENCHER",IF(AND(OR(S62&gt;=X62,X62="-"),OR(S62&lt;=Z62,Z62="-")),"OK","FORA DO INTERVALO")),"-")</f>
        <v>FORA DO INTERVALO</v>
      </c>
      <c r="V62" s="690"/>
      <c r="W62" s="690"/>
      <c r="X62" s="62">
        <f>VLOOKUP(CONCATENATE(J57,"-",R62),$C$2:$G$136,3,FALSE)</f>
        <v>3.0000000000000001E-3</v>
      </c>
      <c r="Y62" s="62">
        <f>VLOOKUP(CONCATENATE(J57,"-",R62),$C$2:$G$136,4,FALSE)</f>
        <v>4.7999999999999996E-3</v>
      </c>
      <c r="Z62" s="62">
        <f>VLOOKUP(CONCATENATE(J57,"-",R62),$C$2:$G$136,5,FALSE)</f>
        <v>8.199999999999999E-3</v>
      </c>
    </row>
    <row r="63" spans="1:26" ht="15" customHeight="1" x14ac:dyDescent="0.25">
      <c r="A63"/>
      <c r="B63"/>
      <c r="C63"/>
      <c r="D63"/>
      <c r="E63"/>
      <c r="F63"/>
      <c r="G63"/>
      <c r="I63" t="str">
        <f t="shared" ca="1" si="3"/>
        <v>F</v>
      </c>
      <c r="J63" s="689" t="s">
        <v>942</v>
      </c>
      <c r="K63" s="689"/>
      <c r="L63" s="689"/>
      <c r="M63" s="689"/>
      <c r="N63" s="689"/>
      <c r="O63" s="689"/>
      <c r="P63" s="689"/>
      <c r="Q63" s="689"/>
      <c r="R63" s="60" t="str">
        <f>IF($J57=$A$146,"","R")</f>
        <v>R</v>
      </c>
      <c r="S63" s="61">
        <v>5.5300000000000002E-3</v>
      </c>
      <c r="T63" s="572" t="str">
        <f t="shared" ca="1" si="4"/>
        <v/>
      </c>
      <c r="U63" s="690" t="str">
        <f t="shared" ca="1" si="5"/>
        <v>FORA DO INTERVALO</v>
      </c>
      <c r="V63" s="690"/>
      <c r="W63" s="690"/>
      <c r="X63" s="62">
        <f>VLOOKUP(CONCATENATE(J57,"-",R63),$C$2:$G$136,3,FALSE)</f>
        <v>5.6000000000000008E-3</v>
      </c>
      <c r="Y63" s="62">
        <f>VLOOKUP(CONCATENATE(J57,"-",R63),$C$2:$G$136,4,FALSE)</f>
        <v>8.5000000000000006E-3</v>
      </c>
      <c r="Z63" s="62">
        <f>VLOOKUP(CONCATENATE(J57,"-",R63),$C$2:$G$136,5,FALSE)</f>
        <v>8.8999999999999999E-3</v>
      </c>
    </row>
    <row r="64" spans="1:26" ht="15" customHeight="1" x14ac:dyDescent="0.25">
      <c r="A64"/>
      <c r="B64"/>
      <c r="C64"/>
      <c r="D64"/>
      <c r="E64"/>
      <c r="F64"/>
      <c r="G64"/>
      <c r="I64" t="str">
        <f t="shared" ca="1" si="3"/>
        <v>F</v>
      </c>
      <c r="J64" s="689" t="s">
        <v>943</v>
      </c>
      <c r="K64" s="689"/>
      <c r="L64" s="689"/>
      <c r="M64" s="689"/>
      <c r="N64" s="689"/>
      <c r="O64" s="689"/>
      <c r="P64" s="689"/>
      <c r="Q64" s="689"/>
      <c r="R64" s="60" t="str">
        <f>IF($J57=$A$146,"","DF")</f>
        <v>DF</v>
      </c>
      <c r="S64" s="61">
        <v>8.5000000000000006E-3</v>
      </c>
      <c r="T64" s="572" t="str">
        <f t="shared" ca="1" si="4"/>
        <v/>
      </c>
      <c r="U64" s="690" t="str">
        <f t="shared" ca="1" si="5"/>
        <v>OK</v>
      </c>
      <c r="V64" s="690"/>
      <c r="W64" s="690"/>
      <c r="X64" s="62">
        <f>VLOOKUP(CONCATENATE(J57,"-",R64),$C$2:$G$136,3,FALSE)</f>
        <v>8.5000000000000006E-3</v>
      </c>
      <c r="Y64" s="62">
        <f>VLOOKUP(CONCATENATE(J57,"-",R64),$C$2:$G$136,4,FALSE)</f>
        <v>8.5000000000000006E-3</v>
      </c>
      <c r="Z64" s="62">
        <f>VLOOKUP(CONCATENATE(J57,"-",R64),$C$2:$G$136,5,FALSE)</f>
        <v>1.11E-2</v>
      </c>
    </row>
    <row r="65" spans="1:26" ht="15" customHeight="1" x14ac:dyDescent="0.25">
      <c r="A65"/>
      <c r="B65"/>
      <c r="C65"/>
      <c r="D65"/>
      <c r="E65"/>
      <c r="F65"/>
      <c r="G65"/>
      <c r="I65" t="str">
        <f t="shared" ca="1" si="3"/>
        <v>F</v>
      </c>
      <c r="J65" s="689" t="str">
        <f>IF($J$17=$A$146,"Margem bruta da empresa de consultoria","Lucro")</f>
        <v>Lucro</v>
      </c>
      <c r="K65" s="689"/>
      <c r="L65" s="689"/>
      <c r="M65" s="689"/>
      <c r="N65" s="689"/>
      <c r="O65" s="689"/>
      <c r="P65" s="689"/>
      <c r="Q65" s="689"/>
      <c r="R65" s="60" t="str">
        <f>IF($J57=$A$146,"K3","L")</f>
        <v>L</v>
      </c>
      <c r="S65" s="61">
        <v>3.5000000000000003E-2</v>
      </c>
      <c r="T65" s="572" t="str">
        <f t="shared" ca="1" si="4"/>
        <v/>
      </c>
      <c r="U65" s="690" t="str">
        <f t="shared" ca="1" si="5"/>
        <v>OK</v>
      </c>
      <c r="V65" s="690"/>
      <c r="W65" s="690"/>
      <c r="X65" s="62">
        <f>VLOOKUP(CONCATENATE(J57,"-",R65),$C$2:$G$136,3,FALSE)</f>
        <v>3.5000000000000003E-2</v>
      </c>
      <c r="Y65" s="62">
        <f>VLOOKUP(CONCATENATE(J57,"-",R65),$C$2:$G$136,4,FALSE)</f>
        <v>5.1100000000000007E-2</v>
      </c>
      <c r="Z65" s="62">
        <f>VLOOKUP(CONCATENATE(J57,"-",R65),$C$2:$G$136,5,FALSE)</f>
        <v>6.2199999999999998E-2</v>
      </c>
    </row>
    <row r="66" spans="1:26" ht="15" customHeight="1" x14ac:dyDescent="0.25">
      <c r="A66"/>
      <c r="B66"/>
      <c r="C66"/>
      <c r="D66"/>
      <c r="E66"/>
      <c r="F66"/>
      <c r="G66"/>
      <c r="I66" t="str">
        <f t="shared" ca="1" si="3"/>
        <v>F</v>
      </c>
      <c r="J66" s="689" t="s">
        <v>675</v>
      </c>
      <c r="K66" s="689"/>
      <c r="L66" s="689"/>
      <c r="M66" s="689"/>
      <c r="N66" s="689"/>
      <c r="O66" s="689"/>
      <c r="P66" s="689"/>
      <c r="Q66" s="689"/>
      <c r="R66" s="60" t="s">
        <v>456</v>
      </c>
      <c r="S66" s="61">
        <v>3.6499999999999998E-2</v>
      </c>
      <c r="T66" s="572" t="str">
        <f t="shared" ca="1" si="4"/>
        <v/>
      </c>
      <c r="U66" s="690" t="str">
        <f t="shared" ca="1" si="5"/>
        <v>OK</v>
      </c>
      <c r="V66" s="690"/>
      <c r="W66" s="690"/>
      <c r="X66" s="62">
        <f>Y66</f>
        <v>3.6499999999999998E-2</v>
      </c>
      <c r="Y66" s="62">
        <f>IF($J57=$A$145,"-",3.65%)</f>
        <v>3.6499999999999998E-2</v>
      </c>
      <c r="Z66" s="62">
        <f>Y66</f>
        <v>3.6499999999999998E-2</v>
      </c>
    </row>
    <row r="67" spans="1:26" ht="15" customHeight="1" x14ac:dyDescent="0.25">
      <c r="A67"/>
      <c r="B67"/>
      <c r="C67"/>
      <c r="D67"/>
      <c r="E67"/>
      <c r="F67"/>
      <c r="G67"/>
      <c r="I67" t="str">
        <f t="shared" ca="1" si="3"/>
        <v>F</v>
      </c>
      <c r="J67" s="689" t="s">
        <v>676</v>
      </c>
      <c r="K67" s="689"/>
      <c r="L67" s="689"/>
      <c r="M67" s="689"/>
      <c r="N67" s="689"/>
      <c r="O67" s="689"/>
      <c r="P67" s="689"/>
      <c r="Q67" s="689"/>
      <c r="R67" s="60" t="s">
        <v>677</v>
      </c>
      <c r="S67" s="62">
        <f ca="1">IF(AND($J57&lt;&gt;$A$145,COUNTA(OFFSET(S60,1,0,6))&gt;0),$R$11*$R$10,0)</f>
        <v>0.05</v>
      </c>
      <c r="U67" s="690" t="str">
        <f t="shared" ca="1" si="5"/>
        <v>OK</v>
      </c>
      <c r="V67" s="690"/>
      <c r="W67" s="690"/>
      <c r="X67" s="62">
        <v>0</v>
      </c>
      <c r="Y67" s="62">
        <v>2.5000000000000001E-2</v>
      </c>
      <c r="Z67" s="62">
        <v>0.05</v>
      </c>
    </row>
    <row r="68" spans="1:26" ht="15" customHeight="1" x14ac:dyDescent="0.25">
      <c r="A68"/>
      <c r="B68"/>
      <c r="C68"/>
      <c r="D68"/>
      <c r="E68"/>
      <c r="F68"/>
      <c r="G68"/>
      <c r="I68" t="str">
        <f t="shared" ca="1" si="3"/>
        <v>F</v>
      </c>
      <c r="J68" s="689" t="s">
        <v>678</v>
      </c>
      <c r="K68" s="689"/>
      <c r="L68" s="689"/>
      <c r="M68" s="689"/>
      <c r="N68" s="689"/>
      <c r="O68" s="689"/>
      <c r="P68" s="689"/>
      <c r="Q68" s="689"/>
      <c r="R68" s="60" t="s">
        <v>679</v>
      </c>
      <c r="S68" s="62" cm="1">
        <f t="array" aca="1" ref="S68" ca="1">IF(BDI.Opcao&lt;&gt;"Desonerado",0,IF(AND($J57&lt;&gt;$A$145,COUNTA(OFFSET(S60,1,0,6))&gt;0),IF(YEAR(Import.DataBase)&lt;2025,4.5%,IF(YEAR(Import.DataBase)=2025,3.6%,IF(YEAR(Import.DataBase)=2026,2.7%,IF(YEAR(Import.DataBase)=2027,1.8%,0%)))),0%))</f>
        <v>0</v>
      </c>
      <c r="U68" s="690" t="str">
        <f t="shared" ca="1" si="5"/>
        <v>OK</v>
      </c>
      <c r="V68" s="690"/>
      <c r="W68" s="690"/>
      <c r="X68" s="63">
        <f ca="1">$S68</f>
        <v>0</v>
      </c>
      <c r="Y68" s="63">
        <f ca="1">$S68</f>
        <v>0</v>
      </c>
      <c r="Z68" s="63">
        <f ca="1">$S68</f>
        <v>0</v>
      </c>
    </row>
    <row r="69" spans="1:26" ht="15" customHeight="1" x14ac:dyDescent="0.25">
      <c r="A69"/>
      <c r="B69"/>
      <c r="C69"/>
      <c r="D69"/>
      <c r="E69"/>
      <c r="F69"/>
      <c r="G69"/>
      <c r="I69" t="str">
        <f t="shared" ca="1" si="3"/>
        <v>F</v>
      </c>
      <c r="J69" s="689" t="s">
        <v>680</v>
      </c>
      <c r="K69" s="689"/>
      <c r="L69" s="689"/>
      <c r="M69" s="689"/>
      <c r="N69" s="689"/>
      <c r="O69" s="689"/>
      <c r="P69" s="689"/>
      <c r="Q69" s="689"/>
      <c r="R69" s="64" t="s">
        <v>656</v>
      </c>
      <c r="S69" s="62">
        <f ca="1">IF($J57=$A$145,0,ROUND((((1+S61+S62+S63)*(1+S64)*(1+S65)/(1-(S66+S67)))-1),4))</f>
        <v>0.15</v>
      </c>
      <c r="U69" s="691" t="str">
        <f ca="1">IFERROR(IF(AND(OR(S69&gt;=X69,X69="-"),OR(S69&lt;=Z69,Z69="-")),"OK","FORA DO INTERVALO"),IF(S69=0,"OK","Selecione o Tipo de obra"))</f>
        <v>OK</v>
      </c>
      <c r="V69" s="691"/>
      <c r="W69" s="691"/>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5">
      <c r="A70"/>
      <c r="B70"/>
      <c r="C70"/>
      <c r="D70"/>
      <c r="E70"/>
      <c r="F70"/>
      <c r="G70"/>
      <c r="I70" t="str">
        <f t="shared" ca="1" si="3"/>
        <v>F</v>
      </c>
      <c r="J70" s="692" t="s">
        <v>681</v>
      </c>
      <c r="K70" s="692"/>
      <c r="L70" s="692"/>
      <c r="M70" s="692"/>
      <c r="N70" s="692"/>
      <c r="O70" s="692"/>
      <c r="P70" s="692"/>
      <c r="Q70" s="692"/>
      <c r="R70" s="65" t="s">
        <v>682</v>
      </c>
      <c r="S70" s="66">
        <f ca="1">IF($J57=$A$145,0,ROUND((((1+S61+S62+S63)*(1+S64)*(1+S65)/(1-(S66+S67+S68)))-1),4))</f>
        <v>0.15</v>
      </c>
    </row>
    <row r="71" spans="1:26" ht="15" customHeight="1" x14ac:dyDescent="0.25">
      <c r="A71"/>
      <c r="B71"/>
      <c r="C71"/>
      <c r="D71"/>
      <c r="E71"/>
      <c r="F71"/>
      <c r="G71"/>
      <c r="I71" t="str">
        <f t="shared" ca="1" si="3"/>
        <v>F</v>
      </c>
    </row>
    <row r="72" spans="1:26" ht="15.6" x14ac:dyDescent="0.25">
      <c r="A72"/>
      <c r="B72"/>
      <c r="C72"/>
      <c r="D72"/>
      <c r="E72"/>
      <c r="F72"/>
      <c r="G72"/>
      <c r="I72" t="str">
        <f t="shared" ca="1" si="3"/>
        <v>F</v>
      </c>
      <c r="J72" s="67" t="str">
        <f ca="1">IF(U69&lt;&gt;"ok","X","")</f>
        <v/>
      </c>
      <c r="K72" s="693" t="str">
        <f ca="1">IF(U69&lt;&gt;"ok","Anexo: Relatório Técnico Circunstanciado justificando a adoção do percentual de cada parcela do BDI.","")</f>
        <v/>
      </c>
      <c r="L72" s="693"/>
      <c r="M72" s="693"/>
      <c r="N72" s="693"/>
      <c r="O72" s="693"/>
      <c r="P72" s="693"/>
      <c r="Q72" s="693"/>
      <c r="R72" s="693"/>
      <c r="S72" s="693"/>
    </row>
    <row r="73" spans="1:26" x14ac:dyDescent="0.25">
      <c r="A73"/>
      <c r="B73"/>
      <c r="C73"/>
      <c r="D73"/>
      <c r="E73"/>
      <c r="F73"/>
      <c r="G73"/>
      <c r="I73" t="str">
        <f t="shared" ca="1" si="3"/>
        <v>F</v>
      </c>
    </row>
    <row r="74" spans="1:26" x14ac:dyDescent="0.25">
      <c r="A74"/>
      <c r="B74"/>
      <c r="C74"/>
      <c r="D74"/>
      <c r="E74"/>
      <c r="F74"/>
      <c r="G74"/>
      <c r="I74" t="str">
        <f t="shared" ca="1" si="3"/>
        <v>F</v>
      </c>
      <c r="J74" s="695" t="s">
        <v>683</v>
      </c>
      <c r="K74" s="695"/>
      <c r="L74" s="695"/>
      <c r="M74" s="695"/>
      <c r="N74" s="695"/>
      <c r="O74" s="695"/>
      <c r="P74" s="695"/>
      <c r="Q74" s="695"/>
      <c r="R74" s="695"/>
      <c r="S74" s="695"/>
    </row>
    <row r="75" spans="1:26" ht="15.6" x14ac:dyDescent="0.3">
      <c r="A75"/>
      <c r="B75"/>
      <c r="C75"/>
      <c r="D75"/>
      <c r="E75"/>
      <c r="F75"/>
      <c r="G75"/>
      <c r="I75" t="str">
        <f t="shared" ca="1" si="3"/>
        <v>F</v>
      </c>
      <c r="J75" s="68"/>
      <c r="K75" s="68"/>
      <c r="L75" s="68"/>
      <c r="M75" s="696" t="s">
        <v>684</v>
      </c>
      <c r="N75" s="697" t="str">
        <f>IF($J57=$A$146,"(1+K1+K2)*(1+K3)","(1+AC + S + R + G)*(1 + DF)*(1+L)")</f>
        <v>(1+AC + S + R + G)*(1 + DF)*(1+L)</v>
      </c>
      <c r="O75" s="697"/>
      <c r="P75" s="697"/>
      <c r="Q75" s="698" t="s">
        <v>685</v>
      </c>
      <c r="R75" s="68"/>
      <c r="S75" s="68"/>
    </row>
    <row r="76" spans="1:26" ht="15.6" x14ac:dyDescent="0.25">
      <c r="A76"/>
      <c r="B76"/>
      <c r="C76"/>
      <c r="D76"/>
      <c r="E76"/>
      <c r="F76"/>
      <c r="G76"/>
      <c r="I76" t="str">
        <f t="shared" ca="1" si="3"/>
        <v>F</v>
      </c>
      <c r="J76" s="68"/>
      <c r="K76" s="68"/>
      <c r="L76" s="68"/>
      <c r="M76" s="696"/>
      <c r="N76" s="688" t="s">
        <v>686</v>
      </c>
      <c r="O76" s="688"/>
      <c r="P76" s="688"/>
      <c r="Q76" s="698"/>
      <c r="R76" s="68"/>
      <c r="S76" s="68"/>
    </row>
    <row r="77" spans="1:26" ht="15" customHeight="1" x14ac:dyDescent="0.25">
      <c r="A77"/>
      <c r="B77"/>
      <c r="C77"/>
      <c r="D77"/>
      <c r="E77"/>
      <c r="F77"/>
      <c r="G77"/>
      <c r="I77" t="str">
        <f t="shared" ca="1" si="3"/>
        <v>F</v>
      </c>
      <c r="J77" s="68"/>
      <c r="K77" s="68"/>
      <c r="L77" s="68"/>
      <c r="M77" s="69"/>
      <c r="N77" s="71"/>
      <c r="O77" s="71"/>
      <c r="P77" s="71"/>
      <c r="Q77" s="70"/>
      <c r="R77" s="68"/>
      <c r="S77" s="68"/>
    </row>
    <row r="78" spans="1:26" ht="50.1" customHeight="1" x14ac:dyDescent="0.25">
      <c r="A78"/>
      <c r="B78"/>
      <c r="C78"/>
      <c r="D78"/>
      <c r="E78"/>
      <c r="F78"/>
      <c r="G78"/>
      <c r="I78" t="str">
        <f t="shared" ca="1" si="3"/>
        <v>F</v>
      </c>
      <c r="J78" s="68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82"/>
      <c r="L78" s="682"/>
      <c r="M78" s="682"/>
      <c r="N78" s="682"/>
      <c r="O78" s="682"/>
      <c r="P78" s="682"/>
      <c r="Q78" s="682"/>
      <c r="R78" s="682"/>
      <c r="S78" s="682"/>
    </row>
    <row r="79" spans="1:26" x14ac:dyDescent="0.25">
      <c r="A79"/>
      <c r="B79"/>
      <c r="C79"/>
      <c r="D79"/>
      <c r="E79"/>
      <c r="F79"/>
      <c r="G79"/>
      <c r="I79" t="str">
        <f t="shared" ca="1" si="3"/>
        <v>F</v>
      </c>
    </row>
    <row r="80" spans="1:26" ht="50.1" customHeight="1" x14ac:dyDescent="0.25">
      <c r="A80"/>
      <c r="B80"/>
      <c r="C80"/>
      <c r="D80"/>
      <c r="E80"/>
      <c r="F80"/>
      <c r="G80"/>
      <c r="I80" t="str">
        <f t="shared" ca="1" si="3"/>
        <v>F</v>
      </c>
      <c r="J80" s="682"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2"/>
      <c r="L80" s="682"/>
      <c r="M80" s="682"/>
      <c r="N80" s="682"/>
      <c r="O80" s="682"/>
      <c r="P80" s="682"/>
      <c r="Q80" s="682"/>
      <c r="R80" s="682"/>
      <c r="S80" s="682"/>
    </row>
    <row r="81" spans="1:21" x14ac:dyDescent="0.25">
      <c r="A81"/>
      <c r="B81"/>
      <c r="C81"/>
      <c r="D81"/>
      <c r="E81"/>
      <c r="F81"/>
      <c r="G81"/>
      <c r="I81" t="str">
        <f t="shared" ca="1" si="3"/>
        <v>F</v>
      </c>
    </row>
    <row r="82" spans="1:21" x14ac:dyDescent="0.25">
      <c r="A82"/>
      <c r="B82"/>
      <c r="C82"/>
      <c r="D82"/>
      <c r="E82"/>
      <c r="F82"/>
      <c r="G82"/>
      <c r="I82" t="str">
        <f t="shared" ca="1" si="3"/>
        <v>F</v>
      </c>
      <c r="J82" s="49" t="s">
        <v>689</v>
      </c>
    </row>
    <row r="83" spans="1:21" ht="99.9" customHeight="1" x14ac:dyDescent="0.25">
      <c r="A83"/>
      <c r="B83"/>
      <c r="C83"/>
      <c r="D83"/>
      <c r="E83"/>
      <c r="F83"/>
      <c r="G83"/>
      <c r="I83" t="str">
        <f t="shared" ca="1" si="3"/>
        <v>F</v>
      </c>
      <c r="J83" s="683"/>
      <c r="K83" s="683"/>
      <c r="L83" s="683"/>
      <c r="M83" s="683"/>
      <c r="N83" s="683"/>
      <c r="O83" s="683"/>
      <c r="P83" s="683"/>
      <c r="Q83" s="683"/>
      <c r="R83" s="683"/>
      <c r="S83" s="683"/>
    </row>
    <row r="84" spans="1:21" x14ac:dyDescent="0.25">
      <c r="A84"/>
      <c r="B84"/>
      <c r="C84"/>
      <c r="D84"/>
      <c r="E84"/>
      <c r="F84"/>
      <c r="G84"/>
      <c r="I84" t="str">
        <f t="shared" ca="1" si="3"/>
        <v>F</v>
      </c>
    </row>
    <row r="85" spans="1:21" x14ac:dyDescent="0.25">
      <c r="A85"/>
      <c r="B85"/>
      <c r="C85"/>
      <c r="D85"/>
      <c r="E85"/>
      <c r="F85"/>
      <c r="G85"/>
      <c r="I85" t="str">
        <f t="shared" ca="1" si="3"/>
        <v>F</v>
      </c>
      <c r="J85" s="684" t="str">
        <f>Import.Município</f>
        <v>SARANDI/RS</v>
      </c>
      <c r="K85" s="684"/>
      <c r="L85" s="684"/>
      <c r="M85" s="684"/>
      <c r="P85" s="685">
        <f>DADOS!$C$25</f>
        <v>46034</v>
      </c>
      <c r="Q85" s="685"/>
      <c r="R85" s="685"/>
      <c r="S85" s="685"/>
    </row>
    <row r="86" spans="1:21" x14ac:dyDescent="0.25">
      <c r="A86"/>
      <c r="B86"/>
      <c r="C86"/>
      <c r="D86"/>
      <c r="E86"/>
      <c r="F86"/>
      <c r="G86"/>
      <c r="I86" t="str">
        <f t="shared" ca="1" si="3"/>
        <v>F</v>
      </c>
      <c r="J86" s="686" t="s">
        <v>693</v>
      </c>
      <c r="K86" s="686"/>
      <c r="L86" s="686"/>
      <c r="M86" s="686"/>
      <c r="O86" s="73"/>
      <c r="P86" s="74" t="s">
        <v>694</v>
      </c>
      <c r="Q86" s="75"/>
      <c r="R86" s="75"/>
      <c r="S86" s="75"/>
    </row>
    <row r="87" spans="1:21" ht="30" customHeight="1" x14ac:dyDescent="0.25">
      <c r="A87"/>
      <c r="B87"/>
      <c r="C87"/>
      <c r="D87"/>
      <c r="E87"/>
      <c r="F87"/>
      <c r="G87"/>
      <c r="I87" t="str">
        <f t="shared" ca="1" si="3"/>
        <v>F</v>
      </c>
    </row>
    <row r="88" spans="1:21" ht="13.8" x14ac:dyDescent="0.25">
      <c r="A88"/>
      <c r="B88"/>
      <c r="C88"/>
      <c r="D88"/>
      <c r="E88"/>
      <c r="F88"/>
      <c r="G88"/>
      <c r="I88" t="str">
        <f t="shared" ca="1" si="3"/>
        <v>F</v>
      </c>
      <c r="J88" s="687"/>
      <c r="K88" s="687"/>
      <c r="L88" s="687"/>
      <c r="M88" s="687"/>
      <c r="N88" s="76"/>
    </row>
    <row r="89" spans="1:21" x14ac:dyDescent="0.25">
      <c r="A89"/>
      <c r="B89"/>
      <c r="C89"/>
      <c r="D89"/>
      <c r="E89"/>
      <c r="F89"/>
      <c r="G89"/>
      <c r="I89" t="str">
        <f t="shared" ca="1" si="3"/>
        <v>F</v>
      </c>
      <c r="J89" s="681" t="s">
        <v>696</v>
      </c>
      <c r="K89" s="681"/>
      <c r="L89" s="681"/>
      <c r="M89" s="681"/>
    </row>
    <row r="90" spans="1:21" ht="13.8" x14ac:dyDescent="0.25">
      <c r="A90"/>
      <c r="B90"/>
      <c r="C90"/>
      <c r="D90"/>
      <c r="E90"/>
      <c r="F90"/>
      <c r="G90"/>
      <c r="I90" t="str">
        <f t="shared" ca="1" si="3"/>
        <v>F</v>
      </c>
      <c r="J90" s="77" t="s">
        <v>240</v>
      </c>
      <c r="K90" s="78" t="str">
        <f t="array" ref="K90:K92">Import.RespOrçamento</f>
        <v>LEONARDO HENRIQUE ZAMBERLAN</v>
      </c>
      <c r="L90" s="79"/>
      <c r="M90" s="79"/>
      <c r="N90" s="76"/>
    </row>
    <row r="91" spans="1:21" ht="13.8" x14ac:dyDescent="0.25">
      <c r="A91"/>
      <c r="B91"/>
      <c r="C91"/>
      <c r="D91"/>
      <c r="E91"/>
      <c r="F91"/>
      <c r="G91"/>
      <c r="I91" t="str">
        <f t="shared" ca="1" si="3"/>
        <v>F</v>
      </c>
      <c r="J91" s="77" t="s">
        <v>243</v>
      </c>
      <c r="K91" s="78" t="str">
        <v>CREA-RS 242523</v>
      </c>
      <c r="L91" s="79"/>
      <c r="M91" s="79"/>
      <c r="N91" s="76"/>
    </row>
    <row r="92" spans="1:21" ht="13.8" x14ac:dyDescent="0.25">
      <c r="A92"/>
      <c r="B92"/>
      <c r="C92"/>
      <c r="D92"/>
      <c r="E92"/>
      <c r="F92"/>
      <c r="G92"/>
      <c r="I92" t="str">
        <f t="shared" ca="1" si="3"/>
        <v>F</v>
      </c>
      <c r="J92" s="77" t="s">
        <v>246</v>
      </c>
      <c r="K92" s="78">
        <v>0</v>
      </c>
      <c r="L92" s="79"/>
      <c r="M92" s="79"/>
      <c r="N92" s="76"/>
    </row>
    <row r="93" spans="1:21" ht="13.8" x14ac:dyDescent="0.25">
      <c r="A93"/>
      <c r="B93"/>
      <c r="C93"/>
      <c r="D93"/>
      <c r="E93"/>
      <c r="F93"/>
      <c r="G93"/>
      <c r="I93" t="str">
        <f t="shared" ca="1" si="3"/>
        <v>F</v>
      </c>
      <c r="J93" s="77"/>
      <c r="K93" s="80"/>
      <c r="L93" s="79"/>
      <c r="M93" s="79"/>
      <c r="N93" s="76"/>
    </row>
    <row r="94" spans="1:21" ht="15.6" x14ac:dyDescent="0.3">
      <c r="A94"/>
      <c r="B94"/>
      <c r="C94"/>
      <c r="D94"/>
      <c r="E94"/>
      <c r="F94"/>
      <c r="G94"/>
      <c r="I94" t="str">
        <f ca="1">IF($S$109=0,"","F")</f>
        <v/>
      </c>
      <c r="J94" s="703" t="s">
        <v>698</v>
      </c>
      <c r="K94" s="703"/>
      <c r="L94" s="703"/>
      <c r="M94" s="703"/>
      <c r="N94" s="703"/>
      <c r="O94" s="703"/>
      <c r="P94" s="703"/>
      <c r="Q94" s="703"/>
      <c r="R94" s="703"/>
      <c r="S94" s="703"/>
      <c r="U94" s="521" t="str">
        <f>IF(COUNTIF(ORÇAMENTO!$V$15:$V$165,BDI_3.Título)=0,"",IF(OR(Import.BDI.Tipo3="(SELECIONAR)",Import.BDI.Tipo3="",U97&lt;&gt;"",AND($J97&lt;&gt;$A$145,OR(S101="",S102="",AND($J97&lt;&gt;$A$146,OR(S103="",S104="")),S105="",S106=""))),"Falta preencher o BDI 3",""))</f>
        <v/>
      </c>
    </row>
    <row r="95" spans="1:21" x14ac:dyDescent="0.25">
      <c r="A95"/>
      <c r="B95"/>
      <c r="C95"/>
      <c r="D95"/>
      <c r="E95"/>
      <c r="F95"/>
      <c r="G95"/>
      <c r="I95" t="str">
        <f t="shared" ref="I95:I132" ca="1" si="6">IF($S$109=0,"","F")</f>
        <v/>
      </c>
    </row>
    <row r="96" spans="1:21" x14ac:dyDescent="0.25">
      <c r="A96"/>
      <c r="B96"/>
      <c r="C96"/>
      <c r="D96"/>
      <c r="E96"/>
      <c r="F96"/>
      <c r="G96"/>
      <c r="I96" t="str">
        <f t="shared" ca="1" si="6"/>
        <v/>
      </c>
      <c r="J96" s="701" t="s">
        <v>664</v>
      </c>
      <c r="K96" s="701"/>
      <c r="L96" s="701"/>
      <c r="M96" s="701"/>
      <c r="N96" s="701"/>
      <c r="O96" s="701"/>
      <c r="P96" s="701"/>
      <c r="Q96" s="701"/>
      <c r="R96" s="701"/>
      <c r="S96" s="701"/>
    </row>
    <row r="97" spans="1:26" ht="13.8" x14ac:dyDescent="0.25">
      <c r="A97"/>
      <c r="B97"/>
      <c r="C97"/>
      <c r="D97"/>
      <c r="E97"/>
      <c r="F97"/>
      <c r="G97"/>
      <c r="I97" t="str">
        <f t="shared" ca="1" si="6"/>
        <v/>
      </c>
      <c r="J97" s="702" t="s">
        <v>139</v>
      </c>
      <c r="K97" s="702"/>
      <c r="L97" s="702"/>
      <c r="M97" s="702"/>
      <c r="N97" s="702"/>
      <c r="O97" s="702"/>
      <c r="P97" s="702"/>
      <c r="Q97" s="702"/>
      <c r="R97" s="702"/>
      <c r="S97" s="702"/>
      <c r="T97" s="563" t="str">
        <f ca="1">IF(U97="","","◄")</f>
        <v/>
      </c>
      <c r="U97" s="562" t="str">
        <f ca="1">IF(AND(OR(S109&gt;0,COUNTIF(ORÇAMENTO!$V$15:$V$165,BDI_3.Título)&gt;0),OR(Import.BDI.Tipo3="(SELECIONAR)",Import.BDI.Tipo3="")),"Selecione o Tipo de obra","")</f>
        <v/>
      </c>
    </row>
    <row r="98" spans="1:26" x14ac:dyDescent="0.25">
      <c r="A98"/>
      <c r="B98"/>
      <c r="C98"/>
      <c r="D98"/>
      <c r="E98"/>
      <c r="F98"/>
      <c r="G98"/>
      <c r="I98" t="str">
        <f t="shared" ca="1" si="6"/>
        <v/>
      </c>
    </row>
    <row r="99" spans="1:26" ht="12.75" customHeight="1" x14ac:dyDescent="0.25">
      <c r="A99"/>
      <c r="B99"/>
      <c r="C99"/>
      <c r="D99"/>
      <c r="E99"/>
      <c r="F99"/>
      <c r="G99"/>
      <c r="I99" t="str">
        <f t="shared" ca="1" si="6"/>
        <v/>
      </c>
      <c r="J99" s="700" t="s">
        <v>666</v>
      </c>
      <c r="K99" s="700"/>
      <c r="L99" s="700"/>
      <c r="M99" s="700"/>
      <c r="N99" s="700"/>
      <c r="O99" s="700"/>
      <c r="P99" s="700"/>
      <c r="Q99" s="700"/>
      <c r="R99" s="700" t="s">
        <v>667</v>
      </c>
      <c r="S99" s="691" t="s">
        <v>668</v>
      </c>
      <c r="U99" s="691" t="s">
        <v>669</v>
      </c>
      <c r="V99" s="691"/>
      <c r="W99" s="691"/>
      <c r="X99" s="699" t="s">
        <v>670</v>
      </c>
      <c r="Y99" s="699" t="s">
        <v>671</v>
      </c>
      <c r="Z99" s="699" t="s">
        <v>672</v>
      </c>
    </row>
    <row r="100" spans="1:26" ht="12.75" customHeight="1" x14ac:dyDescent="0.25">
      <c r="A100"/>
      <c r="B100"/>
      <c r="C100"/>
      <c r="D100"/>
      <c r="E100"/>
      <c r="F100"/>
      <c r="G100"/>
      <c r="I100" t="str">
        <f t="shared" ca="1" si="6"/>
        <v/>
      </c>
      <c r="J100" s="700"/>
      <c r="K100" s="700"/>
      <c r="L100" s="700"/>
      <c r="M100" s="700"/>
      <c r="N100" s="700"/>
      <c r="O100" s="700"/>
      <c r="P100" s="700"/>
      <c r="Q100" s="700"/>
      <c r="R100" s="700"/>
      <c r="S100" s="691"/>
      <c r="U100" s="691"/>
      <c r="V100" s="691"/>
      <c r="W100" s="691"/>
      <c r="X100" s="699"/>
      <c r="Y100" s="699"/>
      <c r="Z100" s="699"/>
    </row>
    <row r="101" spans="1:26" ht="15" customHeight="1" x14ac:dyDescent="0.25">
      <c r="A101"/>
      <c r="B101"/>
      <c r="C101"/>
      <c r="D101"/>
      <c r="E101"/>
      <c r="F101"/>
      <c r="G101"/>
      <c r="I101" t="str">
        <f t="shared" ca="1" si="6"/>
        <v/>
      </c>
      <c r="J101" s="689" t="str">
        <f>IF($J$17=$A$146,"Encargos Sociais incidentes sobre a mão de obra","Administração Central")</f>
        <v>Administração Central</v>
      </c>
      <c r="K101" s="689"/>
      <c r="L101" s="689"/>
      <c r="M101" s="689"/>
      <c r="N101" s="689"/>
      <c r="O101" s="689"/>
      <c r="P101" s="689"/>
      <c r="Q101" s="689"/>
      <c r="R101" s="60" t="str">
        <f>IF($J97=$A$146,"K1","AC")</f>
        <v>AC</v>
      </c>
      <c r="S101" s="61"/>
      <c r="T101" s="572" t="str">
        <f ca="1">IF(AND($U$94&lt;&gt;"",$U$97="",R101&lt;&gt;"",S101=""),"◄","")</f>
        <v/>
      </c>
      <c r="U101" s="690" t="str">
        <f ca="1">IFERROR(IF(T101="◄","FALTA PREENCHER",IF(AND(OR(S101&gt;=X101,X101="-"),OR(S101&lt;=Z101,Z101="-")),"OK","FORA DO INTERVALO")),"-")</f>
        <v>-</v>
      </c>
      <c r="V101" s="690"/>
      <c r="W101" s="690"/>
      <c r="X101" s="62" t="e">
        <f>VLOOKUP(CONCATENATE(J97,"-",R101),$C$2:$G$136,3,FALSE)</f>
        <v>#N/A</v>
      </c>
      <c r="Y101" s="62" t="e">
        <f>VLOOKUP(CONCATENATE(J97,"-",R101),$C$2:$G$136,4,FALSE)</f>
        <v>#N/A</v>
      </c>
      <c r="Z101" s="62" t="e">
        <f>VLOOKUP(CONCATENATE(J97,"-",R101),$C$2:$G$136,5,FALSE)</f>
        <v>#N/A</v>
      </c>
    </row>
    <row r="102" spans="1:26" ht="15" customHeight="1" x14ac:dyDescent="0.25">
      <c r="A102"/>
      <c r="B102"/>
      <c r="C102"/>
      <c r="D102"/>
      <c r="E102"/>
      <c r="F102"/>
      <c r="G102"/>
      <c r="I102" t="str">
        <f t="shared" ca="1" si="6"/>
        <v/>
      </c>
      <c r="J102" s="689" t="str">
        <f>IF($J$17=$A$146,"Administração Central da empresa ou consultoria - overhead","Seguro e Garantia")</f>
        <v>Seguro e Garantia</v>
      </c>
      <c r="K102" s="689"/>
      <c r="L102" s="689"/>
      <c r="M102" s="689"/>
      <c r="N102" s="689"/>
      <c r="O102" s="689"/>
      <c r="P102" s="689"/>
      <c r="Q102" s="689"/>
      <c r="R102" s="60" t="str">
        <f>IF($J97=$A$146,"K2","SG")</f>
        <v>SG</v>
      </c>
      <c r="S102" s="61"/>
      <c r="T102" s="572" t="str">
        <f t="shared" ref="T102:T106" ca="1" si="7">IF(AND($U$94&lt;&gt;"",$U$97="",R102&lt;&gt;"",S102=""),"◄","")</f>
        <v/>
      </c>
      <c r="U102" s="690" t="str">
        <f t="shared" ref="U102:U108" ca="1" si="8">IFERROR(IF(T102="◄","FALTA PREENCHER",IF(AND(OR(S102&gt;=X102,X102="-"),OR(S102&lt;=Z102,Z102="-")),"OK","FORA DO INTERVALO")),"-")</f>
        <v>-</v>
      </c>
      <c r="V102" s="690"/>
      <c r="W102" s="690"/>
      <c r="X102" s="62" t="e">
        <f>VLOOKUP(CONCATENATE(J97,"-",R102),$C$2:$G$136,3,FALSE)</f>
        <v>#N/A</v>
      </c>
      <c r="Y102" s="62" t="e">
        <f>VLOOKUP(CONCATENATE(J97,"-",R102),$C$2:$G$136,4,FALSE)</f>
        <v>#N/A</v>
      </c>
      <c r="Z102" s="62" t="e">
        <f>VLOOKUP(CONCATENATE(J97,"-",R102),$C$2:$G$136,5,FALSE)</f>
        <v>#N/A</v>
      </c>
    </row>
    <row r="103" spans="1:26" ht="15" customHeight="1" x14ac:dyDescent="0.25">
      <c r="A103"/>
      <c r="B103"/>
      <c r="C103"/>
      <c r="D103"/>
      <c r="E103"/>
      <c r="F103"/>
      <c r="G103"/>
      <c r="I103" t="str">
        <f t="shared" ca="1" si="6"/>
        <v/>
      </c>
      <c r="J103" s="689" t="s">
        <v>942</v>
      </c>
      <c r="K103" s="689"/>
      <c r="L103" s="689"/>
      <c r="M103" s="689"/>
      <c r="N103" s="689"/>
      <c r="O103" s="689"/>
      <c r="P103" s="689"/>
      <c r="Q103" s="689"/>
      <c r="R103" s="60" t="str">
        <f>IF($J97=$A$146,"","R")</f>
        <v>R</v>
      </c>
      <c r="S103" s="61"/>
      <c r="T103" s="572" t="str">
        <f t="shared" ca="1" si="7"/>
        <v/>
      </c>
      <c r="U103" s="690" t="str">
        <f t="shared" ca="1" si="8"/>
        <v>-</v>
      </c>
      <c r="V103" s="690"/>
      <c r="W103" s="690"/>
      <c r="X103" s="62" t="e">
        <f>VLOOKUP(CONCATENATE(J97,"-",R103),$C$2:$G$136,3,FALSE)</f>
        <v>#N/A</v>
      </c>
      <c r="Y103" s="62" t="e">
        <f>VLOOKUP(CONCATENATE(J97,"-",R103),$C$2:$G$136,4,FALSE)</f>
        <v>#N/A</v>
      </c>
      <c r="Z103" s="62" t="e">
        <f>VLOOKUP(CONCATENATE(J97,"-",R103),$C$2:$G$136,5,FALSE)</f>
        <v>#N/A</v>
      </c>
    </row>
    <row r="104" spans="1:26" ht="15" customHeight="1" x14ac:dyDescent="0.25">
      <c r="A104"/>
      <c r="B104"/>
      <c r="C104"/>
      <c r="D104"/>
      <c r="E104"/>
      <c r="F104"/>
      <c r="G104"/>
      <c r="I104" t="str">
        <f t="shared" ca="1" si="6"/>
        <v/>
      </c>
      <c r="J104" s="689" t="s">
        <v>943</v>
      </c>
      <c r="K104" s="689"/>
      <c r="L104" s="689"/>
      <c r="M104" s="689"/>
      <c r="N104" s="689"/>
      <c r="O104" s="689"/>
      <c r="P104" s="689"/>
      <c r="Q104" s="689"/>
      <c r="R104" s="60" t="str">
        <f>IF($J97=$A$146,"","DF")</f>
        <v>DF</v>
      </c>
      <c r="S104" s="61"/>
      <c r="T104" s="572" t="str">
        <f t="shared" ca="1" si="7"/>
        <v/>
      </c>
      <c r="U104" s="690" t="str">
        <f t="shared" ca="1" si="8"/>
        <v>-</v>
      </c>
      <c r="V104" s="690"/>
      <c r="W104" s="690"/>
      <c r="X104" s="62" t="e">
        <f>VLOOKUP(CONCATENATE(J97,"-",R104),$C$2:$G$136,3,FALSE)</f>
        <v>#N/A</v>
      </c>
      <c r="Y104" s="62" t="e">
        <f>VLOOKUP(CONCATENATE(J97,"-",R104),$C$2:$G$136,4,FALSE)</f>
        <v>#N/A</v>
      </c>
      <c r="Z104" s="62" t="e">
        <f>VLOOKUP(CONCATENATE(J97,"-",R104),$C$2:$G$136,5,FALSE)</f>
        <v>#N/A</v>
      </c>
    </row>
    <row r="105" spans="1:26" ht="15" customHeight="1" x14ac:dyDescent="0.25">
      <c r="A105"/>
      <c r="B105"/>
      <c r="C105"/>
      <c r="D105"/>
      <c r="E105"/>
      <c r="F105"/>
      <c r="G105"/>
      <c r="I105" t="str">
        <f t="shared" ca="1" si="6"/>
        <v/>
      </c>
      <c r="J105" s="689" t="str">
        <f>IF($J$17=$A$146,"Margem bruta da empresa de consultoria","Lucro")</f>
        <v>Lucro</v>
      </c>
      <c r="K105" s="689"/>
      <c r="L105" s="689"/>
      <c r="M105" s="689"/>
      <c r="N105" s="689"/>
      <c r="O105" s="689"/>
      <c r="P105" s="689"/>
      <c r="Q105" s="689"/>
      <c r="R105" s="60" t="str">
        <f>IF($J97=$A$146,"K3","L")</f>
        <v>L</v>
      </c>
      <c r="S105" s="61"/>
      <c r="T105" s="572" t="str">
        <f t="shared" ca="1" si="7"/>
        <v/>
      </c>
      <c r="U105" s="690" t="str">
        <f t="shared" ca="1" si="8"/>
        <v>-</v>
      </c>
      <c r="V105" s="690"/>
      <c r="W105" s="690"/>
      <c r="X105" s="62" t="e">
        <f>VLOOKUP(CONCATENATE(J97,"-",R105),$C$2:$G$136,3,FALSE)</f>
        <v>#N/A</v>
      </c>
      <c r="Y105" s="62" t="e">
        <f>VLOOKUP(CONCATENATE(J97,"-",R105),$C$2:$G$136,4,FALSE)</f>
        <v>#N/A</v>
      </c>
      <c r="Z105" s="62" t="e">
        <f>VLOOKUP(CONCATENATE(J97,"-",R105),$C$2:$G$136,5,FALSE)</f>
        <v>#N/A</v>
      </c>
    </row>
    <row r="106" spans="1:26" ht="15" customHeight="1" x14ac:dyDescent="0.25">
      <c r="A106"/>
      <c r="B106"/>
      <c r="C106"/>
      <c r="D106"/>
      <c r="E106"/>
      <c r="F106"/>
      <c r="G106"/>
      <c r="I106" t="str">
        <f t="shared" ca="1" si="6"/>
        <v/>
      </c>
      <c r="J106" s="689" t="s">
        <v>675</v>
      </c>
      <c r="K106" s="689"/>
      <c r="L106" s="689"/>
      <c r="M106" s="689"/>
      <c r="N106" s="689"/>
      <c r="O106" s="689"/>
      <c r="P106" s="689"/>
      <c r="Q106" s="689"/>
      <c r="R106" s="60" t="s">
        <v>456</v>
      </c>
      <c r="S106" s="61"/>
      <c r="T106" s="572" t="str">
        <f t="shared" ca="1" si="7"/>
        <v/>
      </c>
      <c r="U106" s="690" t="str">
        <f t="shared" ca="1" si="8"/>
        <v>FORA DO INTERVALO</v>
      </c>
      <c r="V106" s="690"/>
      <c r="W106" s="690"/>
      <c r="X106" s="62">
        <f>Y106</f>
        <v>3.6499999999999998E-2</v>
      </c>
      <c r="Y106" s="62">
        <f>IF($J97=$A$145,"-",3.65%)</f>
        <v>3.6499999999999998E-2</v>
      </c>
      <c r="Z106" s="62">
        <f>Y106</f>
        <v>3.6499999999999998E-2</v>
      </c>
    </row>
    <row r="107" spans="1:26" ht="15" customHeight="1" x14ac:dyDescent="0.25">
      <c r="A107"/>
      <c r="B107"/>
      <c r="C107"/>
      <c r="D107"/>
      <c r="E107"/>
      <c r="F107"/>
      <c r="G107"/>
      <c r="I107" t="str">
        <f t="shared" ca="1" si="6"/>
        <v/>
      </c>
      <c r="J107" s="689" t="s">
        <v>676</v>
      </c>
      <c r="K107" s="689"/>
      <c r="L107" s="689"/>
      <c r="M107" s="689"/>
      <c r="N107" s="689"/>
      <c r="O107" s="689"/>
      <c r="P107" s="689"/>
      <c r="Q107" s="689"/>
      <c r="R107" s="60" t="s">
        <v>677</v>
      </c>
      <c r="S107" s="62">
        <f ca="1">IF(AND($J97&lt;&gt;$A$145,COUNTA(OFFSET(S100,1,0,6))&gt;0),$R$11*$R$10,0)</f>
        <v>0</v>
      </c>
      <c r="U107" s="690" t="str">
        <f t="shared" ca="1" si="8"/>
        <v>OK</v>
      </c>
      <c r="V107" s="690"/>
      <c r="W107" s="690"/>
      <c r="X107" s="62">
        <v>0</v>
      </c>
      <c r="Y107" s="62">
        <v>2.5000000000000001E-2</v>
      </c>
      <c r="Z107" s="62">
        <v>0.05</v>
      </c>
    </row>
    <row r="108" spans="1:26" ht="15" customHeight="1" x14ac:dyDescent="0.25">
      <c r="A108"/>
      <c r="B108"/>
      <c r="C108"/>
      <c r="D108"/>
      <c r="E108"/>
      <c r="F108"/>
      <c r="G108"/>
      <c r="I108" t="str">
        <f t="shared" ca="1" si="6"/>
        <v/>
      </c>
      <c r="J108" s="689" t="s">
        <v>678</v>
      </c>
      <c r="K108" s="689"/>
      <c r="L108" s="689"/>
      <c r="M108" s="689"/>
      <c r="N108" s="689"/>
      <c r="O108" s="689"/>
      <c r="P108" s="689"/>
      <c r="Q108" s="689"/>
      <c r="R108" s="60" t="s">
        <v>679</v>
      </c>
      <c r="S108" s="62" cm="1">
        <f t="array" aca="1" ref="S108" ca="1">IF(BDI.Opcao&lt;&gt;"Desonerado",0,IF(AND($J97&lt;&gt;$A$145,COUNTA(OFFSET(S100,1,0,6))&gt;0),IF(YEAR(Import.DataBase)&lt;2025,4.5%,IF(YEAR(Import.DataBase)=2025,3.6%,IF(YEAR(Import.DataBase)=2026,2.7%,IF(YEAR(Import.DataBase)=2027,1.8%,0%)))),0%))</f>
        <v>0</v>
      </c>
      <c r="U108" s="690" t="str">
        <f t="shared" ca="1" si="8"/>
        <v>OK</v>
      </c>
      <c r="V108" s="690"/>
      <c r="W108" s="690"/>
      <c r="X108" s="63">
        <f ca="1">$S108</f>
        <v>0</v>
      </c>
      <c r="Y108" s="63">
        <f ca="1">$S108</f>
        <v>0</v>
      </c>
      <c r="Z108" s="63">
        <f ca="1">$S108</f>
        <v>0</v>
      </c>
    </row>
    <row r="109" spans="1:26" ht="15" customHeight="1" x14ac:dyDescent="0.25">
      <c r="A109"/>
      <c r="B109"/>
      <c r="C109"/>
      <c r="D109"/>
      <c r="E109"/>
      <c r="F109"/>
      <c r="G109"/>
      <c r="I109" t="str">
        <f t="shared" ca="1" si="6"/>
        <v/>
      </c>
      <c r="J109" s="689" t="s">
        <v>680</v>
      </c>
      <c r="K109" s="689"/>
      <c r="L109" s="689"/>
      <c r="M109" s="689"/>
      <c r="N109" s="689"/>
      <c r="O109" s="689"/>
      <c r="P109" s="689"/>
      <c r="Q109" s="689"/>
      <c r="R109" s="64" t="s">
        <v>656</v>
      </c>
      <c r="S109" s="62">
        <f ca="1">IF($J97=$A$145,0,ROUND((((1+S101+S102+S103)*(1+S104)*(1+S105)/(1-(S106+S107)))-1),4))</f>
        <v>0</v>
      </c>
      <c r="U109" s="691" t="str">
        <f ca="1">IFERROR(IF(AND(OR(S109&gt;=X109,X109="-"),OR(S109&lt;=Z109,Z109="-")),"OK","FORA DO INTERVALO"),IF(S109=0,"OK","Selecione o Tipo de obra"))</f>
        <v>OK</v>
      </c>
      <c r="V109" s="691"/>
      <c r="W109" s="691"/>
      <c r="X109" s="62" t="e">
        <f>IF($J97=$A$145,0,VLOOKUP(CONCATENATE($J97,"-",$R109),$C$2:$G$136,3,FALSE))</f>
        <v>#N/A</v>
      </c>
      <c r="Y109" s="62" t="e">
        <f>IF($J97=$A$145,0,VLOOKUP(CONCATENATE($J97,"-",$R109),$C$2:$G$136,4,FALSE))</f>
        <v>#N/A</v>
      </c>
      <c r="Z109" s="62" t="e">
        <f>IF($J97=$A$145,0,VLOOKUP(CONCATENATE($J97,"-",$R109),$C$2:$G$136,5,FALSE))</f>
        <v>#N/A</v>
      </c>
    </row>
    <row r="110" spans="1:26" ht="15" customHeight="1" x14ac:dyDescent="0.25">
      <c r="A110"/>
      <c r="B110"/>
      <c r="C110"/>
      <c r="D110"/>
      <c r="E110"/>
      <c r="F110"/>
      <c r="G110"/>
      <c r="I110" t="str">
        <f t="shared" ca="1" si="6"/>
        <v/>
      </c>
      <c r="J110" s="692" t="s">
        <v>681</v>
      </c>
      <c r="K110" s="692"/>
      <c r="L110" s="692"/>
      <c r="M110" s="692"/>
      <c r="N110" s="692"/>
      <c r="O110" s="692"/>
      <c r="P110" s="692"/>
      <c r="Q110" s="692"/>
      <c r="R110" s="65" t="s">
        <v>682</v>
      </c>
      <c r="S110" s="66">
        <f ca="1">IF($J97=$A$145,0,ROUND((((1+S101+S102+S103)*(1+S104)*(1+S105)/(1-(S106+S107+S108)))-1),4))</f>
        <v>0</v>
      </c>
    </row>
    <row r="111" spans="1:26" ht="15" customHeight="1" x14ac:dyDescent="0.25">
      <c r="A111"/>
      <c r="B111"/>
      <c r="C111"/>
      <c r="D111"/>
      <c r="E111"/>
      <c r="F111"/>
      <c r="G111"/>
      <c r="I111" t="str">
        <f t="shared" ca="1" si="6"/>
        <v/>
      </c>
    </row>
    <row r="112" spans="1:26" ht="15.6" x14ac:dyDescent="0.25">
      <c r="A112"/>
      <c r="B112"/>
      <c r="C112"/>
      <c r="D112"/>
      <c r="E112"/>
      <c r="F112"/>
      <c r="G112"/>
      <c r="I112" t="str">
        <f t="shared" ca="1" si="6"/>
        <v/>
      </c>
      <c r="J112" s="67" t="str">
        <f ca="1">IF(U109&lt;&gt;"ok","X","")</f>
        <v/>
      </c>
      <c r="K112" s="693" t="str">
        <f ca="1">IF(U109&lt;&gt;"ok","Anexo: Relatório Técnico Circunstanciado justificando a adoção do percentual de cada parcela do BDI.","")</f>
        <v/>
      </c>
      <c r="L112" s="693"/>
      <c r="M112" s="693"/>
      <c r="N112" s="693"/>
      <c r="O112" s="693"/>
      <c r="P112" s="693"/>
      <c r="Q112" s="693"/>
      <c r="R112" s="693"/>
      <c r="S112" s="693"/>
    </row>
    <row r="113" spans="1:19" x14ac:dyDescent="0.25">
      <c r="A113"/>
      <c r="B113"/>
      <c r="C113"/>
      <c r="D113"/>
      <c r="E113"/>
      <c r="F113"/>
      <c r="G113"/>
      <c r="I113" t="str">
        <f t="shared" ca="1" si="6"/>
        <v/>
      </c>
    </row>
    <row r="114" spans="1:19" x14ac:dyDescent="0.25">
      <c r="A114"/>
      <c r="B114"/>
      <c r="C114"/>
      <c r="D114"/>
      <c r="E114"/>
      <c r="F114"/>
      <c r="G114"/>
      <c r="I114" t="str">
        <f t="shared" ca="1" si="6"/>
        <v/>
      </c>
      <c r="J114" s="695" t="s">
        <v>683</v>
      </c>
      <c r="K114" s="695"/>
      <c r="L114" s="695"/>
      <c r="M114" s="695"/>
      <c r="N114" s="695"/>
      <c r="O114" s="695"/>
      <c r="P114" s="695"/>
      <c r="Q114" s="695"/>
      <c r="R114" s="695"/>
      <c r="S114" s="695"/>
    </row>
    <row r="115" spans="1:19" ht="15.6" x14ac:dyDescent="0.3">
      <c r="A115"/>
      <c r="B115"/>
      <c r="C115"/>
      <c r="D115"/>
      <c r="E115"/>
      <c r="F115"/>
      <c r="G115"/>
      <c r="I115" t="str">
        <f t="shared" ca="1" si="6"/>
        <v/>
      </c>
      <c r="J115" s="68"/>
      <c r="K115" s="68"/>
      <c r="L115" s="68"/>
      <c r="M115" s="696" t="s">
        <v>684</v>
      </c>
      <c r="N115" s="697" t="str">
        <f>IF($J97=$A$146,"(1+K1+K2)*(1+K3)","(1+AC + S + R + G)*(1 + DF)*(1+L)")</f>
        <v>(1+AC + S + R + G)*(1 + DF)*(1+L)</v>
      </c>
      <c r="O115" s="697"/>
      <c r="P115" s="697"/>
      <c r="Q115" s="698" t="s">
        <v>685</v>
      </c>
      <c r="R115" s="68"/>
      <c r="S115" s="68"/>
    </row>
    <row r="116" spans="1:19" ht="15.6" x14ac:dyDescent="0.25">
      <c r="A116"/>
      <c r="B116"/>
      <c r="C116"/>
      <c r="D116"/>
      <c r="E116"/>
      <c r="F116"/>
      <c r="G116"/>
      <c r="I116" t="str">
        <f t="shared" ca="1" si="6"/>
        <v/>
      </c>
      <c r="J116" s="68"/>
      <c r="K116" s="68"/>
      <c r="L116" s="68"/>
      <c r="M116" s="696"/>
      <c r="N116" s="688" t="s">
        <v>686</v>
      </c>
      <c r="O116" s="688"/>
      <c r="P116" s="688"/>
      <c r="Q116" s="698"/>
      <c r="R116" s="68"/>
      <c r="S116" s="68"/>
    </row>
    <row r="117" spans="1:19" ht="15" customHeight="1" x14ac:dyDescent="0.25">
      <c r="A117"/>
      <c r="B117"/>
      <c r="C117"/>
      <c r="D117"/>
      <c r="E117"/>
      <c r="F117"/>
      <c r="G117"/>
      <c r="I117" t="str">
        <f t="shared" ca="1" si="6"/>
        <v/>
      </c>
      <c r="J117" s="68"/>
      <c r="K117" s="68"/>
      <c r="L117" s="68"/>
      <c r="M117" s="69"/>
      <c r="N117" s="71"/>
      <c r="O117" s="71"/>
      <c r="P117" s="71"/>
      <c r="Q117" s="70"/>
      <c r="R117" s="68"/>
      <c r="S117" s="68"/>
    </row>
    <row r="118" spans="1:19" ht="50.1" customHeight="1" x14ac:dyDescent="0.25">
      <c r="A118"/>
      <c r="B118"/>
      <c r="C118"/>
      <c r="D118"/>
      <c r="E118"/>
      <c r="F118"/>
      <c r="G118"/>
      <c r="I118" t="str">
        <f t="shared" ca="1" si="6"/>
        <v/>
      </c>
      <c r="J118" s="68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82"/>
      <c r="L118" s="682"/>
      <c r="M118" s="682"/>
      <c r="N118" s="682"/>
      <c r="O118" s="682"/>
      <c r="P118" s="682"/>
      <c r="Q118" s="682"/>
      <c r="R118" s="682"/>
      <c r="S118" s="682"/>
    </row>
    <row r="119" spans="1:19" x14ac:dyDescent="0.25">
      <c r="A119"/>
      <c r="B119"/>
      <c r="C119"/>
      <c r="D119"/>
      <c r="E119"/>
      <c r="F119"/>
      <c r="G119"/>
      <c r="I119" t="str">
        <f t="shared" ca="1" si="6"/>
        <v/>
      </c>
    </row>
    <row r="120" spans="1:19" ht="50.1" customHeight="1" x14ac:dyDescent="0.25">
      <c r="A120"/>
      <c r="B120"/>
      <c r="C120"/>
      <c r="D120"/>
      <c r="E120"/>
      <c r="F120"/>
      <c r="G120"/>
      <c r="I120" t="str">
        <f t="shared" ca="1" si="6"/>
        <v/>
      </c>
      <c r="J120" s="682"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2"/>
      <c r="L120" s="682"/>
      <c r="M120" s="682"/>
      <c r="N120" s="682"/>
      <c r="O120" s="682"/>
      <c r="P120" s="682"/>
      <c r="Q120" s="682"/>
      <c r="R120" s="682"/>
      <c r="S120" s="682"/>
    </row>
    <row r="121" spans="1:19" x14ac:dyDescent="0.25">
      <c r="A121"/>
      <c r="B121"/>
      <c r="C121"/>
      <c r="D121"/>
      <c r="E121"/>
      <c r="F121"/>
      <c r="G121"/>
      <c r="I121" t="str">
        <f t="shared" ca="1" si="6"/>
        <v/>
      </c>
    </row>
    <row r="122" spans="1:19" x14ac:dyDescent="0.25">
      <c r="A122"/>
      <c r="B122"/>
      <c r="C122"/>
      <c r="D122"/>
      <c r="E122"/>
      <c r="F122"/>
      <c r="G122"/>
      <c r="I122" t="str">
        <f t="shared" ca="1" si="6"/>
        <v/>
      </c>
      <c r="J122" s="49" t="s">
        <v>689</v>
      </c>
    </row>
    <row r="123" spans="1:19" ht="110.1" customHeight="1" x14ac:dyDescent="0.25">
      <c r="A123"/>
      <c r="B123"/>
      <c r="C123"/>
      <c r="D123"/>
      <c r="E123"/>
      <c r="F123"/>
      <c r="G123"/>
      <c r="I123" t="str">
        <f t="shared" ca="1" si="6"/>
        <v/>
      </c>
      <c r="J123" s="683"/>
      <c r="K123" s="683"/>
      <c r="L123" s="683"/>
      <c r="M123" s="683"/>
      <c r="N123" s="683"/>
      <c r="O123" s="683"/>
      <c r="P123" s="683"/>
      <c r="Q123" s="683"/>
      <c r="R123" s="683"/>
      <c r="S123" s="683"/>
    </row>
    <row r="124" spans="1:19" x14ac:dyDescent="0.25">
      <c r="A124"/>
      <c r="B124"/>
      <c r="C124"/>
      <c r="D124"/>
      <c r="E124"/>
      <c r="F124"/>
      <c r="G124"/>
      <c r="I124" t="str">
        <f t="shared" ca="1" si="6"/>
        <v/>
      </c>
    </row>
    <row r="125" spans="1:19" x14ac:dyDescent="0.25">
      <c r="A125"/>
      <c r="B125"/>
      <c r="C125"/>
      <c r="D125"/>
      <c r="E125"/>
      <c r="F125"/>
      <c r="G125"/>
      <c r="I125" t="str">
        <f t="shared" ca="1" si="6"/>
        <v/>
      </c>
      <c r="J125" s="684" t="str">
        <f>Import.Município</f>
        <v>SARANDI/RS</v>
      </c>
      <c r="K125" s="684"/>
      <c r="L125" s="684"/>
      <c r="M125" s="684"/>
      <c r="P125" s="685">
        <f>DADOS!$C$25</f>
        <v>46034</v>
      </c>
      <c r="Q125" s="685"/>
      <c r="R125" s="685"/>
      <c r="S125" s="685"/>
    </row>
    <row r="126" spans="1:19" x14ac:dyDescent="0.25">
      <c r="A126"/>
      <c r="B126"/>
      <c r="C126"/>
      <c r="D126"/>
      <c r="E126"/>
      <c r="F126"/>
      <c r="G126"/>
      <c r="I126" t="str">
        <f t="shared" ca="1" si="6"/>
        <v/>
      </c>
      <c r="J126" s="686" t="s">
        <v>693</v>
      </c>
      <c r="K126" s="686"/>
      <c r="L126" s="686"/>
      <c r="M126" s="686"/>
      <c r="O126" s="73"/>
      <c r="P126" s="74" t="s">
        <v>694</v>
      </c>
      <c r="Q126" s="75"/>
      <c r="R126" s="75"/>
      <c r="S126" s="75"/>
    </row>
    <row r="127" spans="1:19" ht="30" customHeight="1" x14ac:dyDescent="0.25">
      <c r="A127"/>
      <c r="B127"/>
      <c r="C127"/>
      <c r="D127"/>
      <c r="E127"/>
      <c r="F127"/>
      <c r="G127"/>
      <c r="I127" t="str">
        <f t="shared" ca="1" si="6"/>
        <v/>
      </c>
    </row>
    <row r="128" spans="1:19" ht="13.8" x14ac:dyDescent="0.25">
      <c r="A128"/>
      <c r="B128"/>
      <c r="C128"/>
      <c r="D128"/>
      <c r="E128"/>
      <c r="F128"/>
      <c r="G128"/>
      <c r="I128" t="str">
        <f t="shared" ca="1" si="6"/>
        <v/>
      </c>
      <c r="J128" s="687"/>
      <c r="K128" s="687"/>
      <c r="L128" s="687"/>
      <c r="M128" s="687"/>
      <c r="N128" s="76"/>
    </row>
    <row r="129" spans="1:14" x14ac:dyDescent="0.25">
      <c r="A129"/>
      <c r="B129"/>
      <c r="C129"/>
      <c r="D129"/>
      <c r="E129"/>
      <c r="F129"/>
      <c r="G129"/>
      <c r="I129" t="str">
        <f t="shared" ca="1" si="6"/>
        <v/>
      </c>
      <c r="J129" s="681" t="s">
        <v>696</v>
      </c>
      <c r="K129" s="681"/>
      <c r="L129" s="681"/>
      <c r="M129" s="681"/>
    </row>
    <row r="130" spans="1:14" ht="13.8" x14ac:dyDescent="0.25">
      <c r="A130"/>
      <c r="B130"/>
      <c r="C130"/>
      <c r="D130"/>
      <c r="E130"/>
      <c r="F130"/>
      <c r="G130"/>
      <c r="I130" t="str">
        <f t="shared" ca="1" si="6"/>
        <v/>
      </c>
      <c r="J130" s="77" t="s">
        <v>240</v>
      </c>
      <c r="K130" s="78" t="str">
        <f t="array" ref="K130:K132">Import.RespOrçamento</f>
        <v>LEONARDO HENRIQUE ZAMBERLAN</v>
      </c>
      <c r="L130" s="79"/>
      <c r="M130" s="79"/>
      <c r="N130" s="76"/>
    </row>
    <row r="131" spans="1:14" ht="13.8" x14ac:dyDescent="0.25">
      <c r="A131"/>
      <c r="B131"/>
      <c r="C131"/>
      <c r="D131"/>
      <c r="E131"/>
      <c r="F131"/>
      <c r="G131"/>
      <c r="I131" t="str">
        <f t="shared" ca="1" si="6"/>
        <v/>
      </c>
      <c r="J131" s="77" t="s">
        <v>243</v>
      </c>
      <c r="K131" s="78" t="str">
        <v>CREA-RS 242523</v>
      </c>
      <c r="L131" s="79"/>
      <c r="M131" s="79"/>
      <c r="N131" s="76"/>
    </row>
    <row r="132" spans="1:14" ht="13.8" x14ac:dyDescent="0.25">
      <c r="A132"/>
      <c r="B132"/>
      <c r="C132"/>
      <c r="D132"/>
      <c r="E132"/>
      <c r="F132"/>
      <c r="G132"/>
      <c r="I132" t="str">
        <f t="shared" ca="1" si="6"/>
        <v/>
      </c>
      <c r="J132" s="77" t="s">
        <v>246</v>
      </c>
      <c r="K132" s="78">
        <v>0</v>
      </c>
      <c r="L132" s="79"/>
      <c r="M132" s="79"/>
      <c r="N132" s="76"/>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9" t="s">
        <v>139</v>
      </c>
    </row>
    <row r="139" spans="1:14" x14ac:dyDescent="0.25">
      <c r="A139" s="49" t="s">
        <v>645</v>
      </c>
    </row>
    <row r="140" spans="1:14" x14ac:dyDescent="0.25">
      <c r="A140" s="49" t="s">
        <v>658</v>
      </c>
    </row>
    <row r="141" spans="1:14" x14ac:dyDescent="0.25">
      <c r="A141" s="49" t="s">
        <v>662</v>
      </c>
    </row>
    <row r="142" spans="1:14" x14ac:dyDescent="0.25">
      <c r="A142" s="49" t="s">
        <v>673</v>
      </c>
    </row>
    <row r="143" spans="1:14" x14ac:dyDescent="0.25">
      <c r="A143" s="49" t="s">
        <v>674</v>
      </c>
    </row>
    <row r="144" spans="1:14" x14ac:dyDescent="0.25">
      <c r="A144" s="49" t="s">
        <v>665</v>
      </c>
    </row>
    <row r="145" spans="1:1" x14ac:dyDescent="0.25">
      <c r="A145" s="49" t="s">
        <v>687</v>
      </c>
    </row>
    <row r="146" spans="1:1" x14ac:dyDescent="0.25">
      <c r="A146" s="49" t="s">
        <v>690</v>
      </c>
    </row>
  </sheetData>
  <sheetProtection algorithmName="SHA-512" hashValue="YTjN7AxxulYiCCzQaUCmWsYAKCxqAHg9susLZW0h8MQuTYucZIfPHSfrhe47/wJNCLGqzD1iAQ9IQ8m70jbz+Q==" saltValue="Vk5urUveQOH+QacSrnBwhw=="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470" priority="11" stopIfTrue="1">
      <formula>DESONERACAO="não"</formula>
    </cfRule>
  </conditionalFormatting>
  <conditionalFormatting sqref="U69:W69 U29:W29 U109:W109">
    <cfRule type="expression" dxfId="469" priority="12" stopIfTrue="1">
      <formula>AND(U29&lt;&gt;"OK",U29&lt;&gt;"-",U29&lt;&gt;"")</formula>
    </cfRule>
    <cfRule type="cellIs" dxfId="468" priority="13" stopIfTrue="1" operator="equal">
      <formula>"OK"</formula>
    </cfRule>
  </conditionalFormatting>
  <conditionalFormatting sqref="S29 S69 S109">
    <cfRule type="expression" dxfId="467" priority="14" stopIfTrue="1">
      <formula>DESONERACAO="não"</formula>
    </cfRule>
  </conditionalFormatting>
  <conditionalFormatting sqref="J23:S24">
    <cfRule type="expression" dxfId="466" priority="9">
      <formula>$J$17=$A$146</formula>
    </cfRule>
  </conditionalFormatting>
  <conditionalFormatting sqref="S21:S26">
    <cfRule type="expression" dxfId="465" priority="8">
      <formula>$J$17=$A$145</formula>
    </cfRule>
  </conditionalFormatting>
  <conditionalFormatting sqref="J63:S64">
    <cfRule type="expression" dxfId="464" priority="7">
      <formula>$J$57=$A$146</formula>
    </cfRule>
  </conditionalFormatting>
  <conditionalFormatting sqref="S61:S66">
    <cfRule type="expression" dxfId="463" priority="6">
      <formula>$J$57=$A$145</formula>
    </cfRule>
  </conditionalFormatting>
  <conditionalFormatting sqref="J103:S104">
    <cfRule type="expression" dxfId="462" priority="5">
      <formula>$J$97=$A$146</formula>
    </cfRule>
  </conditionalFormatting>
  <conditionalFormatting sqref="S101:S106">
    <cfRule type="expression" dxfId="461" priority="4">
      <formula>$J$97=$A$145</formula>
    </cfRule>
  </conditionalFormatting>
  <conditionalFormatting sqref="U21:W28">
    <cfRule type="cellIs" dxfId="460" priority="3" operator="notEqual">
      <formula>"OK"</formula>
    </cfRule>
  </conditionalFormatting>
  <conditionalFormatting sqref="U61:W68">
    <cfRule type="cellIs" dxfId="459" priority="2" operator="notEqual">
      <formula>"OK"</formula>
    </cfRule>
  </conditionalFormatting>
  <conditionalFormatting sqref="U101:W108">
    <cfRule type="cellIs" dxfId="458"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&amp;LPMv3.13&amp;R&amp;P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dimension ref="A1:AN182"/>
  <sheetViews>
    <sheetView showGridLines="0" tabSelected="1" zoomScale="85" zoomScaleNormal="85" zoomScaleSheetLayoutView="90" workbookViewId="0">
      <pane xSplit="19" ySplit="15" topLeftCell="U16" activePane="bottomRight" state="frozen"/>
      <selection pane="topRight" activeCell="T1" sqref="T1"/>
      <selection pane="bottomLeft" activeCell="L16" sqref="L16"/>
      <selection pane="bottomRight"/>
    </sheetView>
  </sheetViews>
  <sheetFormatPr defaultRowHeight="13.2" x14ac:dyDescent="0.25"/>
  <cols>
    <col min="1" max="1" width="5.5546875" hidden="1" customWidth="1"/>
    <col min="2" max="2" width="10.44140625" hidden="1" customWidth="1"/>
    <col min="3" max="3" width="5.5546875" hidden="1" customWidth="1"/>
    <col min="4" max="4" width="12.88671875" hidden="1" customWidth="1"/>
    <col min="5" max="5" width="8.5546875" hidden="1" customWidth="1"/>
    <col min="6" max="6" width="12.44140625" hidden="1" customWidth="1"/>
    <col min="7" max="7" width="14.5546875" hidden="1" customWidth="1"/>
    <col min="8" max="8" width="11.44140625" hidden="1" customWidth="1"/>
    <col min="9" max="9" width="13.44140625" hidden="1" customWidth="1"/>
    <col min="10" max="10" width="7.44140625" hidden="1" customWidth="1"/>
    <col min="11" max="11" width="7.5546875" hidden="1" customWidth="1"/>
    <col min="12" max="12" width="3.5546875" customWidth="1"/>
    <col min="13" max="14" width="8.5546875" customWidth="1"/>
    <col min="15" max="15" width="12.5546875" customWidth="1"/>
    <col min="16" max="17" width="15.5546875" customWidth="1"/>
    <col min="18" max="18" width="65.5546875" customWidth="1"/>
    <col min="19" max="19" width="10.5546875" customWidth="1"/>
    <col min="20" max="21" width="14.5546875" customWidth="1"/>
    <col min="22" max="22" width="10.5546875" customWidth="1"/>
    <col min="23" max="23" width="14.5546875" customWidth="1"/>
    <col min="24" max="24" width="15.5546875" customWidth="1"/>
    <col min="25" max="25" width="3.5546875" customWidth="1"/>
    <col min="26" max="26" width="3.5546875" hidden="1" customWidth="1"/>
    <col min="27" max="28" width="14.5546875" hidden="1" customWidth="1"/>
    <col min="29" max="29" width="15.5546875" customWidth="1"/>
    <col min="30" max="31" width="9.109375" hidden="1" customWidth="1"/>
    <col min="32" max="32" width="15.5546875" hidden="1" customWidth="1"/>
    <col min="33" max="33" width="15.5546875" customWidth="1"/>
    <col min="35" max="35" width="1.5546875" customWidth="1"/>
    <col min="36" max="36" width="14.5546875" customWidth="1"/>
    <col min="37" max="37" width="1.5546875" customWidth="1"/>
    <col min="38" max="38" width="14.5546875" customWidth="1"/>
    <col min="39" max="40" width="15.5546875" customWidth="1"/>
  </cols>
  <sheetData>
    <row r="1" spans="1:40" ht="17.399999999999999" x14ac:dyDescent="0.25">
      <c r="M1" s="81"/>
      <c r="N1" s="81"/>
      <c r="R1" s="82" t="s">
        <v>699</v>
      </c>
      <c r="T1" s="82"/>
      <c r="X1" s="52" t="s">
        <v>644</v>
      </c>
      <c r="Y1" s="7"/>
      <c r="Z1" s="7"/>
      <c r="AA1" s="7"/>
      <c r="AB1" s="7"/>
    </row>
    <row r="2" spans="1:40" ht="15" x14ac:dyDescent="0.25">
      <c r="D2" s="673" t="s">
        <v>700</v>
      </c>
      <c r="E2" s="673" t="s">
        <v>701</v>
      </c>
      <c r="F2" s="673" t="s">
        <v>702</v>
      </c>
      <c r="G2" s="673" t="s">
        <v>703</v>
      </c>
      <c r="H2" s="673" t="s">
        <v>704</v>
      </c>
      <c r="I2" s="673"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5">
      <c r="D3" s="7"/>
      <c r="E3" s="673" t="s">
        <v>750</v>
      </c>
      <c r="F3" s="673" t="s">
        <v>955</v>
      </c>
      <c r="G3" s="673" t="s">
        <v>956</v>
      </c>
      <c r="H3" s="673" t="s">
        <v>957</v>
      </c>
      <c r="I3" s="673" t="s">
        <v>958</v>
      </c>
      <c r="R3" s="86"/>
    </row>
    <row r="4" spans="1:40" x14ac:dyDescent="0.25">
      <c r="A4" s="671" t="s">
        <v>706</v>
      </c>
      <c r="D4" s="7"/>
      <c r="E4" s="7"/>
      <c r="F4" s="673" t="s">
        <v>663</v>
      </c>
      <c r="G4" s="673" t="s">
        <v>697</v>
      </c>
      <c r="H4" s="673" t="s">
        <v>698</v>
      </c>
      <c r="I4" s="674">
        <v>0</v>
      </c>
      <c r="O4" s="701" t="s">
        <v>650</v>
      </c>
      <c r="P4" s="701"/>
      <c r="Q4" s="87" t="s">
        <v>707</v>
      </c>
      <c r="R4" s="87" t="s">
        <v>652</v>
      </c>
      <c r="S4" s="701" t="s">
        <v>708</v>
      </c>
      <c r="T4" s="701"/>
      <c r="U4" s="701"/>
      <c r="V4" s="701"/>
      <c r="W4" s="701"/>
      <c r="X4" s="701"/>
      <c r="Y4" s="77"/>
      <c r="Z4" s="77"/>
      <c r="AA4" s="77"/>
      <c r="AB4" s="77"/>
    </row>
    <row r="5" spans="1:40" ht="12.75" customHeight="1" x14ac:dyDescent="0.25">
      <c r="A5" s="450">
        <f ca="1">MAX($C$15:$C$165)</f>
        <v>2</v>
      </c>
      <c r="B5" s="7"/>
      <c r="C5" s="7"/>
      <c r="D5" s="7"/>
      <c r="E5" s="7"/>
      <c r="F5" s="674">
        <f ca="1">IF(BDI.Opcao="DESONERADO",BDI!$S$30,BDI!$S$29)</f>
        <v>0.2283</v>
      </c>
      <c r="G5" s="674">
        <f ca="1">IF(BDI.Opcao="DESONERADO",BDI!$S$70,BDI!$S$69)</f>
        <v>0.15</v>
      </c>
      <c r="H5" s="674">
        <f ca="1">IF(BDI.Opcao="DESONERADO",BDI!$S$110,BDI!$S$109)</f>
        <v>0</v>
      </c>
      <c r="I5" s="7"/>
      <c r="O5" s="704">
        <f>Import.CR</f>
        <v>0</v>
      </c>
      <c r="P5" s="704"/>
      <c r="Q5" s="90" cm="1">
        <f t="array" ref="Q5">Import.TransfereGOV</f>
        <v>0</v>
      </c>
      <c r="R5" s="91" t="str">
        <f>Import.Proponente</f>
        <v>MUNICÍPIO DE SARANDI</v>
      </c>
      <c r="S5" s="704" t="str">
        <f>Import.Apelido</f>
        <v>PAVIMENTAÇÃO ASFÁLTICA EM DIVERSOS TRECHOS NO MUNICÍPIO DE SARANDI</v>
      </c>
      <c r="T5" s="704"/>
      <c r="U5" s="704"/>
      <c r="V5" s="704"/>
      <c r="W5" s="704"/>
      <c r="X5" s="704"/>
      <c r="Y5" s="92"/>
      <c r="Z5" s="92"/>
      <c r="AA5" s="92"/>
      <c r="AB5" s="92"/>
      <c r="AE5" s="711" t="s">
        <v>709</v>
      </c>
      <c r="AF5" s="711"/>
    </row>
    <row r="6" spans="1:40" ht="5.0999999999999996" customHeight="1" x14ac:dyDescent="0.25">
      <c r="A6" s="7"/>
      <c r="B6" s="7"/>
      <c r="C6" s="7"/>
      <c r="D6" s="7"/>
      <c r="E6" s="7"/>
      <c r="F6" s="7"/>
      <c r="G6" s="7"/>
      <c r="H6" s="675"/>
      <c r="I6" s="7"/>
      <c r="O6" s="93"/>
      <c r="P6" s="93"/>
      <c r="Q6" s="94"/>
      <c r="R6" s="94"/>
      <c r="S6" s="93"/>
      <c r="T6" s="93"/>
      <c r="U6" s="93"/>
      <c r="V6" s="93"/>
      <c r="W6" s="93"/>
      <c r="X6" s="93"/>
      <c r="Y6" s="92"/>
      <c r="Z6" s="92"/>
      <c r="AA6" s="92"/>
      <c r="AB6" s="92"/>
      <c r="AC6" s="95"/>
      <c r="AE6" s="88"/>
      <c r="AF6" s="89"/>
    </row>
    <row r="7" spans="1:40" ht="12.75" customHeight="1" x14ac:dyDescent="0.25">
      <c r="D7" s="7"/>
      <c r="E7" s="7"/>
      <c r="F7" s="673" t="s">
        <v>751</v>
      </c>
      <c r="G7" s="673" t="s">
        <v>959</v>
      </c>
      <c r="H7" s="673" t="s">
        <v>456</v>
      </c>
      <c r="I7" s="673" t="s">
        <v>794</v>
      </c>
      <c r="O7" s="701" t="s">
        <v>710</v>
      </c>
      <c r="P7" s="701"/>
      <c r="Q7" s="87" t="s">
        <v>711</v>
      </c>
      <c r="R7" s="87" t="str" cm="1">
        <f t="array" ref="R7">IF(TIPOORCAMENTO="Licitado","NOME DA EMPRESA","DESCRIÇÃO DO LOTE")</f>
        <v>DESCRIÇÃO DO LOTE</v>
      </c>
      <c r="S7" s="712" t="str" cm="1">
        <f t="array" ref="S7">IF(TIPOORCAMENTO="Licitado","REGIME DE EXECUÇÃO","MUNICÍPIO / UF")</f>
        <v>MUNICÍPIO / UF</v>
      </c>
      <c r="T7" s="712"/>
      <c r="U7" s="712"/>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IF(COUNTIFS($L$15:$L$165,"F",$AC$15:$AC$165,"JUSTIFICAR BDI")&gt;0,"JUSTIFICAR BDI","")</f>
        <v/>
      </c>
      <c r="AE7" s="88" t="s">
        <v>712</v>
      </c>
      <c r="AF7" s="89" t="b">
        <v>1</v>
      </c>
      <c r="AJ7" s="715" t="s">
        <v>713</v>
      </c>
      <c r="AL7" s="713" t="s">
        <v>714</v>
      </c>
    </row>
    <row r="8" spans="1:40" ht="12.75" customHeight="1" x14ac:dyDescent="0.25">
      <c r="A8" s="7"/>
      <c r="B8" s="7"/>
      <c r="C8" s="7"/>
      <c r="E8" s="506" t="s">
        <v>997</v>
      </c>
      <c r="F8" s="716" t="str">
        <f ca="1">IF(LEN(INFO("release"))&gt;5,"'Referência "&amp;Excel_BuiltIn_Database&amp;".xlsm'#Banco.$a5:$a$65536","'[Referência "&amp;Excel_BuiltIn_Database&amp;".xlsm]Banco'!$a5:$a$65536")</f>
        <v>'[Referência 10-2025.xlsm]Banco'!$a5:$a$65536</v>
      </c>
      <c r="G8" s="716"/>
      <c r="H8" s="716"/>
      <c r="I8" s="716"/>
      <c r="J8" s="716"/>
      <c r="K8" s="716"/>
      <c r="L8" s="694" t="s">
        <v>655</v>
      </c>
      <c r="O8" s="704" t="str">
        <f ca="1">IF(ISERROR(INDIRECT($F$9)),"(N/D: 'Referência "&amp;Excel_BuiltIn_Database&amp;".xlsm)",INDIRECT($F$9))</f>
        <v>PORTO ALEGRE</v>
      </c>
      <c r="P8" s="704"/>
      <c r="Q8" s="99" t="str" cm="1">
        <f t="array" aca="1" ref="Q8" ca="1">TEXT(Import.DataBase,"mm-aa")&amp;IF(DESONERACAO="Sim"," (DES.)"," (N DES.)")</f>
        <v>10-25 (N DES.)</v>
      </c>
      <c r="R8" s="91" t="str" cm="1">
        <f t="array" ref="R8">IF(TIPOORCAMENTO="Licitado",Import.empresa,Import.DescLote)</f>
        <v>PAVIMENTAÇÃO ASFÁLTICA EM DIVERSOS TRECHOS NO MUNICÍPIO DE SARANDI</v>
      </c>
      <c r="S8" s="717" t="str" cm="1">
        <f t="array" ref="S8">IF(TIPOORCAMENTO="Licitado",Import.RegimeExecução,Import.Município)</f>
        <v>SARANDI/RS</v>
      </c>
      <c r="T8" s="717"/>
      <c r="U8" s="717"/>
      <c r="V8" s="100" t="str" cm="1">
        <f t="array" aca="1" ref="V8" ca="1">IF(TIPOORCAMENTO="Licitado","",TEXT(F5,"0,00%"))</f>
        <v>22,83%</v>
      </c>
      <c r="W8" s="100" t="str" cm="1">
        <f t="array" aca="1" ref="W8" ca="1">IF(TIPOORCAMENTO="Licitado","",TEXT(G5,"0,00%"))</f>
        <v>15,00%</v>
      </c>
      <c r="X8" s="101" t="str" cm="1">
        <f t="array" aca="1" ref="X8" ca="1">IF(TIPOORCAMENTO="Licitado",Import.CTEF,TEXT(H5,"0,00%"))</f>
        <v>0,00%</v>
      </c>
      <c r="Y8" s="694" t="s">
        <v>715</v>
      </c>
      <c r="Z8" s="694" t="s">
        <v>716</v>
      </c>
      <c r="AA8" s="102"/>
      <c r="AB8" s="102"/>
      <c r="AE8" s="88" t="s">
        <v>717</v>
      </c>
      <c r="AF8" s="89" t="b">
        <v>1</v>
      </c>
      <c r="AJ8" s="715"/>
      <c r="AL8" s="713"/>
    </row>
    <row r="9" spans="1:40" ht="12.75" customHeight="1" x14ac:dyDescent="0.25">
      <c r="E9" s="506" t="s">
        <v>995</v>
      </c>
      <c r="F9" s="716" t="str">
        <f ca="1">IF(LEN(INFO("release"))&gt;5,"'Referência "&amp;Excel_BuiltIn_Database&amp;".xlsm'#Banco.$d$3","'[Referência "&amp;Excel_BuiltIn_Database&amp;".xlsm]Banco'!$d$3")</f>
        <v>'[Referência 10-2025.xlsm]Banco'!$d$3</v>
      </c>
      <c r="G9" s="716"/>
      <c r="H9" s="716"/>
      <c r="I9" s="716"/>
      <c r="J9" s="716"/>
      <c r="K9" s="716"/>
      <c r="L9" s="694"/>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4"/>
      <c r="Z9" s="694"/>
      <c r="AE9" s="88" t="s">
        <v>23</v>
      </c>
      <c r="AF9" s="89" t="b">
        <v>1</v>
      </c>
      <c r="AJ9" s="715"/>
      <c r="AL9" s="713"/>
    </row>
    <row r="10" spans="1:40" x14ac:dyDescent="0.25">
      <c r="E10" s="506" t="s">
        <v>996</v>
      </c>
      <c r="F10" s="716" t="str">
        <f ca="1">IF(LEN(INFO("release"))&gt;5,"'Referência "&amp;Excel_BuiltIn_Database&amp;".xlsm'#Banco.$B$3","'[Referência "&amp;Excel_BuiltIn_Database&amp;".xlsm]Banco'!$B$3")</f>
        <v>'[Referência 10-2025.xlsm]Banco'!$B$3</v>
      </c>
      <c r="G10" s="716"/>
      <c r="H10" s="716"/>
      <c r="I10" s="716"/>
      <c r="J10" s="716"/>
      <c r="K10" s="716"/>
      <c r="L10" s="694"/>
      <c r="Y10" s="694"/>
      <c r="Z10" s="694"/>
      <c r="AC10" s="103" t="s">
        <v>718</v>
      </c>
      <c r="AE10" s="88" t="s">
        <v>719</v>
      </c>
      <c r="AF10" s="89" t="b">
        <v>1</v>
      </c>
      <c r="AJ10" s="715"/>
      <c r="AL10" s="713"/>
    </row>
    <row r="11" spans="1:40" x14ac:dyDescent="0.25">
      <c r="F11" s="672" t="str" cm="1">
        <f t="array" aca="1" ref="F11" ca="1">IFERROR(INDIRECT(F10),"")</f>
        <v>10/2025</v>
      </c>
      <c r="G11" s="676" t="str" cm="1">
        <f t="array" aca="1" ref="G11" ca="1">IFERROR(TEXT(Import.DataBase,"mm/aaaa"),"")</f>
        <v>10/2025</v>
      </c>
      <c r="H11" s="104"/>
      <c r="L11" s="694"/>
      <c r="Y11" s="694"/>
      <c r="Z11" s="694"/>
      <c r="AC11" s="105" t="str">
        <f ca="1">IF(COUNTIFS($L$15:$L$165,"F",$AC$15:$AC$165,"&lt;&gt;"&amp;" ",$AC$15:$AC$165,"&lt;&gt;"&amp;"JUSTIFICAR BDI")&gt;0,"NÃO OK","OK")</f>
        <v>NÃO OK</v>
      </c>
      <c r="AE11" s="88" t="s">
        <v>720</v>
      </c>
      <c r="AF11" s="89" t="b">
        <v>1</v>
      </c>
      <c r="AJ11" s="715"/>
      <c r="AL11" s="713"/>
    </row>
    <row r="12" spans="1:40" ht="20.100000000000001" customHeight="1" x14ac:dyDescent="0.25">
      <c r="G12" s="85"/>
      <c r="H12" s="85"/>
      <c r="L12" s="694"/>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IF(COUNTIF($AC$15:$AC$165,"FONTE")&gt;0,"Falta preencher a Fonte (coluna P) na Linha "&amp;(14+MATCH("FONTE",$AC$15:$AC$165,0)),
 IF(COUNTIF($AC$15:$AC$165,"CÓDIGO")&gt;0,"Falta preencher o Código (coluna Q) na Linha "&amp;(14+MATCH("CÓDIGO",$AC$15:$AC$165,0)),
 IF(COUNTIF($AC$15:$AC$165,"CÓDIGO N/ID")&gt;0,"Código (coluna Q) não identificado na Linha "&amp;(14+MATCH("CÓDIGO N/ID",$AC$15:$AC$165,0))&amp;". Verifique se o código está correto ou busque outro código",
 IF(COUNTIF($AC$15:$AC$165,"DESCRIÇÃO")&gt;0,"Falta preencher a Descrição (coluna R) na Linha "&amp;(14+MATCH("DESCRIÇÃO",$AC$15:$AC$165,0)),
 IF(COUNTIF($AC$15:$AC$165,"UNIDADE")&gt;0,"Falta preencher a Unidade (coluna S) na Linha "&amp;(14+MATCH("UNIDADE",$AC$15:$AC$165,0)),
 IF(COUNTIF($AC$15:$AC$165,"SEM CUSTO")&gt;0,"Falta preencher o Custo Unitário (coluna U) na Linha "&amp;(14+MATCH("SEM CUSTO",$AC$15:$AC$165,0)),
 IF(COUNTIF($AC$15:$AC$165,"SEM PREÇO")&gt;0,"Falta preencher o Preço Unitário licitado (coluna AL) na Linha "&amp;(14+MATCH("SEM CUSTO",$AC$15:$AC$165,0)),
 IF(COUNTIF($AC$15:$AC$165,"BDI")&gt;0,"Falta definir o BDI (coluna V) na Linha "&amp;(14+MATCH("BDI",$AC$15:$AC$165,0)),
 IF(COUNTIF($AC$15:$AC$165,"ACIMA REF.")&gt;0,
         IF(TIPOORCAMENTO="Proposto","O custo unitário (coluna U) na Linha "&amp;(14+MATCH("ACIMA REF.",$AC$15:$AC$165,0))&amp;" está acima do custo referencial (coluna AG)",
            "O preço unitário licitado (coluna AL) na Linha "&amp;(14+MATCH("ACIMA REF.",$AC$15:$AC$165,0))&amp;" está acima do preço referencial do edital (coluna AN)"),
 IF(COUNTIF($AC$15:$AC$165,"QUANT.")&gt;0,"Falta a Quantidade do serviço na Linha "&amp;(14+MATCH("QUANT.",$AC$15:$AC$165,0))&amp;IF(ACOMPANHAMENTO="PLE",". Preencher na aba CÁLCULO",". Preencher na coluna AJ"),
 IF(COUNTIF($AC$15:$AC$165,"Código &gt;13")&gt;0,"O tamanho do código do serviço no TransfereGOV é limitado a 13 caracteres. Resuma o código (coluna Q) na Linha "&amp;(14+MATCH("Código &gt;13",$AC$15:$AC$165,0)),
 IF(COUNTIF($AC$15:$AC$165,"Descrição &gt;100")&gt;0,"O tamanho da descrição de macrosserviço no TransfereGOV é limitado a 100 caracteres. Resuma a descrição (coluna R) na Linha "&amp;(14+MATCH("Descrição &gt;100",$AC$15:$AC$165,0)),
 IF(COUNTIF($AC$15:$AC$165,"Descrição &gt;500")&gt;0,"O tamanho da descrição de serviço no TransfereGOV é limitado a 500 caracteres. Resuma a descrição (coluna R) na Linha "&amp;(14+MATCH("Descrição &gt;500",$AC$15:$AC$165,0)),
 IF(COUNTIF($AC$15:$AC$165,"Unid. Não Disp")&gt;0,"Unidade não disponível na lista do TransfereGOV. Reveja a unidade (coluna S) na Linha "&amp;(14+MATCH("Unid. Não Disp",$AC$15:$AC$165,0)),
 IF(AND(TIPOORCAMENTO="Proposto",LEFT($O$8,5)="(N/D:"),"Abra o arquivo Referência "&amp;_xlfn.SINGLE(Excel_BuiltIn_Database)&amp;".xlsm","")))))))))))))))))</f>
        <v/>
      </c>
      <c r="Y12" s="694"/>
      <c r="Z12" s="694"/>
      <c r="AA12" s="714" t="s">
        <v>721</v>
      </c>
      <c r="AB12" s="714"/>
      <c r="AJ12" s="106" t="s">
        <v>660</v>
      </c>
      <c r="AL12" s="458" t="s">
        <v>660</v>
      </c>
    </row>
    <row r="13" spans="1:40" ht="35.1" customHeight="1" x14ac:dyDescent="0.25">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IF(OR($C14="S",$C14=0),0,MATCH(0,OFFSET($D14,1,$C14,ROW($C$165)-ROW($C14)),0))</f>
        <v>0</v>
      </c>
      <c r="K14">
        <f ca="1">IF(OR($C14="S",$C14=0),0,MATCH(OFFSET($D14,0,$C14)+IF($C14&lt;&gt;1,1,COUNTIF(QCI!$A$13:$A$24,ORÇAMENTO!E14)),OFFSET($D14,1,$C14,ROW($C$165)-ROW($C14)),0))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f ca="1">IF($C14="S",REFERENCIA.Descricao,"(digite a descrição aqui)")</f>
        <v>(Sem Código)</v>
      </c>
      <c r="S14" s="121" t="str">
        <f ca="1">REFERENCIA.Unidade</f>
        <v>-</v>
      </c>
      <c r="T14" s="122">
        <f ca="1">OFFSET(CÁLCULO!H$15,ROW($T14)-ROW(T$15),0)</f>
        <v>0</v>
      </c>
      <c r="U14" s="123"/>
      <c r="V14" s="124" t="s">
        <v>663</v>
      </c>
      <c r="W14" s="122">
        <f ca="1">IF($C14="S",ROUND(IF(TIPOORCAMENTO="Proposto",ORÇAMENTO.CustoUnitario*(1+$AH14),ORÇAMENTO.PrecoUnitarioLicitado),15-13*$AF$10),0)</f>
        <v>0</v>
      </c>
      <c r="X14" s="125" cm="1">
        <f t="array" aca="1" ref="X14" ca="1">IF($C14="S",IF(OR(Import.TipoArredondamento&lt;&gt;"TransfereGOV",ACOMPANHAMENTO="BM"),VTOTAL1,SUM(OFFSET(CÁLCULO!$AI$15,ROW($X14)-ROW($X$15),1):OFFSET(CÁLCULO!$BB$15,ROW($X14)-ROW($X$15),-1))),IF($C14=0,0,ROUND(SomaAgrup,15-13*$AF$11)))</f>
        <v>0</v>
      </c>
      <c r="Y14" s="126" t="s">
        <v>751</v>
      </c>
      <c r="Z14" t="str">
        <f ca="1">IF(AND($C14="S",$X14&gt;0),IF(ISBLANK($Y14),"RA",LEFT($Y14,2)),"")</f>
        <v/>
      </c>
      <c r="AA14" s="127">
        <f ca="1">IF($C14="S",IF($Z14="CP",$X14,IF($Z14="RA",(($X14)*QCI!$AA$3),0)),SomaAgrup)</f>
        <v>0</v>
      </c>
      <c r="AB14" s="128">
        <f ca="1">IF($C14="S",IF($Z14="OU",ROUND($X14,2),0),SomaAgrup)</f>
        <v>0</v>
      </c>
      <c r="AC14" s="565" t="e"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IF(AND(_xlfn.SINGLE(TIPOORCAMENTO)="Licitado",$AL14=0,$AN14&gt;0),"SEM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#NAME?</v>
      </c>
      <c r="AD14" t="str">
        <f ca="1">IF(C14&lt;=CRONO.NivelExibicao,MAX($AD$15:OFFSET(AD14,-1,0))+IF($C14&lt;&gt;1,1,MAX(1,COUNTIF(QCI!$A$13:$A$24,OFFSET($E14,-1,0)))),"")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(Sem Código)</v>
      </c>
      <c r="AG14" s="428">
        <f ca="1">ROUND(IF(DESONERACAO="sim",REFERENCIA.Desonerado,REFERENCIA.NaoDesonerado),2)</f>
        <v>0</v>
      </c>
      <c r="AH14" s="429">
        <f ca="1">ROUND(IF(ISNUMBER(ORÇAMENTO.OpcaoBDI),ORÇAMENTO.OpcaoBDI,IF(LEFT(ORÇAMENTO.OpcaoBDI,3)="BDI",HLOOKUP(ORÇAMENTO.OpcaoBDI,$F$4:$H$5,2,FALSE),0)),15-11*$AF$9)</f>
        <v>0.2283</v>
      </c>
      <c r="AJ14" s="431"/>
      <c r="AL14" s="439"/>
      <c r="AM14" s="336">
        <f t="shared" ref="AM14:AM164" ca="1" si="0">$X14</f>
        <v>0</v>
      </c>
      <c r="AN14" s="470">
        <f ca="1">ROUND(ORÇAMENTO.CustoUnitario*(1+$AH14),2)</f>
        <v>0</v>
      </c>
    </row>
    <row r="15" spans="1:40" ht="12.75" customHeight="1" x14ac:dyDescent="0.3">
      <c r="A15">
        <v>0</v>
      </c>
      <c r="C15" t="s">
        <v>654</v>
      </c>
      <c r="D15">
        <f ca="1">COUNTA(OFFSET(D15,1,0):D$165)</f>
        <v>149</v>
      </c>
      <c r="E15">
        <v>0</v>
      </c>
      <c r="L15" s="114" t="s">
        <v>536</v>
      </c>
      <c r="M15" s="130" t="str">
        <f>IF(TIPOORCAMENTO="LICITADO","CTEF","LOTE")</f>
        <v>LOTE</v>
      </c>
      <c r="N15" s="130" t="str">
        <f>IF(TIPOORCAMENTO="LICITADO","CTEF","LOTE")</f>
        <v>LOTE</v>
      </c>
      <c r="O15" s="719" t="str">
        <f>Import.DescLote</f>
        <v>PAVIMENTAÇÃO ASFÁLTICA EM DIVERSOS TRECHOS NO MUNICÍPIO DE SARANDI</v>
      </c>
      <c r="P15" s="720"/>
      <c r="Q15" s="720"/>
      <c r="R15" s="720"/>
      <c r="S15" s="613"/>
      <c r="T15" s="614"/>
      <c r="U15" s="614"/>
      <c r="V15" s="615"/>
      <c r="W15" s="614"/>
      <c r="X15" s="131">
        <f ca="1">SUMIF(OFFSET($C15,1,0,ROW(X165)-ROW(X15)-1),"S",OFFSET(X15,1,0,ROW(X165)-ROW(X15)-1))</f>
        <v>1381623.5700000005</v>
      </c>
      <c r="Y15" s="7"/>
      <c r="Z15" t="str">
        <f ca="1">IF(AND($C15="S",$X15&gt;0),LEFT($Y15,2),"")</f>
        <v/>
      </c>
      <c r="AA15" s="426">
        <f ca="1">SUMIF(OFFSET($C15,1,0,ROW(AA165)-ROW(AA15)-1),"S",OFFSET(AA15,1,0,ROW(AA165)-ROW(AA15)-1))</f>
        <v>381623.56999999995</v>
      </c>
      <c r="AB15" s="132">
        <f ca="1">SUMIF(OFFSET($C15,1,0,ROW(AB165)-ROW(AB15)-1),"S",OFFSET(AB15,1,0,ROW(AB165)-ROW(AB15)-1))</f>
        <v>0</v>
      </c>
      <c r="AC15" s="565" t="s">
        <v>752</v>
      </c>
      <c r="AG15" s="441"/>
      <c r="AH15" s="442"/>
      <c r="AJ15" s="430"/>
      <c r="AL15" s="440"/>
      <c r="AM15" s="471">
        <f t="shared" ca="1" si="0"/>
        <v>1381623.5700000005</v>
      </c>
      <c r="AN15" s="472"/>
    </row>
    <row r="16" spans="1:40" ht="26.4" x14ac:dyDescent="0.3">
      <c r="A16">
        <f t="shared" ref="A16:A164" si="1">CHOOSE(1+LOG(1+2*(ORÇAMENTO.Nivel="Meta")+4*(ORÇAMENTO.Nivel="Nível 2")+8*(ORÇAMENTO.Nivel="Nível 3")+16*(ORÇAMENTO.Nivel="Nível 4")+32*(ORÇAMENTO.Nivel="Serviço"),2),0,1,2,3,4,"S")</f>
        <v>1</v>
      </c>
      <c r="B16">
        <f t="shared" ref="B16:B164" ca="1" si="2">IF(OR(C16="s",C16=0),OFFSET(B16,-1,0),C16)</f>
        <v>1</v>
      </c>
      <c r="C16">
        <f t="shared" ref="C16:C164" ca="1" si="3">IF(OFFSET(C16,-1,0)="L",1,IF(OFFSET(C16,-1,0)=1,2,IF(OR(A16="s",A16=0),"S",IF(AND(OFFSET(C16,-1,0)=2,A16=4),3,IF(AND(OR(OFFSET(C16,-1,0)="s",OFFSET(C16,-1,0)=0),A16&lt;&gt;"s",A16&gt;OFFSET(B16,-1,0)),OFFSET(B16,-1,0),A16)))))</f>
        <v>1</v>
      </c>
      <c r="D16">
        <f t="shared" ref="D16:D164" ca="1" si="4">IF(OR(C16="S",C16=0),0,IF(ISERROR(K16),J16,SMALL(J16:K16,1)))</f>
        <v>41</v>
      </c>
      <c r="E16">
        <f ca="1">IF($C16=1,OFFSET(E16,-1,0)+MAX(1,COUNTIF(QCI!$A$13:$A$24,OFFSET(ORÇAMENTO!E16,-1,0))),OFFSET(E16,-1,0))</f>
        <v>1</v>
      </c>
      <c r="F16">
        <f t="shared" ref="F16:F164" ca="1" si="5">IF($C16=1,0,IF($C16=2,OFFSET(F16,-1,0)+1,OFFSET(F16,-1,0)))</f>
        <v>0</v>
      </c>
      <c r="G16">
        <f t="shared" ref="G16:G164" ca="1" si="6">IF(AND($C16&lt;=2,$C16&lt;&gt;0),0,IF($C16=3,OFFSET(G16,-1,0)+1,OFFSET(G16,-1,0)))</f>
        <v>0</v>
      </c>
      <c r="H16">
        <f t="shared" ref="H16:H164" ca="1" si="7">IF(AND($C16&lt;=3,$C16&lt;&gt;0),0,IF($C16=4,OFFSET(H16,-1,0)+1,OFFSET(H16,-1,0)))</f>
        <v>0</v>
      </c>
      <c r="I16">
        <f t="shared" ref="I16:I164" ca="1" si="8">IF(AND($C16&lt;=4,$C16&lt;&gt;0),0,IF(AND($C16="S",$X16&gt;0),OFFSET(I16,-1,0)+1,OFFSET(I16,-1,0)))</f>
        <v>0</v>
      </c>
      <c r="J16">
        <f t="shared" ref="J16:J47" ca="1" si="9">IF(OR($C16="S",$C16=0),0,MATCH(0,OFFSET($D16,1,$C16,ROW($C$165)-ROW($C16)),0))</f>
        <v>149</v>
      </c>
      <c r="K16">
        <f ca="1">IF(OR($C16="S",$C16=0),0,MATCH(OFFSET($D16,0,$C16)+IF($C16&lt;&gt;1,1,COUNTIF(QCI!$A$13:$A$24,ORÇAMENTO!E16)),OFFSET($D16,1,$C16,ROW($C$165)-ROW($C16)),0))</f>
        <v>41</v>
      </c>
      <c r="L16" s="114" t="str">
        <f t="shared" ref="L16:L164" ca="1" si="10">IF(OR($X16&gt;0,$C16=1,$C16=2,$C16=3,$C16=4),"F","")</f>
        <v>F</v>
      </c>
      <c r="M16" s="115" t="s">
        <v>701</v>
      </c>
      <c r="N16" s="116" t="str">
        <f t="shared" ref="N16:N164" ca="1" si="11">CHOOSE(1+LOG(1+2*(C16=1)+4*(C16=2)+8*(C16=3)+16*(C16=4)+32*(C16="S"),2),"","Meta","Nível 2","Nível 3","Nível 4","Serviço")</f>
        <v>Meta</v>
      </c>
      <c r="O16" s="117" t="str">
        <f t="shared" ref="O16:O164" ca="1" si="12">IF(OR($C16=0,$L16=""),"-",CONCATENATE(E16&amp;".",IF(AND($A$5&gt;=2,$C16&gt;=2),F16&amp;".",""),IF(AND($A$5&gt;=3,$C16&gt;=3),G16&amp;".",""),IF(AND($A$5&gt;=4,$C16&gt;=4),H16&amp;".",""),IF($C16="S",I16&amp;".","")))</f>
        <v>1.</v>
      </c>
      <c r="P16" s="118" t="s">
        <v>750</v>
      </c>
      <c r="Q16" s="119"/>
      <c r="R16" s="120" t="s">
        <v>1035</v>
      </c>
      <c r="S16" s="121" t="str">
        <f ca="1">REFERENCIA.Unidade</f>
        <v>-</v>
      </c>
      <c r="T16" s="122">
        <f ca="1">OFFSET(CÁLCULO!H$15,ROW($T16)-ROW(T$15),0)</f>
        <v>0</v>
      </c>
      <c r="U16" s="123"/>
      <c r="V16" s="124" t="s">
        <v>663</v>
      </c>
      <c r="W16" s="122">
        <f ca="1">IF($C16="S",ROUND(IF(TIPOORCAMENTO="Proposto",ORÇAMENTO.CustoUnitario*(1+$AH16),ORÇAMENTO.PrecoUnitarioLicitado),15-13*$AF$10),0)</f>
        <v>0</v>
      </c>
      <c r="X16" s="125" cm="1">
        <f t="array" aca="1" ref="X16" ca="1">IF($C16="S",IF(OR(Import.TipoArredondamento&lt;&gt;"TransfereGOV",ACOMPANHAMENTO="BM"),VTOTAL1,SUM(OFFSET(CÁLCULO!$AI$15,ROW($X16)-ROW($X$15),1):OFFSET(CÁLCULO!$BB$15,ROW($X16)-ROW($X$15),-1))),IF($C16=0,0,ROUND(SomaAgrup,15-13*$AF$11)))</f>
        <v>498227.73</v>
      </c>
      <c r="Y16" s="126" t="s">
        <v>751</v>
      </c>
      <c r="Z16" t="str">
        <f t="shared" ref="Z16:Z164" ca="1" si="13">IF(AND($C16="S",$X16&gt;0),IF(ISBLANK($Y16),"RA",LEFT($Y16,2)),"")</f>
        <v/>
      </c>
      <c r="AA16" s="127">
        <f ca="1">IF($C16="S",IF($Z16="CP",$X16,IF($Z16="RA",(($X16)*QCI!$AA$3),0)),SomaAgrup)</f>
        <v>137617.40109543453</v>
      </c>
      <c r="AB16" s="128">
        <f t="shared" ref="AB16:AB164" ca="1" si="14">IF($C16="S",IF($Z16="OU",ROUND($X16,2),0),SomaAgrup)</f>
        <v>0</v>
      </c>
      <c r="AC16" s="565" t="e"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IF(AND(_xlfn.SINGLE(TIPOORCAMENTO)="Licitado",$AL16=0,$AN16&gt;0),"SEM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#NAME?</v>
      </c>
      <c r="AD16">
        <f ca="1">IF(C16&lt;=CRONO.NivelExibicao,MAX($AD$15:OFFSET(AD16,-1,0))+IF($C16&lt;&gt;1,1,MAX(1,COUNTIF(QCI!$A$13:$A$24,OFFSET($E16,-1,0)))),"")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(Sem Código)</v>
      </c>
      <c r="AG16" s="428">
        <f ca="1">ROUND(IF(DESONERACAO="sim",REFERENCIA.Desonerado,REFERENCIA.NaoDesonerado),2)</f>
        <v>0</v>
      </c>
      <c r="AH16" s="429">
        <f t="shared" ref="AH16:AH164" ca="1" si="15">ROUND(IF(ISNUMBER(ORÇAMENTO.OpcaoBDI),ORÇAMENTO.OpcaoBDI,IF(LEFT(ORÇAMENTO.OpcaoBDI,3)="BDI",HLOOKUP(ORÇAMENTO.OpcaoBDI,$F$4:$H$5,2,FALSE),0)),15-11*$AF$9)</f>
        <v>0.2283</v>
      </c>
      <c r="AJ16" s="431"/>
      <c r="AL16" s="439"/>
      <c r="AM16" s="336">
        <f t="shared" ca="1" si="0"/>
        <v>498227.73</v>
      </c>
      <c r="AN16" s="470">
        <f t="shared" ref="AN16:AN164" ca="1" si="16">ROUND(ORÇAMENTO.CustoUnitario*(1+$AH16),2)</f>
        <v>0</v>
      </c>
    </row>
    <row r="17" spans="1:40" ht="13.8" x14ac:dyDescent="0.3">
      <c r="A17">
        <f t="shared" si="1"/>
        <v>2</v>
      </c>
      <c r="B17">
        <f t="shared" ca="1" si="2"/>
        <v>2</v>
      </c>
      <c r="C17">
        <f t="shared" ca="1" si="3"/>
        <v>2</v>
      </c>
      <c r="D17">
        <f t="shared" ca="1" si="4"/>
        <v>4</v>
      </c>
      <c r="E17">
        <f ca="1">IF($C17=1,OFFSET(E17,-1,0)+MAX(1,COUNTIF(QCI!$A$13:$A$24,OFFSET(ORÇAMENTO!E17,-1,0))),OFFSET(E17,-1,0))</f>
        <v>1</v>
      </c>
      <c r="F17">
        <f t="shared" ca="1" si="5"/>
        <v>1</v>
      </c>
      <c r="G17">
        <f t="shared" ca="1" si="6"/>
        <v>0</v>
      </c>
      <c r="H17">
        <f t="shared" ca="1" si="7"/>
        <v>0</v>
      </c>
      <c r="I17">
        <f t="shared" ca="1" si="8"/>
        <v>0</v>
      </c>
      <c r="J17">
        <f t="shared" ca="1" si="9"/>
        <v>40</v>
      </c>
      <c r="K17">
        <f ca="1">IF(OR($C17="S",$C17=0),0,MATCH(OFFSET($D17,0,$C17)+IF($C17&lt;&gt;1,1,COUNTIF(QCI!$A$13:$A$24,ORÇAMENTO!E17)),OFFSET($D17,1,$C17,ROW($C$165)-ROW($C17)),0))</f>
        <v>4</v>
      </c>
      <c r="L17" s="114" t="str">
        <f t="shared" ca="1" si="10"/>
        <v>F</v>
      </c>
      <c r="M17" s="115" t="s">
        <v>702</v>
      </c>
      <c r="N17" s="116" t="str">
        <f t="shared" ca="1" si="11"/>
        <v>Nível 2</v>
      </c>
      <c r="O17" s="117" t="str">
        <f t="shared" ca="1" si="12"/>
        <v>1.1.</v>
      </c>
      <c r="P17" s="118" t="s">
        <v>750</v>
      </c>
      <c r="Q17" s="119"/>
      <c r="R17" s="120" t="s">
        <v>1007</v>
      </c>
      <c r="S17" s="121" t="str">
        <f ca="1">REFERENCIA.Unidade</f>
        <v>-</v>
      </c>
      <c r="T17" s="122">
        <f ca="1">OFFSET(CÁLCULO!H$15,ROW($T17)-ROW(T$15),0)</f>
        <v>0</v>
      </c>
      <c r="U17" s="123"/>
      <c r="V17" s="124" t="s">
        <v>663</v>
      </c>
      <c r="W17" s="122">
        <f ca="1">IF($C17="S",ROUND(IF(TIPOORCAMENTO="Proposto",ORÇAMENTO.CustoUnitario*(1+$AH17),ORÇAMENTO.PrecoUnitarioLicitado),15-13*$AF$10),0)</f>
        <v>0</v>
      </c>
      <c r="X17" s="125" cm="1">
        <f t="array" aca="1" ref="X17" ca="1">IF($C17="S",IF(OR(Import.TipoArredondamento&lt;&gt;"TransfereGOV",ACOMPANHAMENTO="BM"),VTOTAL1,SUM(OFFSET(CÁLCULO!$AI$15,ROW($X17)-ROW($X$15),1):OFFSET(CÁLCULO!$BB$15,ROW($X17)-ROW($X$15),-1))),IF($C17=0,0,ROUND(SomaAgrup,15-13*$AF$11)))</f>
        <v>18380.169999999998</v>
      </c>
      <c r="Y17" s="126" t="s">
        <v>751</v>
      </c>
      <c r="Z17" t="str">
        <f t="shared" ca="1" si="13"/>
        <v/>
      </c>
      <c r="AA17" s="127">
        <f ca="1">IF($C17="S",IF($Z17="CP",$X17,IF($Z17="RA",(($X17)*QCI!$AA$3),0)),SomaAgrup)</f>
        <v>5076.8575789474271</v>
      </c>
      <c r="AB17" s="128">
        <f t="shared" ca="1" si="14"/>
        <v>0</v>
      </c>
      <c r="AC17" s="565" t="e"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IF(AND(_xlfn.SINGLE(TIPOORCAMENTO)="Licitado",$AL17=0,$AN17&gt;0),"SEM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#NAME?</v>
      </c>
      <c r="AD17">
        <f ca="1">IF(C17&lt;=CRONO.NivelExibicao,MAX($AD$15:OFFSET(AD17,-1,0))+IF($C17&lt;&gt;1,1,MAX(1,COUNTIF(QCI!$A$13:$A$24,OFFSET($E17,-1,0)))),"")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(Sem Código)</v>
      </c>
      <c r="AG17" s="428">
        <f ca="1">ROUND(IF(DESONERACAO="sim",REFERENCIA.Desonerado,REFERENCIA.NaoDesonerado),2)</f>
        <v>0</v>
      </c>
      <c r="AH17" s="429">
        <f t="shared" ca="1" si="15"/>
        <v>0.2283</v>
      </c>
      <c r="AJ17" s="431"/>
      <c r="AL17" s="439"/>
      <c r="AM17" s="336">
        <f t="shared" ca="1" si="0"/>
        <v>18380.169999999998</v>
      </c>
      <c r="AN17" s="470">
        <f t="shared" ca="1" si="16"/>
        <v>0</v>
      </c>
    </row>
    <row r="18" spans="1:40" ht="26.4"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IF(OR($C18="S",$C18=0),0,MATCH(OFFSET($D18,0,$C18)+IF($C18&lt;&gt;1,1,COUNTIF(QCI!$A$13:$A$24,ORÇAMENTO!E18)),OFFSET($D18,1,$C18,ROW($C$165)-ROW($C18)),0))</f>
        <v>0</v>
      </c>
      <c r="L18" s="114" t="str">
        <f t="shared" ca="1" si="10"/>
        <v>F</v>
      </c>
      <c r="M18" s="115" t="s">
        <v>705</v>
      </c>
      <c r="N18" s="116" t="str">
        <f t="shared" ca="1" si="11"/>
        <v>Serviço</v>
      </c>
      <c r="O18" s="117" t="str">
        <f t="shared" ca="1" si="12"/>
        <v>1.1.1.</v>
      </c>
      <c r="P18" s="118" t="s">
        <v>750</v>
      </c>
      <c r="Q18" s="119" t="s">
        <v>1008</v>
      </c>
      <c r="R18" s="120" t="s">
        <v>1009</v>
      </c>
      <c r="S18" s="121" t="s">
        <v>623</v>
      </c>
      <c r="T18" s="122">
        <f ca="1">OFFSET(CÁLCULO!H$15,ROW($T18)-ROW(T$15),0)</f>
        <v>6</v>
      </c>
      <c r="U18" s="123">
        <f ca="1">AG18</f>
        <v>462.53</v>
      </c>
      <c r="V18" s="124" t="s">
        <v>663</v>
      </c>
      <c r="W18" s="122">
        <f ca="1">IF($C18="S",ROUND(IF(TIPOORCAMENTO="Proposto",ORÇAMENTO.CustoUnitario*(1+$AH18),ORÇAMENTO.PrecoUnitarioLicitado),15-13*$AF$10),0)</f>
        <v>568.13</v>
      </c>
      <c r="X18" s="125" cm="1">
        <f t="array" aca="1" ref="X18" ca="1">IF($C18="S",IF(OR(Import.TipoArredondamento&lt;&gt;"TransfereGOV",ACOMPANHAMENTO="BM"),VTOTAL1,SUM(OFFSET(CÁLCULO!$AI$15,ROW($X18)-ROW($X$15),1):OFFSET(CÁLCULO!$BB$15,ROW($X18)-ROW($X$15),-1))),IF($C18=0,0,ROUND(SomaAgrup,15-13*$AF$11)))</f>
        <v>3408.78</v>
      </c>
      <c r="Y18" s="126" t="s">
        <v>751</v>
      </c>
      <c r="Z18" t="str">
        <f t="shared" ca="1" si="13"/>
        <v>RA</v>
      </c>
      <c r="AA18" s="127">
        <f ca="1">IF($C18="S",IF($Z18="CP",$X18,IF($Z18="RA",(($X18)*QCI!$AA$3),0)),SomaAgrup)</f>
        <v>941.55225865508373</v>
      </c>
      <c r="AB18" s="128">
        <f t="shared" ca="1" si="14"/>
        <v>0</v>
      </c>
      <c r="AC18" s="565" t="e"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IF(AND(_xlfn.SINGLE(TIPOORCAMENTO)="Licitado",$AL18=0,$AN18&gt;0),"SEM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#NAME?</v>
      </c>
      <c r="AD18" t="str">
        <f ca="1">IF(C18&lt;=CRONO.NivelExibicao,MAX($AD$15:OFFSET(AD18,-1,0))+IF($C18&lt;&gt;1,1,MAX(1,COUNTIF(QCI!$A$13:$A$24,OFFSET($E18,-1,0)))),"")</f>
        <v/>
      </c>
      <c r="AE18" s="7" t="str">
        <f ca="1">IF(AND($C18="S",ORÇAMENTO.CodBarra&lt;&gt;""),IF(ORÇAMENTO.Fonte="",ORÇAMENTO.CodBarra,CONCATENATE(ORÇAMENTO.Fonte," ",ORÇAMENTO.CodBarra)))</f>
        <v>SINAPI 103689</v>
      </c>
      <c r="AF18" s="12">
        <f ca="1">IF(ISERROR(INDIRECT(ORÇAMENTO.BancoRef)),"(abra o arquivo 'Referência "&amp;Excel_BuiltIn_Database&amp;".xlsm)",IF(OR($C18&lt;&gt;"S",ORÇAMENTO.CodBarra=""),"(Sem Código)",IF(ISERROR(MATCH($AE18,INDIRECT(ORÇAMENTO.BancoRef),0)),"(Código não identificado nas referências)",MATCH($AE18,INDIRECT(ORÇAMENTO.BancoRef),0))))</f>
        <v>14937</v>
      </c>
      <c r="AG18" s="428">
        <f ca="1">ROUND(IF(DESONERACAO="sim",REFERENCIA.Desonerado,REFERENCIA.NaoDesonerado),2)</f>
        <v>462.53</v>
      </c>
      <c r="AH18" s="429">
        <f t="shared" ca="1" si="15"/>
        <v>0.2283</v>
      </c>
      <c r="AJ18" s="431">
        <v>6</v>
      </c>
      <c r="AL18" s="439"/>
      <c r="AM18" s="336">
        <f t="shared" ca="1" si="0"/>
        <v>3408.78</v>
      </c>
      <c r="AN18" s="470">
        <f t="shared" ca="1" si="16"/>
        <v>568.13</v>
      </c>
    </row>
    <row r="19" spans="1:40" ht="39.6" x14ac:dyDescent="0.3">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IF(OR($C19="S",$C19=0),0,MATCH(OFFSET($D19,0,$C19)+IF($C19&lt;&gt;1,1,COUNTIF(QCI!$A$13:$A$24,ORÇAMENTO!E19)),OFFSET($D19,1,$C19,ROW($C$165)-ROW($C19)),0))</f>
        <v>0</v>
      </c>
      <c r="L19" s="114" t="str">
        <f t="shared" ca="1" si="10"/>
        <v>F</v>
      </c>
      <c r="M19" s="115" t="s">
        <v>705</v>
      </c>
      <c r="N19" s="116" t="str">
        <f t="shared" ca="1" si="11"/>
        <v>Serviço</v>
      </c>
      <c r="O19" s="117" t="str">
        <f t="shared" ca="1" si="12"/>
        <v>1.1.2.</v>
      </c>
      <c r="P19" s="118" t="s">
        <v>957</v>
      </c>
      <c r="Q19" s="119" t="s">
        <v>1016</v>
      </c>
      <c r="R19" s="120" t="str">
        <f ca="1">IF($C19="S",REFERENCIA.Descricao,"(digite a descrição aqui)")</f>
        <v>MOBILIZAÇÃO OU DESMOBILIZAÇÃO DE 07 EQUIPAMENTOS, COM CAMINHÃO PRANCHA, PARA UMA DMT= 21 KM E UMA VM=
60KM/H, POR VIAS PAVIMENTADAS</v>
      </c>
      <c r="S19" s="121" t="str">
        <f ca="1">REFERENCIA.Unidade</f>
        <v>UN</v>
      </c>
      <c r="T19" s="122">
        <f ca="1">OFFSET(CÁLCULO!H$15,ROW($T19)-ROW(T$15),0)</f>
        <v>1</v>
      </c>
      <c r="U19" s="123">
        <f ca="1">AG19</f>
        <v>1770.09</v>
      </c>
      <c r="V19" s="124" t="s">
        <v>663</v>
      </c>
      <c r="W19" s="122">
        <f ca="1">IF($C19="S",ROUND(IF(TIPOORCAMENTO="Proposto",ORÇAMENTO.CustoUnitario*(1+$AH19),ORÇAMENTO.PrecoUnitarioLicitado),15-13*$AF$10),0)</f>
        <v>2174.1999999999998</v>
      </c>
      <c r="X19" s="125" cm="1">
        <f t="array" aca="1" ref="X19" ca="1">IF($C19="S",IF(OR(Import.TipoArredondamento&lt;&gt;"TransfereGOV",ACOMPANHAMENTO="BM"),VTOTAL1,SUM(OFFSET(CÁLCULO!$AI$15,ROW($X19)-ROW($X$15),1):OFFSET(CÁLCULO!$BB$15,ROW($X19)-ROW($X$15),-1))),IF($C19=0,0,ROUND(SomaAgrup,15-13*$AF$11)))</f>
        <v>2174.1999999999998</v>
      </c>
      <c r="Y19" s="126" t="s">
        <v>751</v>
      </c>
      <c r="Z19" t="str">
        <f t="shared" ca="1" si="13"/>
        <v>RA</v>
      </c>
      <c r="AA19" s="127">
        <f ca="1">IF($C19="S",IF($Z19="CP",$X19,IF($Z19="RA",(($X19)*QCI!$AA$3),0)),SomaAgrup)</f>
        <v>600.5441597192787</v>
      </c>
      <c r="AB19" s="128">
        <f t="shared" ca="1" si="14"/>
        <v>0</v>
      </c>
      <c r="AC19" s="565" t="e"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IF(AND(_xlfn.SINGLE(TIPOORCAMENTO)="Licitado",$AL19=0,$AN19&gt;0),"SEM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#NAME?</v>
      </c>
      <c r="AD19" t="str">
        <f ca="1">IF(C19&lt;=CRONO.NivelExibicao,MAX($AD$15:OFFSET(AD19,-1,0))+IF($C19&lt;&gt;1,1,MAX(1,COUNTIF(QCI!$A$13:$A$24,OFFSET($E19,-1,0)))),"")</f>
        <v/>
      </c>
      <c r="AE19" s="7" t="str">
        <f ca="1">IF(AND($C19="S",ORÇAMENTO.CodBarra&lt;&gt;""),IF(ORÇAMENTO.Fonte="",ORÇAMENTO.CodBarra,CONCATENATE(ORÇAMENTO.Fonte," ",ORÇAMENTO.CodBarra)))</f>
        <v>Composição COMP 01</v>
      </c>
      <c r="AF19" s="12">
        <f ca="1">IF(ISERROR(INDIRECT(ORÇAMENTO.BancoRef)),"(abra o arquivo 'Referência "&amp;Excel_BuiltIn_Database&amp;".xlsm)",IF(OR($C19&lt;&gt;"S",ORÇAMENTO.CodBarra=""),"(Sem Código)",IF(ISERROR(MATCH($AE19,INDIRECT(ORÇAMENTO.BancoRef),0)),"(Código não identificado nas referências)",MATCH($AE19,INDIRECT(ORÇAMENTO.BancoRef),0))))</f>
        <v>3</v>
      </c>
      <c r="AG19" s="428">
        <f ca="1">ROUND(IF(DESONERACAO="sim",REFERENCIA.Desonerado,REFERENCIA.NaoDesonerado),2)</f>
        <v>1770.09</v>
      </c>
      <c r="AH19" s="429">
        <f t="shared" ca="1" si="15"/>
        <v>0.2283</v>
      </c>
      <c r="AJ19" s="431"/>
      <c r="AL19" s="439"/>
      <c r="AM19" s="336">
        <f t="shared" ca="1" si="0"/>
        <v>2174.1999999999998</v>
      </c>
      <c r="AN19" s="470">
        <f t="shared" ca="1" si="16"/>
        <v>2174.1999999999998</v>
      </c>
    </row>
    <row r="20" spans="1:40" ht="13.8" x14ac:dyDescent="0.3">
      <c r="A20" t="str">
        <f>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IF($C20=1,OFFSET(E20,-1,0)+MAX(1,COUNTIF(QCI!$A$13:$A$24,OFFSET(ORÇAMENTO!E20,-1,0))),OFFSET(E20,-1,0))</f>
        <v>1</v>
      </c>
      <c r="F20">
        <f ca="1">IF($C20=1,0,IF($C20=2,OFFSET(F20,-1,0)+1,OFFSET(F20,-1,0)))</f>
        <v>1</v>
      </c>
      <c r="G20">
        <f ca="1">IF(AND($C20&lt;=2,$C20&lt;&gt;0),0,IF($C20=3,OFFSET(G20,-1,0)+1,OFFSET(G20,-1,0)))</f>
        <v>0</v>
      </c>
      <c r="H20">
        <f ca="1">IF(AND($C20&lt;=3,$C20&lt;&gt;0),0,IF($C20=4,OFFSET(H20,-1,0)+1,OFFSET(H20,-1,0)))</f>
        <v>0</v>
      </c>
      <c r="I20">
        <f ca="1">IF(AND($C20&lt;=4,$C20&lt;&gt;0),0,IF(AND($C20="S",$X20&gt;0),OFFSET(I20,-1,0)+1,OFFSET(I20,-1,0)))</f>
        <v>3</v>
      </c>
      <c r="J20">
        <f t="shared" ca="1" si="9"/>
        <v>0</v>
      </c>
      <c r="K20">
        <f ca="1">IF(OR($C20="S",$C20=0),0,MATCH(OFFSET($D20,0,$C20)+IF($C20&lt;&gt;1,1,COUNTIF(QCI!$A$13:$A$24,ORÇAMENTO!E20)),OFFSET($D20,1,$C20,ROW($C$165)-ROW($C20)),0))</f>
        <v>0</v>
      </c>
      <c r="L20" s="114" t="str">
        <f ca="1">IF(OR($X20&gt;0,$C20=1,$C20=2,$C20=3,$C20=4),"F","")</f>
        <v>F</v>
      </c>
      <c r="M20" s="115" t="s">
        <v>705</v>
      </c>
      <c r="N20" s="116" t="str">
        <f ca="1">CHOOSE(1+LOG(1+2*(C20=1)+4*(C20=2)+8*(C20=3)+16*(C20=4)+32*(C20="S"),2),"","Meta","Nível 2","Nível 3","Nível 4","Serviço")</f>
        <v>Serviço</v>
      </c>
      <c r="O20" s="117" t="str">
        <f ca="1">IF(OR($C20=0,$L20=""),"-",CONCATENATE(E20&amp;".",IF(AND($A$5&gt;=2,$C20&gt;=2),F20&amp;".",""),IF(AND($A$5&gt;=3,$C20&gt;=3),G20&amp;".",""),IF(AND($A$5&gt;=4,$C20&gt;=4),H20&amp;".",""),IF($C20="S",I20&amp;".","")))</f>
        <v>1.1.3.</v>
      </c>
      <c r="P20" s="118" t="s">
        <v>957</v>
      </c>
      <c r="Q20" s="119" t="s">
        <v>1036</v>
      </c>
      <c r="R20" s="120" t="str">
        <f ca="1">IF($C20="S",REFERENCIA.Descricao,"(digite a descrição aqui)")</f>
        <v xml:space="preserve">BARRACÃO PROVISÓRIO DE OBRA EM MADEIRA 10M² COM BANEHIRO </v>
      </c>
      <c r="S20" s="121" t="str">
        <f ca="1">REFERENCIA.Unidade</f>
        <v>UN</v>
      </c>
      <c r="T20" s="122">
        <f ca="1">OFFSET(CÁLCULO!H$15,ROW($T20)-ROW(T$15),0)</f>
        <v>1</v>
      </c>
      <c r="U20" s="123">
        <f ca="1">AG20</f>
        <v>10418.620000000001</v>
      </c>
      <c r="V20" s="124" t="s">
        <v>663</v>
      </c>
      <c r="W20" s="122">
        <f ca="1">IF($C20="S",ROUND(IF(TIPOORCAMENTO="Proposto",ORÇAMENTO.CustoUnitario*(1+$AH20),ORÇAMENTO.PrecoUnitarioLicitado),15-13*$AF$10),0)</f>
        <v>12797.19</v>
      </c>
      <c r="X20" s="125" cm="1">
        <f t="array" aca="1" ref="X20" ca="1">IF($C20="S",IF(OR(Import.TipoArredondamento&lt;&gt;"TransfereGOV",ACOMPANHAMENTO="BM"),VTOTAL1,SUM(OFFSET(CÁLCULO!$AI$15,ROW($X20)-ROW($X$15),1):OFFSET(CÁLCULO!$BB$15,ROW($X20)-ROW($X$15),-1))),IF($C20=0,0,ROUND(SomaAgrup,15-13*$AF$11)))</f>
        <v>12797.19</v>
      </c>
      <c r="Y20" s="126" t="s">
        <v>751</v>
      </c>
      <c r="Z20" t="str">
        <f ca="1">IF(AND($C20="S",$X20&gt;0),IF(ISBLANK($Y20),"RA",LEFT($Y20,2)),"")</f>
        <v>RA</v>
      </c>
      <c r="AA20" s="127">
        <f ca="1">IF($C20="S",IF($Z20="CP",$X20,IF($Z20="RA",(($X20)*QCI!$AA$3),0)),SomaAgrup)</f>
        <v>3534.7611605730644</v>
      </c>
      <c r="AB20" s="128">
        <f ca="1">IF($C20="S",IF($Z20="OU",ROUND($X20,2),0),SomaAgrup)</f>
        <v>0</v>
      </c>
      <c r="AC20" s="565" t="e"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IF(AND(_xlfn.SINGLE(TIPOORCAMENTO)="Licitado",$AL20=0,$AN20&gt;0),"SEM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#NAME?</v>
      </c>
      <c r="AD20" t="str">
        <f ca="1">IF(C20&lt;=CRONO.NivelExibicao,MAX($AD$15:OFFSET(AD20,-1,0))+IF($C20&lt;&gt;1,1,MAX(1,COUNTIF(QCI!$A$13:$A$24,OFFSET($E20,-1,0)))),"")</f>
        <v/>
      </c>
      <c r="AE20" s="7" t="str">
        <f ca="1">IF(AND($C20="S",ORÇAMENTO.CodBarra&lt;&gt;""),IF(ORÇAMENTO.Fonte="",ORÇAMENTO.CodBarra,CONCATENATE(ORÇAMENTO.Fonte," ",ORÇAMENTO.CodBarra)))</f>
        <v>Composição COMP 12</v>
      </c>
      <c r="AF20" s="12">
        <f ca="1">IF(ISERROR(INDIRECT(ORÇAMENTO.BancoRef)),"(abra o arquivo 'Referência "&amp;Excel_BuiltIn_Database&amp;".xlsm)",IF(OR($C20&lt;&gt;"S",ORÇAMENTO.CodBarra=""),"(Sem Código)",IF(ISERROR(MATCH($AE20,INDIRECT(ORÇAMENTO.BancoRef),0)),"(Código não identificado nas referências)",MATCH($AE20,INDIRECT(ORÇAMENTO.BancoRef),0))))</f>
        <v>14</v>
      </c>
      <c r="AG20" s="428">
        <f ca="1">ROUND(IF(DESONERACAO="sim",REFERENCIA.Desonerado,REFERENCIA.NaoDesonerado),2)</f>
        <v>10418.620000000001</v>
      </c>
      <c r="AH20" s="429">
        <f ca="1">ROUND(IF(ISNUMBER(ORÇAMENTO.OpcaoBDI),ORÇAMENTO.OpcaoBDI,IF(LEFT(ORÇAMENTO.OpcaoBDI,3)="BDI",HLOOKUP(ORÇAMENTO.OpcaoBDI,$F$4:$H$5,2,FALSE),0)),15-11*$AF$9)</f>
        <v>0.2283</v>
      </c>
      <c r="AJ20" s="431"/>
      <c r="AL20" s="439"/>
      <c r="AM20" s="336">
        <f t="shared" ref="AM20" ca="1" si="17">$X20</f>
        <v>12797.19</v>
      </c>
      <c r="AN20" s="470">
        <f ca="1">ROUND(ORÇAMENTO.CustoUnitario*(1+$AH20),2)</f>
        <v>12797.19</v>
      </c>
    </row>
    <row r="21" spans="1:40" ht="13.8" x14ac:dyDescent="0.3">
      <c r="A21">
        <f t="shared" si="1"/>
        <v>2</v>
      </c>
      <c r="B21">
        <f t="shared" ca="1" si="2"/>
        <v>2</v>
      </c>
      <c r="C21">
        <f t="shared" ca="1" si="3"/>
        <v>2</v>
      </c>
      <c r="D21">
        <f t="shared" ca="1" si="4"/>
        <v>2</v>
      </c>
      <c r="E21">
        <f ca="1">IF($C21=1,OFFSET(E21,-1,0)+MAX(1,COUNTIF(QCI!$A$13:$A$24,OFFSET(ORÇAMENTO!E21,-1,0))),OFFSET(E21,-1,0))</f>
        <v>1</v>
      </c>
      <c r="F21">
        <f t="shared" ca="1" si="5"/>
        <v>2</v>
      </c>
      <c r="G21">
        <f t="shared" ca="1" si="6"/>
        <v>0</v>
      </c>
      <c r="H21">
        <f t="shared" ca="1" si="7"/>
        <v>0</v>
      </c>
      <c r="I21">
        <f t="shared" ca="1" si="8"/>
        <v>0</v>
      </c>
      <c r="J21">
        <f t="shared" ca="1" si="9"/>
        <v>36</v>
      </c>
      <c r="K21">
        <f ca="1">IF(OR($C21="S",$C21=0),0,MATCH(OFFSET($D21,0,$C21)+IF($C21&lt;&gt;1,1,COUNTIF(QCI!$A$13:$A$24,ORÇAMENTO!E21)),OFFSET($D21,1,$C21,ROW($C$165)-ROW($C21)),0))</f>
        <v>2</v>
      </c>
      <c r="L21" s="114" t="str">
        <f t="shared" ca="1" si="10"/>
        <v>F</v>
      </c>
      <c r="M21" s="115" t="s">
        <v>702</v>
      </c>
      <c r="N21" s="116" t="str">
        <f t="shared" ca="1" si="11"/>
        <v>Nível 2</v>
      </c>
      <c r="O21" s="117" t="str">
        <f t="shared" ca="1" si="12"/>
        <v>1.2.</v>
      </c>
      <c r="P21" s="118" t="s">
        <v>750</v>
      </c>
      <c r="Q21" s="119"/>
      <c r="R21" s="120" t="s">
        <v>1017</v>
      </c>
      <c r="S21" s="121" t="str">
        <f ca="1">REFERENCIA.Unidade</f>
        <v>-</v>
      </c>
      <c r="T21" s="122">
        <f ca="1">OFFSET(CÁLCULO!H$15,ROW($T21)-ROW(T$15),0)</f>
        <v>0</v>
      </c>
      <c r="U21" s="123"/>
      <c r="V21" s="124" t="s">
        <v>663</v>
      </c>
      <c r="W21" s="122">
        <f ca="1">IF($C21="S",ROUND(IF(TIPOORCAMENTO="Proposto",ORÇAMENTO.CustoUnitario*(1+$AH21),ORÇAMENTO.PrecoUnitarioLicitado),15-13*$AF$10),0)</f>
        <v>0</v>
      </c>
      <c r="X21" s="125" cm="1">
        <f t="array" aca="1" ref="X21" ca="1">IF($C21="S",IF(OR(Import.TipoArredondamento&lt;&gt;"TransfereGOV",ACOMPANHAMENTO="BM"),VTOTAL1,SUM(OFFSET(CÁLCULO!$AI$15,ROW($X21)-ROW($X$15),1):OFFSET(CÁLCULO!$BB$15,ROW($X21)-ROW($X$15),-1))),IF($C21=0,0,ROUND(SomaAgrup,15-13*$AF$11)))</f>
        <v>37230.239999999998</v>
      </c>
      <c r="Y21" s="126" t="s">
        <v>751</v>
      </c>
      <c r="Z21" t="str">
        <f t="shared" ca="1" si="13"/>
        <v/>
      </c>
      <c r="AA21" s="127">
        <f ca="1">IF($C21="S",IF($Z21="CP",$X21,IF($Z21="RA",(($X21)*QCI!$AA$3),0)),SomaAgrup)</f>
        <v>10283.508047533382</v>
      </c>
      <c r="AB21" s="128">
        <f t="shared" ca="1" si="14"/>
        <v>0</v>
      </c>
      <c r="AC21" s="565" t="e"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IF(AND(_xlfn.SINGLE(TIPOORCAMENTO)="Licitado",$AL21=0,$AN21&gt;0),"SEM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#NAME?</v>
      </c>
      <c r="AD21">
        <f ca="1">IF(C21&lt;=CRONO.NivelExibicao,MAX($AD$15:OFFSET(AD21,-1,0))+IF($C21&lt;&gt;1,1,MAX(1,COUNTIF(QCI!$A$13:$A$24,OFFSET($E21,-1,0)))),"")</f>
        <v>3</v>
      </c>
      <c r="AE21" s="7" t="b">
        <f ca="1">IF(AND($C21="S",ORÇAMENTO.CodBarra&lt;&gt;""),IF(ORÇAMENTO.Fonte="",ORÇAMENTO.CodBarra,CONCATENATE(ORÇAMENTO.Fonte," ",ORÇAMENTO.CodBarra)))</f>
        <v>0</v>
      </c>
      <c r="AF21" s="12" t="str">
        <f ca="1">IF(ISERROR(INDIRECT(ORÇAMENTO.BancoRef)),"(abra o arquivo 'Referência "&amp;Excel_BuiltIn_Database&amp;".xlsm)",IF(OR($C21&lt;&gt;"S",ORÇAMENTO.CodBarra=""),"(Sem Código)",IF(ISERROR(MATCH($AE21,INDIRECT(ORÇAMENTO.BancoRef),0)),"(Código não identificado nas referências)",MATCH($AE21,INDIRECT(ORÇAMENTO.BancoRef),0))))</f>
        <v>(Sem Código)</v>
      </c>
      <c r="AG21" s="428">
        <f ca="1">ROUND(IF(DESONERACAO="sim",REFERENCIA.Desonerado,REFERENCIA.NaoDesonerado),2)</f>
        <v>0</v>
      </c>
      <c r="AH21" s="429">
        <f t="shared" ca="1" si="15"/>
        <v>0.2283</v>
      </c>
      <c r="AJ21" s="431"/>
      <c r="AL21" s="439"/>
      <c r="AM21" s="336">
        <f t="shared" ca="1" si="0"/>
        <v>37230.239999999998</v>
      </c>
      <c r="AN21" s="470">
        <f t="shared" ca="1" si="16"/>
        <v>0</v>
      </c>
    </row>
    <row r="22" spans="1:40" ht="13.8" x14ac:dyDescent="0.3">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1</v>
      </c>
      <c r="J22">
        <f t="shared" ca="1" si="9"/>
        <v>0</v>
      </c>
      <c r="K22">
        <f ca="1">IF(OR($C22="S",$C22=0),0,MATCH(OFFSET($D22,0,$C22)+IF($C22&lt;&gt;1,1,COUNTIF(QCI!$A$13:$A$24,ORÇAMENTO!E22)),OFFSET($D22,1,$C22,ROW($C$165)-ROW($C22)),0))</f>
        <v>0</v>
      </c>
      <c r="L22" s="114" t="str">
        <f t="shared" ca="1" si="10"/>
        <v>F</v>
      </c>
      <c r="M22" s="115" t="s">
        <v>705</v>
      </c>
      <c r="N22" s="116" t="str">
        <f t="shared" ca="1" si="11"/>
        <v>Serviço</v>
      </c>
      <c r="O22" s="117" t="str">
        <f t="shared" ca="1" si="12"/>
        <v>1.2.1.</v>
      </c>
      <c r="P22" s="118" t="s">
        <v>957</v>
      </c>
      <c r="Q22" s="119" t="s">
        <v>1018</v>
      </c>
      <c r="R22" s="120" t="str">
        <f ca="1">IF($C22="S",REFERENCIA.Descricao,"(digite a descrição aqui)")</f>
        <v>ADMINISTRAÇÃO LOCAL DA OBRA MENSAL</v>
      </c>
      <c r="S22" s="121" t="str">
        <f ca="1">REFERENCIA.Unidade</f>
        <v>MES</v>
      </c>
      <c r="T22" s="122">
        <f ca="1">OFFSET(CÁLCULO!H$15,ROW($T22)-ROW(T$15),0)</f>
        <v>6</v>
      </c>
      <c r="U22" s="123">
        <f ca="1">AG22</f>
        <v>5051.7299999999996</v>
      </c>
      <c r="V22" s="124" t="s">
        <v>663</v>
      </c>
      <c r="W22" s="122">
        <f ca="1">IF($C22="S",ROUND(IF(TIPOORCAMENTO="Proposto",ORÇAMENTO.CustoUnitario*(1+$AH22),ORÇAMENTO.PrecoUnitarioLicitado),15-13*$AF$10),0)</f>
        <v>6205.04</v>
      </c>
      <c r="X22" s="125" cm="1">
        <f t="array" aca="1" ref="X22" ca="1">IF($C22="S",IF(OR(Import.TipoArredondamento&lt;&gt;"TransfereGOV",ACOMPANHAMENTO="BM"),VTOTAL1,SUM(OFFSET(CÁLCULO!$AI$15,ROW($X22)-ROW($X$15),1):OFFSET(CÁLCULO!$BB$15,ROW($X22)-ROW($X$15),-1))),IF($C22=0,0,ROUND(SomaAgrup,15-13*$AF$11)))</f>
        <v>37230.239999999998</v>
      </c>
      <c r="Y22" s="126" t="s">
        <v>751</v>
      </c>
      <c r="Z22" t="str">
        <f t="shared" ca="1" si="13"/>
        <v>RA</v>
      </c>
      <c r="AA22" s="127">
        <f ca="1">IF($C22="S",IF($Z22="CP",$X22,IF($Z22="RA",(($X22)*QCI!$AA$3),0)),SomaAgrup)</f>
        <v>10283.508047533382</v>
      </c>
      <c r="AB22" s="128">
        <f t="shared" ca="1" si="14"/>
        <v>0</v>
      </c>
      <c r="AC22" s="565" t="e"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IF(AND(_xlfn.SINGLE(TIPOORCAMENTO)="Licitado",$AL22=0,$AN22&gt;0),"SEM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#NAME?</v>
      </c>
      <c r="AD22" t="str">
        <f ca="1">IF(C22&lt;=CRONO.NivelExibicao,MAX($AD$15:OFFSET(AD22,-1,0))+IF($C22&lt;&gt;1,1,MAX(1,COUNTIF(QCI!$A$13:$A$24,OFFSET($E22,-1,0)))),"")</f>
        <v/>
      </c>
      <c r="AE22" s="7" t="str">
        <f ca="1">IF(AND($C22="S",ORÇAMENTO.CodBarra&lt;&gt;""),IF(ORÇAMENTO.Fonte="",ORÇAMENTO.CodBarra,CONCATENATE(ORÇAMENTO.Fonte," ",ORÇAMENTO.CodBarra)))</f>
        <v>Composição COMP 02</v>
      </c>
      <c r="AF22" s="12">
        <f ca="1">IF(ISERROR(INDIRECT(ORÇAMENTO.BancoRef)),"(abra o arquivo 'Referência "&amp;Excel_BuiltIn_Database&amp;".xlsm)",IF(OR($C22&lt;&gt;"S",ORÇAMENTO.CodBarra=""),"(Sem Código)",IF(ISERROR(MATCH($AE22,INDIRECT(ORÇAMENTO.BancoRef),0)),"(Código não identificado nas referências)",MATCH($AE22,INDIRECT(ORÇAMENTO.BancoRef),0))))</f>
        <v>4</v>
      </c>
      <c r="AG22" s="428">
        <f ca="1">ROUND(IF(DESONERACAO="sim",REFERENCIA.Desonerado,REFERENCIA.NaoDesonerado),2)</f>
        <v>5051.7299999999996</v>
      </c>
      <c r="AH22" s="429">
        <f t="shared" ca="1" si="15"/>
        <v>0.2283</v>
      </c>
      <c r="AJ22" s="431"/>
      <c r="AL22" s="439"/>
      <c r="AM22" s="336">
        <f t="shared" ca="1" si="0"/>
        <v>37230.239999999998</v>
      </c>
      <c r="AN22" s="470">
        <f t="shared" ca="1" si="16"/>
        <v>6205.04</v>
      </c>
    </row>
    <row r="23" spans="1:40" ht="13.8" x14ac:dyDescent="0.3">
      <c r="A23">
        <f t="shared" si="1"/>
        <v>2</v>
      </c>
      <c r="B23">
        <f t="shared" ca="1" si="2"/>
        <v>2</v>
      </c>
      <c r="C23">
        <f t="shared" ca="1" si="3"/>
        <v>2</v>
      </c>
      <c r="D23">
        <f t="shared" ca="1" si="4"/>
        <v>10</v>
      </c>
      <c r="E23">
        <f ca="1">IF($C23=1,OFFSET(E23,-1,0)+MAX(1,COUNTIF(QCI!$A$13:$A$24,OFFSET(ORÇAMENTO!E23,-1,0))),OFFSET(E23,-1,0))</f>
        <v>1</v>
      </c>
      <c r="F23">
        <f t="shared" ca="1" si="5"/>
        <v>3</v>
      </c>
      <c r="G23">
        <f t="shared" ca="1" si="6"/>
        <v>0</v>
      </c>
      <c r="H23">
        <f t="shared" ca="1" si="7"/>
        <v>0</v>
      </c>
      <c r="I23">
        <f t="shared" ca="1" si="8"/>
        <v>0</v>
      </c>
      <c r="J23">
        <f t="shared" ca="1" si="9"/>
        <v>34</v>
      </c>
      <c r="K23">
        <f ca="1">IF(OR($C23="S",$C23=0),0,MATCH(OFFSET($D23,0,$C23)+IF($C23&lt;&gt;1,1,COUNTIF(QCI!$A$13:$A$24,ORÇAMENTO!E23)),OFFSET($D23,1,$C23,ROW($C$165)-ROW($C23)),0))</f>
        <v>10</v>
      </c>
      <c r="L23" s="114" t="str">
        <f t="shared" ca="1" si="10"/>
        <v>F</v>
      </c>
      <c r="M23" s="115" t="s">
        <v>702</v>
      </c>
      <c r="N23" s="116" t="str">
        <f t="shared" ca="1" si="11"/>
        <v>Nível 2</v>
      </c>
      <c r="O23" s="117" t="str">
        <f t="shared" ca="1" si="12"/>
        <v>1.3.</v>
      </c>
      <c r="P23" s="118" t="s">
        <v>750</v>
      </c>
      <c r="Q23" s="119"/>
      <c r="R23" s="120" t="s">
        <v>1005</v>
      </c>
      <c r="S23" s="121" t="str">
        <f ca="1">REFERENCIA.Unidade</f>
        <v>-</v>
      </c>
      <c r="T23" s="122">
        <f ca="1">OFFSET(CÁLCULO!H$15,ROW($T23)-ROW(T$15),0)</f>
        <v>0</v>
      </c>
      <c r="U23" s="123"/>
      <c r="V23" s="124" t="s">
        <v>663</v>
      </c>
      <c r="W23" s="122">
        <f ca="1">IF($C23="S",ROUND(IF(TIPOORCAMENTO="Proposto",ORÇAMENTO.CustoUnitario*(1+$AH23),ORÇAMENTO.PrecoUnitarioLicitado),15-13*$AF$10),0)</f>
        <v>0</v>
      </c>
      <c r="X23" s="125" cm="1">
        <f t="array" aca="1" ref="X23" ca="1">IF($C23="S",IF(OR(Import.TipoArredondamento&lt;&gt;"TransfereGOV",ACOMPANHAMENTO="BM"),VTOTAL1,SUM(OFFSET(CÁLCULO!$AI$15,ROW($X23)-ROW($X$15),1):OFFSET(CÁLCULO!$BB$15,ROW($X23)-ROW($X$15),-1))),IF($C23=0,0,ROUND(SomaAgrup,15-13*$AF$11)))</f>
        <v>36923.120000000003</v>
      </c>
      <c r="Y23" s="126" t="s">
        <v>751</v>
      </c>
      <c r="Z23" t="str">
        <f t="shared" ca="1" si="13"/>
        <v/>
      </c>
      <c r="AA23" s="127">
        <f ca="1">IF($C23="S",IF($Z23="CP",$X23,IF($Z23="RA",(($X23)*QCI!$AA$3),0)),SomaAgrup)</f>
        <v>10198.677248925625</v>
      </c>
      <c r="AB23" s="128">
        <f t="shared" ca="1" si="14"/>
        <v>0</v>
      </c>
      <c r="AC23" s="565" t="e"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IF(AND(_xlfn.SINGLE(TIPOORCAMENTO)="Licitado",$AL23=0,$AN23&gt;0),"SEM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#NAME?</v>
      </c>
      <c r="AD23">
        <f ca="1">IF(C23&lt;=CRONO.NivelExibicao,MAX($AD$15:OFFSET(AD23,-1,0))+IF($C23&lt;&gt;1,1,MAX(1,COUNTIF(QCI!$A$13:$A$24,OFFSET($E23,-1,0)))),"")</f>
        <v>4</v>
      </c>
      <c r="AE23" s="7" t="b">
        <f ca="1">IF(AND($C23="S",ORÇAMENTO.CodBarra&lt;&gt;""),IF(ORÇAMENTO.Fonte="",ORÇAMENTO.CodBarra,CONCATENATE(ORÇAMENTO.Fonte," ",ORÇAMENTO.CodBarra)))</f>
        <v>0</v>
      </c>
      <c r="AF23" s="12" t="str">
        <f ca="1">IF(ISERROR(INDIRECT(ORÇAMENTO.BancoRef)),"(abra o arquivo 'Referência "&amp;Excel_BuiltIn_Database&amp;".xlsm)",IF(OR($C23&lt;&gt;"S",ORÇAMENTO.CodBarra=""),"(Sem Código)",IF(ISERROR(MATCH($AE23,INDIRECT(ORÇAMENTO.BancoRef),0)),"(Código não identificado nas referências)",MATCH($AE23,INDIRECT(ORÇAMENTO.BancoRef),0))))</f>
        <v>(Sem Código)</v>
      </c>
      <c r="AG23" s="428">
        <f ca="1">ROUND(IF(DESONERACAO="sim",REFERENCIA.Desonerado,REFERENCIA.NaoDesonerado),2)</f>
        <v>0</v>
      </c>
      <c r="AH23" s="429">
        <f t="shared" ca="1" si="15"/>
        <v>0.2283</v>
      </c>
      <c r="AJ23" s="431"/>
      <c r="AL23" s="439"/>
      <c r="AM23" s="336">
        <f t="shared" ca="1" si="0"/>
        <v>36923.120000000003</v>
      </c>
      <c r="AN23" s="470">
        <f t="shared" ca="1" si="16"/>
        <v>0</v>
      </c>
    </row>
    <row r="24" spans="1:40" ht="13.8" x14ac:dyDescent="0.3">
      <c r="A24" t="str">
        <f t="shared" si="1"/>
        <v>S</v>
      </c>
      <c r="B24">
        <f t="shared" ca="1" si="2"/>
        <v>2</v>
      </c>
      <c r="C24" t="str">
        <f t="shared" ca="1" si="3"/>
        <v>S</v>
      </c>
      <c r="D24">
        <f t="shared" ca="1" si="4"/>
        <v>0</v>
      </c>
      <c r="E24">
        <f ca="1">IF($C24=1,OFFSET(E24,-1,0)+MAX(1,COUNTIF(QCI!$A$13:$A$24,OFFSET(ORÇAMENTO!E24,-1,0))),OFFSET(E24,-1,0))</f>
        <v>1</v>
      </c>
      <c r="F24">
        <f t="shared" ca="1" si="5"/>
        <v>3</v>
      </c>
      <c r="G24">
        <f t="shared" ca="1" si="6"/>
        <v>0</v>
      </c>
      <c r="H24">
        <f t="shared" ca="1" si="7"/>
        <v>0</v>
      </c>
      <c r="I24">
        <f t="shared" ca="1" si="8"/>
        <v>1</v>
      </c>
      <c r="J24">
        <f t="shared" ca="1" si="9"/>
        <v>0</v>
      </c>
      <c r="K24">
        <f ca="1">IF(OR($C24="S",$C24=0),0,MATCH(OFFSET($D24,0,$C24)+IF($C24&lt;&gt;1,1,COUNTIF(QCI!$A$13:$A$24,ORÇAMENTO!E24)),OFFSET($D24,1,$C24,ROW($C$165)-ROW($C24)),0))</f>
        <v>0</v>
      </c>
      <c r="L24" s="114" t="str">
        <f t="shared" ca="1" si="10"/>
        <v>F</v>
      </c>
      <c r="M24" s="115" t="s">
        <v>705</v>
      </c>
      <c r="N24" s="116" t="str">
        <f t="shared" ca="1" si="11"/>
        <v>Serviço</v>
      </c>
      <c r="O24" s="117" t="str">
        <f t="shared" ca="1" si="12"/>
        <v>1.3.1.</v>
      </c>
      <c r="P24" s="118" t="s">
        <v>956</v>
      </c>
      <c r="Q24" s="119" t="s">
        <v>1006</v>
      </c>
      <c r="R24" s="120" t="str">
        <f ca="1">IF($C24="S",REFERENCIA.Descricao,"(digite a descrição aqui)")</f>
        <v>Escavação mecânica com retroescavadeira em material de 1ª categoria</v>
      </c>
      <c r="S24" s="121" t="str">
        <f ca="1">REFERENCIA.Unidade</f>
        <v>m³</v>
      </c>
      <c r="T24" s="122">
        <f ca="1">OFFSET(CÁLCULO!H$15,ROW($T24)-ROW(T$15),0)</f>
        <v>20.8</v>
      </c>
      <c r="U24" s="123">
        <f t="shared" ref="U24:U32" ca="1" si="18">AG24</f>
        <v>7.38</v>
      </c>
      <c r="V24" s="124" t="s">
        <v>663</v>
      </c>
      <c r="W24" s="122">
        <f ca="1">IF($C24="S",ROUND(IF(TIPOORCAMENTO="Proposto",ORÇAMENTO.CustoUnitario*(1+$AH24),ORÇAMENTO.PrecoUnitarioLicitado),15-13*$AF$10),0)</f>
        <v>9.06</v>
      </c>
      <c r="X24" s="125" cm="1">
        <f t="array" aca="1" ref="X24" ca="1">IF($C24="S",IF(OR(Import.TipoArredondamento&lt;&gt;"TransfereGOV",ACOMPANHAMENTO="BM"),VTOTAL1,SUM(OFFSET(CÁLCULO!$AI$15,ROW($X24)-ROW($X$15),1):OFFSET(CÁLCULO!$BB$15,ROW($X24)-ROW($X$15),-1))),IF($C24=0,0,ROUND(SomaAgrup,15-13*$AF$11)))</f>
        <v>188.45</v>
      </c>
      <c r="Y24" s="126" t="s">
        <v>751</v>
      </c>
      <c r="Z24" t="str">
        <f t="shared" ca="1" si="13"/>
        <v>RA</v>
      </c>
      <c r="AA24" s="127">
        <f ca="1">IF($C24="S",IF($Z24="CP",$X24,IF($Z24="RA",(($X24)*QCI!$AA$3),0)),SomaAgrup)</f>
        <v>52.052500643500167</v>
      </c>
      <c r="AB24" s="128">
        <f t="shared" ca="1" si="14"/>
        <v>0</v>
      </c>
      <c r="AC24" s="565" t="e"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IF(AND(_xlfn.SINGLE(TIPOORCAMENTO)="Licitado",$AL24=0,$AN24&gt;0),"SEM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#NAME?</v>
      </c>
      <c r="AD24" t="str">
        <f ca="1">IF(C24&lt;=CRONO.NivelExibicao,MAX($AD$15:OFFSET(AD24,-1,0))+IF($C24&lt;&gt;1,1,MAX(1,COUNTIF(QCI!$A$13:$A$24,OFFSET($E24,-1,0)))),"")</f>
        <v/>
      </c>
      <c r="AE24" s="7" t="str">
        <f ca="1">IF(AND($C24="S",ORÇAMENTO.CodBarra&lt;&gt;""),IF(ORÇAMENTO.Fonte="",ORÇAMENTO.CodBarra,CONCATENATE(ORÇAMENTO.Fonte," ",ORÇAMENTO.CodBarra)))</f>
        <v>SICRO 5501706</v>
      </c>
      <c r="AF24" s="12">
        <f ca="1">IF(ISERROR(INDIRECT(ORÇAMENTO.BancoRef)),"(abra o arquivo 'Referência "&amp;Excel_BuiltIn_Database&amp;".xlsm)",IF(OR($C24&lt;&gt;"S",ORÇAMENTO.CodBarra=""),"(Sem Código)",IF(ISERROR(MATCH($AE24,INDIRECT(ORÇAMENTO.BancoRef),0)),"(Código não identificado nas referências)",MATCH($AE24,INDIRECT(ORÇAMENTO.BancoRef),0))))</f>
        <v>21440</v>
      </c>
      <c r="AG24" s="428">
        <f ca="1">ROUND(IF(DESONERACAO="sim",REFERENCIA.Desonerado,REFERENCIA.NaoDesonerado),2)</f>
        <v>7.38</v>
      </c>
      <c r="AH24" s="429">
        <f t="shared" ca="1" si="15"/>
        <v>0.2283</v>
      </c>
      <c r="AJ24" s="431"/>
      <c r="AL24" s="439"/>
      <c r="AM24" s="336">
        <f t="shared" ca="1" si="0"/>
        <v>188.45</v>
      </c>
      <c r="AN24" s="470">
        <f t="shared" ca="1" si="16"/>
        <v>9.06</v>
      </c>
    </row>
    <row r="25" spans="1:40" ht="26.4" x14ac:dyDescent="0.3">
      <c r="A25" t="str">
        <f t="shared" si="1"/>
        <v>S</v>
      </c>
      <c r="B25">
        <f t="shared" ca="1" si="2"/>
        <v>2</v>
      </c>
      <c r="C25" t="str">
        <f t="shared" ca="1" si="3"/>
        <v>S</v>
      </c>
      <c r="D25">
        <f t="shared" ca="1" si="4"/>
        <v>0</v>
      </c>
      <c r="E25">
        <f ca="1">IF($C25=1,OFFSET(E25,-1,0)+MAX(1,COUNTIF(QCI!$A$13:$A$24,OFFSET(ORÇAMENTO!E25,-1,0))),OFFSET(E25,-1,0))</f>
        <v>1</v>
      </c>
      <c r="F25">
        <f t="shared" ca="1" si="5"/>
        <v>3</v>
      </c>
      <c r="G25">
        <f t="shared" ca="1" si="6"/>
        <v>0</v>
      </c>
      <c r="H25">
        <f t="shared" ca="1" si="7"/>
        <v>0</v>
      </c>
      <c r="I25">
        <f t="shared" ca="1" si="8"/>
        <v>2</v>
      </c>
      <c r="J25">
        <f t="shared" ca="1" si="9"/>
        <v>0</v>
      </c>
      <c r="K25">
        <f ca="1">IF(OR($C25="S",$C25=0),0,MATCH(OFFSET($D25,0,$C25)+IF($C25&lt;&gt;1,1,COUNTIF(QCI!$A$13:$A$24,ORÇAMENTO!E25)),OFFSET($D25,1,$C25,ROW($C$165)-ROW($C25)),0))</f>
        <v>0</v>
      </c>
      <c r="L25" s="114" t="str">
        <f t="shared" ca="1" si="10"/>
        <v>F</v>
      </c>
      <c r="M25" s="115" t="s">
        <v>705</v>
      </c>
      <c r="N25" s="116" t="str">
        <f t="shared" ca="1" si="11"/>
        <v>Serviço</v>
      </c>
      <c r="O25" s="117" t="str">
        <f t="shared" ca="1" si="12"/>
        <v>1.3.2.</v>
      </c>
      <c r="P25" s="118" t="s">
        <v>956</v>
      </c>
      <c r="Q25" s="119" t="s">
        <v>1011</v>
      </c>
      <c r="R25" s="120" t="str">
        <f ca="1">IF($C25="S",REFERENCIA.Descricao,"(digite a descrição aqui)")</f>
        <v>Tubo de concreto PA1 comercial para drenagem - D = 0,50 m - fornecimento e instalação</v>
      </c>
      <c r="S25" s="121" t="str">
        <f ca="1">REFERENCIA.Unidade</f>
        <v>m</v>
      </c>
      <c r="T25" s="122">
        <f ca="1">OFFSET(CÁLCULO!H$15,ROW($T25)-ROW(T$15),0)</f>
        <v>24</v>
      </c>
      <c r="U25" s="123">
        <f t="shared" ca="1" si="18"/>
        <v>235.8</v>
      </c>
      <c r="V25" s="124" t="s">
        <v>663</v>
      </c>
      <c r="W25" s="122">
        <f ca="1">IF($C25="S",ROUND(IF(TIPOORCAMENTO="Proposto",ORÇAMENTO.CustoUnitario*(1+$AH25),ORÇAMENTO.PrecoUnitarioLicitado),15-13*$AF$10),0)</f>
        <v>289.63</v>
      </c>
      <c r="X25" s="125" cm="1">
        <f t="array" aca="1" ref="X25" ca="1">IF($C25="S",IF(OR(Import.TipoArredondamento&lt;&gt;"TransfereGOV",ACOMPANHAMENTO="BM"),VTOTAL1,SUM(OFFSET(CÁLCULO!$AI$15,ROW($X25)-ROW($X$15),1):OFFSET(CÁLCULO!$BB$15,ROW($X25)-ROW($X$15),-1))),IF($C25=0,0,ROUND(SomaAgrup,15-13*$AF$11)))</f>
        <v>6951.12</v>
      </c>
      <c r="Y25" s="126" t="s">
        <v>751</v>
      </c>
      <c r="Z25" t="str">
        <f t="shared" ca="1" si="13"/>
        <v>RA</v>
      </c>
      <c r="AA25" s="127">
        <f ca="1">IF($C25="S",IF($Z25="CP",$X25,IF($Z25="RA",(($X25)*QCI!$AA$3),0)),SomaAgrup)</f>
        <v>1919.9956395492009</v>
      </c>
      <c r="AB25" s="128">
        <f t="shared" ca="1" si="14"/>
        <v>0</v>
      </c>
      <c r="AC25" s="565" t="e"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IF(AND(_xlfn.SINGLE(TIPOORCAMENTO)="Licitado",$AL25=0,$AN25&gt;0),"SEM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#NAME?</v>
      </c>
      <c r="AD25" t="str">
        <f ca="1">IF(C25&lt;=CRONO.NivelExibicao,MAX($AD$15:OFFSET(AD25,-1,0))+IF($C25&lt;&gt;1,1,MAX(1,COUNTIF(QCI!$A$13:$A$24,OFFSET($E25,-1,0)))),"")</f>
        <v/>
      </c>
      <c r="AE25" s="7" t="str">
        <f ca="1">IF(AND($C25="S",ORÇAMENTO.CodBarra&lt;&gt;""),IF(ORÇAMENTO.Fonte="",ORÇAMENTO.CodBarra,CONCATENATE(ORÇAMENTO.Fonte," ",ORÇAMENTO.CodBarra)))</f>
        <v>SICRO 2003869</v>
      </c>
      <c r="AF25" s="12">
        <f ca="1">IF(ISERROR(INDIRECT(ORÇAMENTO.BancoRef)),"(abra o arquivo 'Referência "&amp;Excel_BuiltIn_Database&amp;".xlsm)",IF(OR($C25&lt;&gt;"S",ORÇAMENTO.CodBarra=""),"(Sem Código)",IF(ISERROR(MATCH($AE25,INDIRECT(ORÇAMENTO.BancoRef),0)),"(Código não identificado nas referências)",MATCH($AE25,INDIRECT(ORÇAMENTO.BancoRef),0))))</f>
        <v>19292</v>
      </c>
      <c r="AG25" s="428">
        <f ca="1">ROUND(IF(DESONERACAO="sim",REFERENCIA.Desonerado,REFERENCIA.NaoDesonerado),2)</f>
        <v>235.8</v>
      </c>
      <c r="AH25" s="429">
        <f t="shared" ca="1" si="15"/>
        <v>0.2283</v>
      </c>
      <c r="AJ25" s="431"/>
      <c r="AL25" s="439"/>
      <c r="AM25" s="336">
        <f t="shared" ca="1" si="0"/>
        <v>6951.12</v>
      </c>
      <c r="AN25" s="470">
        <f t="shared" ca="1" si="16"/>
        <v>289.63</v>
      </c>
    </row>
    <row r="26" spans="1:40" ht="26.4" x14ac:dyDescent="0.3">
      <c r="A26" t="str">
        <f t="shared" si="1"/>
        <v>S</v>
      </c>
      <c r="B26">
        <f t="shared" ca="1" si="2"/>
        <v>2</v>
      </c>
      <c r="C26" t="str">
        <f t="shared" ca="1" si="3"/>
        <v>S</v>
      </c>
      <c r="D26">
        <f t="shared" ca="1" si="4"/>
        <v>0</v>
      </c>
      <c r="E26">
        <f ca="1">IF($C26=1,OFFSET(E26,-1,0)+MAX(1,COUNTIF(QCI!$A$13:$A$24,OFFSET(ORÇAMENTO!E26,-1,0))),OFFSET(E26,-1,0))</f>
        <v>1</v>
      </c>
      <c r="F26">
        <f t="shared" ca="1" si="5"/>
        <v>3</v>
      </c>
      <c r="G26">
        <f t="shared" ca="1" si="6"/>
        <v>0</v>
      </c>
      <c r="H26">
        <f t="shared" ca="1" si="7"/>
        <v>0</v>
      </c>
      <c r="I26">
        <f t="shared" ca="1" si="8"/>
        <v>3</v>
      </c>
      <c r="J26">
        <f t="shared" ca="1" si="9"/>
        <v>0</v>
      </c>
      <c r="K26">
        <f ca="1">IF(OR($C26="S",$C26=0),0,MATCH(OFFSET($D26,0,$C26)+IF($C26&lt;&gt;1,1,COUNTIF(QCI!$A$13:$A$24,ORÇAMENTO!E26)),OFFSET($D26,1,$C26,ROW($C$165)-ROW($C26)),0))</f>
        <v>0</v>
      </c>
      <c r="L26" s="114" t="str">
        <f t="shared" ca="1" si="10"/>
        <v>F</v>
      </c>
      <c r="M26" s="115" t="s">
        <v>705</v>
      </c>
      <c r="N26" s="116" t="str">
        <f t="shared" ca="1" si="11"/>
        <v>Serviço</v>
      </c>
      <c r="O26" s="117" t="str">
        <f t="shared" ca="1" si="12"/>
        <v>1.3.3.</v>
      </c>
      <c r="P26" s="118" t="s">
        <v>956</v>
      </c>
      <c r="Q26" s="119" t="s">
        <v>1010</v>
      </c>
      <c r="R26" s="120" t="str">
        <f ca="1">IF($C26="S",REFERENCIA.Descricao,"(digite a descrição aqui)")</f>
        <v>Tubo de concreto PA1 comercial para drenagem - D = 0,60 m - fornecimento e instalação</v>
      </c>
      <c r="S26" s="121" t="str">
        <f ca="1">REFERENCIA.Unidade</f>
        <v>m</v>
      </c>
      <c r="T26" s="122">
        <f ca="1">OFFSET(CÁLCULO!H$15,ROW($T26)-ROW(T$15),0)</f>
        <v>2</v>
      </c>
      <c r="U26" s="123">
        <f t="shared" ca="1" si="18"/>
        <v>309.56</v>
      </c>
      <c r="V26" s="124" t="s">
        <v>663</v>
      </c>
      <c r="W26" s="122">
        <f ca="1">IF($C26="S",ROUND(IF(TIPOORCAMENTO="Proposto",ORÇAMENTO.CustoUnitario*(1+$AH26),ORÇAMENTO.PrecoUnitarioLicitado),15-13*$AF$10),0)</f>
        <v>380.23</v>
      </c>
      <c r="X26" s="125" cm="1">
        <f t="array" aca="1" ref="X26" ca="1">IF($C26="S",IF(OR(Import.TipoArredondamento&lt;&gt;"TransfereGOV",ACOMPANHAMENTO="BM"),VTOTAL1,SUM(OFFSET(CÁLCULO!$AI$15,ROW($X26)-ROW($X$15),1):OFFSET(CÁLCULO!$BB$15,ROW($X26)-ROW($X$15),-1))),IF($C26=0,0,ROUND(SomaAgrup,15-13*$AF$11)))</f>
        <v>760.46</v>
      </c>
      <c r="Y26" s="126" t="s">
        <v>751</v>
      </c>
      <c r="Z26" t="str">
        <f t="shared" ca="1" si="13"/>
        <v>RA</v>
      </c>
      <c r="AA26" s="127">
        <f ca="1">IF($C26="S",IF($Z26="CP",$X26,IF($Z26="RA",(($X26)*QCI!$AA$3),0)),SomaAgrup)</f>
        <v>210.04958683659402</v>
      </c>
      <c r="AB26" s="128">
        <f t="shared" ca="1" si="14"/>
        <v>0</v>
      </c>
      <c r="AC26" s="565" t="e"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IF(AND(_xlfn.SINGLE(TIPOORCAMENTO)="Licitado",$AL26=0,$AN26&gt;0),"SEM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#NAME?</v>
      </c>
      <c r="AD26" t="str">
        <f ca="1">IF(C26&lt;=CRONO.NivelExibicao,MAX($AD$15:OFFSET(AD26,-1,0))+IF($C26&lt;&gt;1,1,MAX(1,COUNTIF(QCI!$A$13:$A$24,OFFSET($E26,-1,0)))),"")</f>
        <v/>
      </c>
      <c r="AE26" s="7" t="str">
        <f ca="1">IF(AND($C26="S",ORÇAMENTO.CodBarra&lt;&gt;""),IF(ORÇAMENTO.Fonte="",ORÇAMENTO.CodBarra,CONCATENATE(ORÇAMENTO.Fonte," ",ORÇAMENTO.CodBarra)))</f>
        <v>SICRO 2003822</v>
      </c>
      <c r="AF26" s="12">
        <f ca="1">IF(ISERROR(INDIRECT(ORÇAMENTO.BancoRef)),"(abra o arquivo 'Referência "&amp;Excel_BuiltIn_Database&amp;".xlsm)",IF(OR($C26&lt;&gt;"S",ORÇAMENTO.CodBarra=""),"(Sem Código)",IF(ISERROR(MATCH($AE26,INDIRECT(ORÇAMENTO.BancoRef),0)),"(Código não identificado nas referências)",MATCH($AE26,INDIRECT(ORÇAMENTO.BancoRef),0))))</f>
        <v>19293</v>
      </c>
      <c r="AG26" s="428">
        <f ca="1">ROUND(IF(DESONERACAO="sim",REFERENCIA.Desonerado,REFERENCIA.NaoDesonerado),2)</f>
        <v>309.56</v>
      </c>
      <c r="AH26" s="429">
        <f t="shared" ca="1" si="15"/>
        <v>0.2283</v>
      </c>
      <c r="AJ26" s="431"/>
      <c r="AL26" s="439"/>
      <c r="AM26" s="336">
        <f t="shared" ca="1" si="0"/>
        <v>760.46</v>
      </c>
      <c r="AN26" s="470">
        <f t="shared" ca="1" si="16"/>
        <v>380.23</v>
      </c>
    </row>
    <row r="27" spans="1:40" ht="26.4" x14ac:dyDescent="0.3">
      <c r="A27" t="str">
        <f t="shared" si="1"/>
        <v>S</v>
      </c>
      <c r="B27">
        <f t="shared" ca="1" si="2"/>
        <v>2</v>
      </c>
      <c r="C27" t="str">
        <f t="shared" ca="1" si="3"/>
        <v>S</v>
      </c>
      <c r="D27">
        <f t="shared" ca="1" si="4"/>
        <v>0</v>
      </c>
      <c r="E27">
        <f ca="1">IF($C27=1,OFFSET(E27,-1,0)+MAX(1,COUNTIF(QCI!$A$13:$A$24,OFFSET(ORÇAMENTO!E27,-1,0))),OFFSET(E27,-1,0))</f>
        <v>1</v>
      </c>
      <c r="F27">
        <f t="shared" ca="1" si="5"/>
        <v>3</v>
      </c>
      <c r="G27">
        <f t="shared" ca="1" si="6"/>
        <v>0</v>
      </c>
      <c r="H27">
        <f t="shared" ca="1" si="7"/>
        <v>0</v>
      </c>
      <c r="I27">
        <f t="shared" ca="1" si="8"/>
        <v>4</v>
      </c>
      <c r="J27">
        <f t="shared" ca="1" si="9"/>
        <v>0</v>
      </c>
      <c r="K27">
        <f ca="1">IF(OR($C27="S",$C27=0),0,MATCH(OFFSET($D27,0,$C27)+IF($C27&lt;&gt;1,1,COUNTIF(QCI!$A$13:$A$24,ORÇAMENTO!E27)),OFFSET($D27,1,$C27,ROW($C$165)-ROW($C27)),0))</f>
        <v>0</v>
      </c>
      <c r="L27" s="114" t="str">
        <f t="shared" ca="1" si="10"/>
        <v>F</v>
      </c>
      <c r="M27" s="115" t="s">
        <v>705</v>
      </c>
      <c r="N27" s="116" t="str">
        <f t="shared" ca="1" si="11"/>
        <v>Serviço</v>
      </c>
      <c r="O27" s="117" t="str">
        <f t="shared" ca="1" si="12"/>
        <v>1.3.4.</v>
      </c>
      <c r="P27" s="118" t="s">
        <v>956</v>
      </c>
      <c r="Q27" s="119" t="s">
        <v>1033</v>
      </c>
      <c r="R27" s="120" t="str">
        <f ca="1">IF($C27="S",REFERENCIA.Descricao,"(digite a descrição aqui)")</f>
        <v>Base ou sub-base de brita graduada com brita comercial - 100% Proctor modificado</v>
      </c>
      <c r="S27" s="121" t="str">
        <f ca="1">REFERENCIA.Unidade</f>
        <v>m³</v>
      </c>
      <c r="T27" s="122">
        <f ca="1">OFFSET(CÁLCULO!H$15,ROW($T27)-ROW(T$15),0)</f>
        <v>15.72</v>
      </c>
      <c r="U27" s="123">
        <f t="shared" ca="1" si="18"/>
        <v>237.49</v>
      </c>
      <c r="V27" s="124" t="s">
        <v>663</v>
      </c>
      <c r="W27" s="122">
        <f ca="1">IF($C27="S",ROUND(IF(TIPOORCAMENTO="Proposto",ORÇAMENTO.CustoUnitario*(1+$AH27),ORÇAMENTO.PrecoUnitarioLicitado),15-13*$AF$10),0)</f>
        <v>291.70999999999998</v>
      </c>
      <c r="X27" s="125" cm="1">
        <f t="array" aca="1" ref="X27" ca="1">IF($C27="S",IF(OR(Import.TipoArredondamento&lt;&gt;"TransfereGOV",ACOMPANHAMENTO="BM"),VTOTAL1,SUM(OFFSET(CÁLCULO!$AI$15,ROW($X27)-ROW($X$15),1):OFFSET(CÁLCULO!$BB$15,ROW($X27)-ROW($X$15),-1))),IF($C27=0,0,ROUND(SomaAgrup,15-13*$AF$11)))</f>
        <v>4585.68</v>
      </c>
      <c r="Y27" s="126" t="s">
        <v>751</v>
      </c>
      <c r="Z27" t="str">
        <f t="shared" ca="1" si="13"/>
        <v>RA</v>
      </c>
      <c r="AA27" s="127">
        <f ca="1">IF($C27="S",IF($Z27="CP",$X27,IF($Z27="RA",(($X27)*QCI!$AA$3),0)),SomaAgrup)</f>
        <v>1266.6283425358763</v>
      </c>
      <c r="AB27" s="128">
        <f t="shared" ca="1" si="14"/>
        <v>0</v>
      </c>
      <c r="AC27" s="565" t="e"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IF(AND(_xlfn.SINGLE(TIPOORCAMENTO)="Licitado",$AL27=0,$AN27&gt;0),"SEM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#NAME?</v>
      </c>
      <c r="AD27" t="str">
        <f ca="1">IF(C27&lt;=CRONO.NivelExibicao,MAX($AD$15:OFFSET(AD27,-1,0))+IF($C27&lt;&gt;1,1,MAX(1,COUNTIF(QCI!$A$13:$A$24,OFFSET($E27,-1,0)))),"")</f>
        <v/>
      </c>
      <c r="AE27" s="7" t="str">
        <f ca="1">IF(AND($C27="S",ORÇAMENTO.CodBarra&lt;&gt;""),IF(ORÇAMENTO.Fonte="",ORÇAMENTO.CodBarra,CONCATENATE(ORÇAMENTO.Fonte," ",ORÇAMENTO.CodBarra)))</f>
        <v>SICRO 4011276</v>
      </c>
      <c r="AF27" s="12">
        <f ca="1">IF(ISERROR(INDIRECT(ORÇAMENTO.BancoRef)),"(abra o arquivo 'Referência "&amp;Excel_BuiltIn_Database&amp;".xlsm)",IF(OR($C27&lt;&gt;"S",ORÇAMENTO.CodBarra=""),"(Sem Código)",IF(ISERROR(MATCH($AE27,INDIRECT(ORÇAMENTO.BancoRef),0)),"(Código não identificado nas referências)",MATCH($AE27,INDIRECT(ORÇAMENTO.BancoRef),0))))</f>
        <v>20331</v>
      </c>
      <c r="AG27" s="428">
        <f ca="1">ROUND(IF(DESONERACAO="sim",REFERENCIA.Desonerado,REFERENCIA.NaoDesonerado),2)</f>
        <v>237.49</v>
      </c>
      <c r="AH27" s="429">
        <f t="shared" ca="1" si="15"/>
        <v>0.2283</v>
      </c>
      <c r="AJ27" s="431"/>
      <c r="AL27" s="439"/>
      <c r="AM27" s="336">
        <f t="shared" ca="1" si="0"/>
        <v>4585.68</v>
      </c>
      <c r="AN27" s="470">
        <f t="shared" ca="1" si="16"/>
        <v>291.70999999999998</v>
      </c>
    </row>
    <row r="28" spans="1:40" ht="13.8" x14ac:dyDescent="0.3">
      <c r="A28" t="str">
        <f t="shared" si="1"/>
        <v>S</v>
      </c>
      <c r="B28">
        <f t="shared" ca="1" si="2"/>
        <v>2</v>
      </c>
      <c r="C28" t="str">
        <f t="shared" ca="1" si="3"/>
        <v>S</v>
      </c>
      <c r="D28">
        <f t="shared" ca="1" si="4"/>
        <v>0</v>
      </c>
      <c r="E28">
        <f ca="1">IF($C28=1,OFFSET(E28,-1,0)+MAX(1,COUNTIF(QCI!$A$13:$A$24,OFFSET(ORÇAMENTO!E28,-1,0))),OFFSET(E28,-1,0))</f>
        <v>1</v>
      </c>
      <c r="F28">
        <f t="shared" ca="1" si="5"/>
        <v>3</v>
      </c>
      <c r="G28">
        <f t="shared" ca="1" si="6"/>
        <v>0</v>
      </c>
      <c r="H28">
        <f t="shared" ca="1" si="7"/>
        <v>0</v>
      </c>
      <c r="I28">
        <f t="shared" ca="1" si="8"/>
        <v>5</v>
      </c>
      <c r="J28">
        <f t="shared" ca="1" si="9"/>
        <v>0</v>
      </c>
      <c r="K28">
        <f ca="1">IF(OR($C28="S",$C28=0),0,MATCH(OFFSET($D28,0,$C28)+IF($C28&lt;&gt;1,1,COUNTIF(QCI!$A$13:$A$24,ORÇAMENTO!E28)),OFFSET($D28,1,$C28,ROW($C$165)-ROW($C28)),0))</f>
        <v>0</v>
      </c>
      <c r="L28" s="114" t="str">
        <f t="shared" ca="1" si="10"/>
        <v>F</v>
      </c>
      <c r="M28" s="115" t="s">
        <v>705</v>
      </c>
      <c r="N28" s="116" t="str">
        <f t="shared" ca="1" si="11"/>
        <v>Serviço</v>
      </c>
      <c r="O28" s="117" t="str">
        <f t="shared" ca="1" si="12"/>
        <v>1.3.5.</v>
      </c>
      <c r="P28" s="118" t="s">
        <v>956</v>
      </c>
      <c r="Q28" s="119" t="s">
        <v>1022</v>
      </c>
      <c r="R28" s="120" t="str">
        <f ca="1">IF($C28="S",REFERENCIA.Descricao,"(digite a descrição aqui)")</f>
        <v>Transporte com caminhão basculante de 10 m³ - rodovia pavimentada</v>
      </c>
      <c r="S28" s="121" t="str">
        <f ca="1">REFERENCIA.Unidade</f>
        <v>tkm</v>
      </c>
      <c r="T28" s="122">
        <f ca="1">OFFSET(CÁLCULO!H$15,ROW($T28)-ROW(T$15),0)</f>
        <v>495.18</v>
      </c>
      <c r="U28" s="123">
        <f t="shared" ca="1" si="18"/>
        <v>0.82</v>
      </c>
      <c r="V28" s="124" t="s">
        <v>663</v>
      </c>
      <c r="W28" s="122">
        <f ca="1">IF($C28="S",ROUND(IF(TIPOORCAMENTO="Proposto",ORÇAMENTO.CustoUnitario*(1+$AH28),ORÇAMENTO.PrecoUnitarioLicitado),15-13*$AF$10),0)</f>
        <v>1.01</v>
      </c>
      <c r="X28" s="125" cm="1">
        <f t="array" aca="1" ref="X28" ca="1">IF($C28="S",IF(OR(Import.TipoArredondamento&lt;&gt;"TransfereGOV",ACOMPANHAMENTO="BM"),VTOTAL1,SUM(OFFSET(CÁLCULO!$AI$15,ROW($X28)-ROW($X$15),1):OFFSET(CÁLCULO!$BB$15,ROW($X28)-ROW($X$15),-1))),IF($C28=0,0,ROUND(SomaAgrup,15-13*$AF$11)))</f>
        <v>500.13</v>
      </c>
      <c r="Y28" s="126" t="s">
        <v>751</v>
      </c>
      <c r="Z28" t="str">
        <f t="shared" ca="1" si="13"/>
        <v>RA</v>
      </c>
      <c r="AA28" s="127">
        <f ca="1">IF($C28="S",IF($Z28="CP",$X28,IF($Z28="RA",(($X28)*QCI!$AA$3),0)),SomaAgrup)</f>
        <v>138.1428344220416</v>
      </c>
      <c r="AB28" s="128">
        <f t="shared" ca="1" si="14"/>
        <v>0</v>
      </c>
      <c r="AC28" s="565" t="e"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IF(AND(_xlfn.SINGLE(TIPOORCAMENTO)="Licitado",$AL28=0,$AN28&gt;0),"SEM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#NAME?</v>
      </c>
      <c r="AD28" t="str">
        <f ca="1">IF(C28&lt;=CRONO.NivelExibicao,MAX($AD$15:OFFSET(AD28,-1,0))+IF($C28&lt;&gt;1,1,MAX(1,COUNTIF(QCI!$A$13:$A$24,OFFSET($E28,-1,0)))),"")</f>
        <v/>
      </c>
      <c r="AE28" s="7" t="str">
        <f ca="1">IF(AND($C28="S",ORÇAMENTO.CodBarra&lt;&gt;""),IF(ORÇAMENTO.Fonte="",ORÇAMENTO.CodBarra,CONCATENATE(ORÇAMENTO.Fonte," ",ORÇAMENTO.CodBarra)))</f>
        <v>SICRO 5914389</v>
      </c>
      <c r="AF28" s="12">
        <f ca="1">IF(ISERROR(INDIRECT(ORÇAMENTO.BancoRef)),"(abra o arquivo 'Referência "&amp;Excel_BuiltIn_Database&amp;".xlsm)",IF(OR($C28&lt;&gt;"S",ORÇAMENTO.CodBarra=""),"(Sem Código)",IF(ISERROR(MATCH($AE28,INDIRECT(ORÇAMENTO.BancoRef),0)),"(Código não identificado nas referências)",MATCH($AE28,INDIRECT(ORÇAMENTO.BancoRef),0))))</f>
        <v>21868</v>
      </c>
      <c r="AG28" s="428">
        <f ca="1">ROUND(IF(DESONERACAO="sim",REFERENCIA.Desonerado,REFERENCIA.NaoDesonerado),2)</f>
        <v>0.82</v>
      </c>
      <c r="AH28" s="429">
        <f t="shared" ca="1" si="15"/>
        <v>0.2283</v>
      </c>
      <c r="AJ28" s="431"/>
      <c r="AL28" s="439"/>
      <c r="AM28" s="336">
        <f t="shared" ca="1" si="0"/>
        <v>500.13</v>
      </c>
      <c r="AN28" s="470">
        <f t="shared" ca="1" si="16"/>
        <v>1.01</v>
      </c>
    </row>
    <row r="29" spans="1:40" ht="26.4" x14ac:dyDescent="0.3">
      <c r="A29" t="str">
        <f t="shared" si="1"/>
        <v>S</v>
      </c>
      <c r="B29">
        <f t="shared" ca="1" si="2"/>
        <v>2</v>
      </c>
      <c r="C29" t="str">
        <f t="shared" ca="1" si="3"/>
        <v>S</v>
      </c>
      <c r="D29">
        <f t="shared" ca="1" si="4"/>
        <v>0</v>
      </c>
      <c r="E29">
        <f ca="1">IF($C29=1,OFFSET(E29,-1,0)+MAX(1,COUNTIF(QCI!$A$13:$A$24,OFFSET(ORÇAMENTO!E29,-1,0))),OFFSET(E29,-1,0))</f>
        <v>1</v>
      </c>
      <c r="F29">
        <f t="shared" ca="1" si="5"/>
        <v>3</v>
      </c>
      <c r="G29">
        <f t="shared" ca="1" si="6"/>
        <v>0</v>
      </c>
      <c r="H29">
        <f t="shared" ca="1" si="7"/>
        <v>0</v>
      </c>
      <c r="I29">
        <f t="shared" ca="1" si="8"/>
        <v>6</v>
      </c>
      <c r="J29">
        <f t="shared" ca="1" si="9"/>
        <v>0</v>
      </c>
      <c r="K29">
        <f ca="1">IF(OR($C29="S",$C29=0),0,MATCH(OFFSET($D29,0,$C29)+IF($C29&lt;&gt;1,1,COUNTIF(QCI!$A$13:$A$24,ORÇAMENTO!E29)),OFFSET($D29,1,$C29,ROW($C$165)-ROW($C29)),0))</f>
        <v>0</v>
      </c>
      <c r="L29" s="114" t="str">
        <f t="shared" ca="1" si="10"/>
        <v>F</v>
      </c>
      <c r="M29" s="115" t="s">
        <v>705</v>
      </c>
      <c r="N29" s="116" t="str">
        <f t="shared" ca="1" si="11"/>
        <v>Serviço</v>
      </c>
      <c r="O29" s="117" t="str">
        <f t="shared" ca="1" si="12"/>
        <v>1.3.6.</v>
      </c>
      <c r="P29" s="118" t="s">
        <v>956</v>
      </c>
      <c r="Q29" s="119" t="s">
        <v>1040</v>
      </c>
      <c r="R29" s="120" t="str">
        <f ca="1">IF($C29="S",REFERENCIA.Descricao,"(digite a descrição aqui)")</f>
        <v>Boca de lobo combinada - chapéu e grelha simples - BLC 01 - areia e brita comerciais</v>
      </c>
      <c r="S29" s="121" t="str">
        <f ca="1">REFERENCIA.Unidade</f>
        <v>un</v>
      </c>
      <c r="T29" s="122">
        <f ca="1">OFFSET(CÁLCULO!H$15,ROW($T29)-ROW(T$15),0)</f>
        <v>3</v>
      </c>
      <c r="U29" s="123">
        <f t="shared" ca="1" si="18"/>
        <v>2427.9899999999998</v>
      </c>
      <c r="V29" s="124" t="s">
        <v>663</v>
      </c>
      <c r="W29" s="122">
        <f ca="1">IF($C29="S",ROUND(IF(TIPOORCAMENTO="Proposto",ORÇAMENTO.CustoUnitario*(1+$AH29),ORÇAMENTO.PrecoUnitarioLicitado),15-13*$AF$10),0)</f>
        <v>2982.3</v>
      </c>
      <c r="X29" s="125" cm="1">
        <f t="array" aca="1" ref="X29" ca="1">IF($C29="S",IF(OR(Import.TipoArredondamento&lt;&gt;"TransfereGOV",ACOMPANHAMENTO="BM"),VTOTAL1,SUM(OFFSET(CÁLCULO!$AI$15,ROW($X29)-ROW($X$15),1):OFFSET(CÁLCULO!$BB$15,ROW($X29)-ROW($X$15),-1))),IF($C29=0,0,ROUND(SomaAgrup,15-13*$AF$11)))</f>
        <v>8946.9</v>
      </c>
      <c r="Y29" s="126" t="s">
        <v>751</v>
      </c>
      <c r="Z29" t="str">
        <f t="shared" ca="1" si="13"/>
        <v>RA</v>
      </c>
      <c r="AA29" s="127">
        <f ca="1">IF($C29="S",IF($Z29="CP",$X29,IF($Z29="RA",(($X29)*QCI!$AA$3),0)),SomaAgrup)</f>
        <v>2471.2577235729991</v>
      </c>
      <c r="AB29" s="128">
        <f t="shared" ca="1" si="14"/>
        <v>0</v>
      </c>
      <c r="AC29" s="565" t="e"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IF(AND(_xlfn.SINGLE(TIPOORCAMENTO)="Licitado",$AL29=0,$AN29&gt;0),"SEM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#NAME?</v>
      </c>
      <c r="AD29" t="str">
        <f ca="1">IF(C29&lt;=CRONO.NivelExibicao,MAX($AD$15:OFFSET(AD29,-1,0))+IF($C29&lt;&gt;1,1,MAX(1,COUNTIF(QCI!$A$13:$A$24,OFFSET($E29,-1,0)))),"")</f>
        <v/>
      </c>
      <c r="AE29" s="7" t="str">
        <f ca="1">IF(AND($C29="S",ORÇAMENTO.CodBarra&lt;&gt;""),IF(ORÇAMENTO.Fonte="",ORÇAMENTO.CodBarra,CONCATENATE(ORÇAMENTO.Fonte," ",ORÇAMENTO.CodBarra)))</f>
        <v>SICRO 2003622</v>
      </c>
      <c r="AF29" s="12">
        <f ca="1">IF(ISERROR(INDIRECT(ORÇAMENTO.BancoRef)),"(abra o arquivo 'Referência "&amp;Excel_BuiltIn_Database&amp;".xlsm)",IF(OR($C29&lt;&gt;"S",ORÇAMENTO.CodBarra=""),"(Sem Código)",IF(ISERROR(MATCH($AE29,INDIRECT(ORÇAMENTO.BancoRef),0)),"(Código não identificado nas referências)",MATCH($AE29,INDIRECT(ORÇAMENTO.BancoRef),0))))</f>
        <v>18593</v>
      </c>
      <c r="AG29" s="428">
        <f ca="1">ROUND(IF(DESONERACAO="sim",REFERENCIA.Desonerado,REFERENCIA.NaoDesonerado),2)</f>
        <v>2427.9899999999998</v>
      </c>
      <c r="AH29" s="429">
        <f t="shared" ca="1" si="15"/>
        <v>0.2283</v>
      </c>
      <c r="AJ29" s="431"/>
      <c r="AL29" s="439"/>
      <c r="AM29" s="336">
        <f t="shared" ca="1" si="0"/>
        <v>8946.9</v>
      </c>
      <c r="AN29" s="470">
        <f t="shared" ca="1" si="16"/>
        <v>2982.3</v>
      </c>
    </row>
    <row r="30" spans="1:40" ht="26.4" x14ac:dyDescent="0.3">
      <c r="A30" t="str">
        <f t="shared" si="1"/>
        <v>S</v>
      </c>
      <c r="B30">
        <f t="shared" ca="1" si="2"/>
        <v>2</v>
      </c>
      <c r="C30" t="str">
        <f t="shared" ca="1" si="3"/>
        <v>S</v>
      </c>
      <c r="D30">
        <f t="shared" ca="1" si="4"/>
        <v>0</v>
      </c>
      <c r="E30">
        <f ca="1">IF($C30=1,OFFSET(E30,-1,0)+MAX(1,COUNTIF(QCI!$A$13:$A$24,OFFSET(ORÇAMENTO!E30,-1,0))),OFFSET(E30,-1,0))</f>
        <v>1</v>
      </c>
      <c r="F30">
        <f t="shared" ca="1" si="5"/>
        <v>3</v>
      </c>
      <c r="G30">
        <f t="shared" ca="1" si="6"/>
        <v>0</v>
      </c>
      <c r="H30">
        <f t="shared" ca="1" si="7"/>
        <v>0</v>
      </c>
      <c r="I30">
        <f t="shared" ca="1" si="8"/>
        <v>7</v>
      </c>
      <c r="J30">
        <f t="shared" ca="1" si="9"/>
        <v>0</v>
      </c>
      <c r="K30">
        <f ca="1">IF(OR($C30="S",$C30=0),0,MATCH(OFFSET($D30,0,$C30)+IF($C30&lt;&gt;1,1,COUNTIF(QCI!$A$13:$A$24,ORÇAMENTO!E30)),OFFSET($D30,1,$C30,ROW($C$165)-ROW($C30)),0))</f>
        <v>0</v>
      </c>
      <c r="L30" s="114" t="str">
        <f t="shared" ca="1" si="10"/>
        <v>F</v>
      </c>
      <c r="M30" s="115" t="s">
        <v>705</v>
      </c>
      <c r="N30" s="116" t="str">
        <f t="shared" ca="1" si="11"/>
        <v>Serviço</v>
      </c>
      <c r="O30" s="117" t="str">
        <f t="shared" ca="1" si="12"/>
        <v>1.3.7.</v>
      </c>
      <c r="P30" s="118" t="s">
        <v>956</v>
      </c>
      <c r="Q30" s="119" t="s">
        <v>1041</v>
      </c>
      <c r="R30" s="120" t="str">
        <f ca="1">IF($C30="S",REFERENCIA.Descricao,"(digite a descrição aqui)")</f>
        <v>Boca de BSTC D = 0,60 m - esconsidade 30° - areia e brita comerciais - alas esconsas</v>
      </c>
      <c r="S30" s="121" t="str">
        <f ca="1">REFERENCIA.Unidade</f>
        <v>un</v>
      </c>
      <c r="T30" s="122">
        <f ca="1">OFFSET(CÁLCULO!H$15,ROW($T30)-ROW(T$15),0)</f>
        <v>2</v>
      </c>
      <c r="U30" s="123">
        <f t="shared" ca="1" si="18"/>
        <v>1361.96</v>
      </c>
      <c r="V30" s="124" t="s">
        <v>663</v>
      </c>
      <c r="W30" s="122">
        <f ca="1">IF($C30="S",ROUND(IF(TIPOORCAMENTO="Proposto",ORÇAMENTO.CustoUnitario*(1+$AH30),ORÇAMENTO.PrecoUnitarioLicitado),15-13*$AF$10),0)</f>
        <v>1672.9</v>
      </c>
      <c r="X30" s="125" cm="1">
        <f t="array" aca="1" ref="X30" ca="1">IF($C30="S",IF(OR(Import.TipoArredondamento&lt;&gt;"TransfereGOV",ACOMPANHAMENTO="BM"),VTOTAL1,SUM(OFFSET(CÁLCULO!$AI$15,ROW($X30)-ROW($X$15),1):OFFSET(CÁLCULO!$BB$15,ROW($X30)-ROW($X$15),-1))),IF($C30=0,0,ROUND(SomaAgrup,15-13*$AF$11)))</f>
        <v>3345.8</v>
      </c>
      <c r="Y30" s="126" t="s">
        <v>751</v>
      </c>
      <c r="Z30" t="str">
        <f t="shared" ca="1" si="13"/>
        <v>RA</v>
      </c>
      <c r="AA30" s="127">
        <f ca="1">IF($C30="S",IF($Z30="CP",$X30,IF($Z30="RA",(($X30)*QCI!$AA$3),0)),SomaAgrup)</f>
        <v>924.15631017788746</v>
      </c>
      <c r="AB30" s="128">
        <f t="shared" ca="1" si="14"/>
        <v>0</v>
      </c>
      <c r="AC30" s="565" t="e"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IF(AND(_xlfn.SINGLE(TIPOORCAMENTO)="Licitado",$AL30=0,$AN30&gt;0),"SEM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#NAME?</v>
      </c>
      <c r="AD30" t="str">
        <f ca="1">IF(C30&lt;=CRONO.NivelExibicao,MAX($AD$15:OFFSET(AD30,-1,0))+IF($C30&lt;&gt;1,1,MAX(1,COUNTIF(QCI!$A$13:$A$24,OFFSET($E30,-1,0)))),"")</f>
        <v/>
      </c>
      <c r="AE30" s="7" t="str">
        <f ca="1">IF(AND($C30="S",ORÇAMENTO.CodBarra&lt;&gt;""),IF(ORÇAMENTO.Fonte="",ORÇAMENTO.CodBarra,CONCATENATE(ORÇAMENTO.Fonte," ",ORÇAMENTO.CodBarra)))</f>
        <v>SICRO 0804381</v>
      </c>
      <c r="AF30" s="12">
        <f ca="1">IF(ISERROR(INDIRECT(ORÇAMENTO.BancoRef)),"(abra o arquivo 'Referência "&amp;Excel_BuiltIn_Database&amp;".xlsm)",IF(OR($C30&lt;&gt;"S",ORÇAMENTO.CodBarra=""),"(Sem Código)",IF(ISERROR(MATCH($AE30,INDIRECT(ORÇAMENTO.BancoRef),0)),"(Código não identificado nas referências)",MATCH($AE30,INDIRECT(ORÇAMENTO.BancoRef),0))))</f>
        <v>16952</v>
      </c>
      <c r="AG30" s="428">
        <f ca="1">ROUND(IF(DESONERACAO="sim",REFERENCIA.Desonerado,REFERENCIA.NaoDesonerado),2)</f>
        <v>1361.96</v>
      </c>
      <c r="AH30" s="429">
        <f t="shared" ca="1" si="15"/>
        <v>0.2283</v>
      </c>
      <c r="AJ30" s="431"/>
      <c r="AL30" s="439"/>
      <c r="AM30" s="336">
        <f t="shared" ca="1" si="0"/>
        <v>3345.8</v>
      </c>
      <c r="AN30" s="470">
        <f t="shared" ca="1" si="16"/>
        <v>1672.9</v>
      </c>
    </row>
    <row r="31" spans="1:40" ht="13.8" x14ac:dyDescent="0.3">
      <c r="A31" t="str">
        <f t="shared" si="1"/>
        <v>S</v>
      </c>
      <c r="B31">
        <f t="shared" ca="1" si="2"/>
        <v>2</v>
      </c>
      <c r="C31" t="str">
        <f t="shared" ca="1" si="3"/>
        <v>S</v>
      </c>
      <c r="D31">
        <f t="shared" ca="1" si="4"/>
        <v>0</v>
      </c>
      <c r="E31">
        <f ca="1">IF($C31=1,OFFSET(E31,-1,0)+MAX(1,COUNTIF(QCI!$A$13:$A$24,OFFSET(ORÇAMENTO!E31,-1,0))),OFFSET(E31,-1,0))</f>
        <v>1</v>
      </c>
      <c r="F31">
        <f t="shared" ca="1" si="5"/>
        <v>3</v>
      </c>
      <c r="G31">
        <f t="shared" ca="1" si="6"/>
        <v>0</v>
      </c>
      <c r="H31">
        <f t="shared" ca="1" si="7"/>
        <v>0</v>
      </c>
      <c r="I31">
        <f t="shared" ca="1" si="8"/>
        <v>8</v>
      </c>
      <c r="J31">
        <f t="shared" ca="1" si="9"/>
        <v>0</v>
      </c>
      <c r="K31">
        <f ca="1">IF(OR($C31="S",$C31=0),0,MATCH(OFFSET($D31,0,$C31)+IF($C31&lt;&gt;1,1,COUNTIF(QCI!$A$13:$A$24,ORÇAMENTO!E31)),OFFSET($D31,1,$C31,ROW($C$165)-ROW($C31)),0))</f>
        <v>0</v>
      </c>
      <c r="L31" s="114" t="str">
        <f t="shared" ca="1" si="10"/>
        <v>F</v>
      </c>
      <c r="M31" s="115" t="s">
        <v>705</v>
      </c>
      <c r="N31" s="116" t="str">
        <f t="shared" ca="1" si="11"/>
        <v>Serviço</v>
      </c>
      <c r="O31" s="117" t="str">
        <f t="shared" ca="1" si="12"/>
        <v>1.3.8.</v>
      </c>
      <c r="P31" s="118" t="s">
        <v>956</v>
      </c>
      <c r="Q31" s="119" t="s">
        <v>1042</v>
      </c>
      <c r="R31" s="120" t="str">
        <f ca="1">IF($C31="S",REFERENCIA.Descricao,"(digite a descrição aqui)")</f>
        <v>Dissipador de energia - DED 03 A - areia, brita e pedra de mão comerciais</v>
      </c>
      <c r="S31" s="121" t="str">
        <f ca="1">REFERENCIA.Unidade</f>
        <v>un</v>
      </c>
      <c r="T31" s="122">
        <f ca="1">OFFSET(CÁLCULO!H$15,ROW($T31)-ROW(T$15),0)</f>
        <v>2</v>
      </c>
      <c r="U31" s="123">
        <f t="shared" ca="1" si="18"/>
        <v>699.97</v>
      </c>
      <c r="V31" s="124" t="s">
        <v>663</v>
      </c>
      <c r="W31" s="122">
        <f ca="1">IF($C31="S",ROUND(IF(TIPOORCAMENTO="Proposto",ORÇAMENTO.CustoUnitario*(1+$AH31),ORÇAMENTO.PrecoUnitarioLicitado),15-13*$AF$10),0)</f>
        <v>859.77</v>
      </c>
      <c r="X31" s="125" cm="1">
        <f t="array" aca="1" ref="X31" ca="1">IF($C31="S",IF(OR(Import.TipoArredondamento&lt;&gt;"TransfereGOV",ACOMPANHAMENTO="BM"),VTOTAL1,SUM(OFFSET(CÁLCULO!$AI$15,ROW($X31)-ROW($X$15),1):OFFSET(CÁLCULO!$BB$15,ROW($X31)-ROW($X$15),-1))),IF($C31=0,0,ROUND(SomaAgrup,15-13*$AF$11)))</f>
        <v>1719.54</v>
      </c>
      <c r="Y31" s="126" t="s">
        <v>751</v>
      </c>
      <c r="Z31" t="str">
        <f t="shared" ca="1" si="13"/>
        <v>RA</v>
      </c>
      <c r="AA31" s="127">
        <f ca="1">IF($C31="S",IF($Z31="CP",$X31,IF($Z31="RA",(($X31)*QCI!$AA$3),0)),SomaAgrup)</f>
        <v>474.96076920416175</v>
      </c>
      <c r="AB31" s="128">
        <f t="shared" ca="1" si="14"/>
        <v>0</v>
      </c>
      <c r="AC31" s="565" t="e"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IF(AND(_xlfn.SINGLE(TIPOORCAMENTO)="Licitado",$AL31=0,$AN31&gt;0),"SEM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#NAME?</v>
      </c>
      <c r="AD31" t="str">
        <f ca="1">IF(C31&lt;=CRONO.NivelExibicao,MAX($AD$15:OFFSET(AD31,-1,0))+IF($C31&lt;&gt;1,1,MAX(1,COUNTIF(QCI!$A$13:$A$24,OFFSET($E31,-1,0)))),"")</f>
        <v/>
      </c>
      <c r="AE31" s="7" t="str">
        <f ca="1">IF(AND($C31="S",ORÇAMENTO.CodBarra&lt;&gt;""),IF(ORÇAMENTO.Fonte="",ORÇAMENTO.CodBarra,CONCATENATE(ORÇAMENTO.Fonte," ",ORÇAMENTO.CodBarra)))</f>
        <v>SICRO 2003179</v>
      </c>
      <c r="AF31" s="12">
        <f ca="1">IF(ISERROR(INDIRECT(ORÇAMENTO.BancoRef)),"(abra o arquivo 'Referência "&amp;Excel_BuiltIn_Database&amp;".xlsm)",IF(OR($C31&lt;&gt;"S",ORÇAMENTO.CodBarra=""),"(Sem Código)",IF(ISERROR(MATCH($AE31,INDIRECT(ORÇAMENTO.BancoRef),0)),"(Código não identificado nas referências)",MATCH($AE31,INDIRECT(ORÇAMENTO.BancoRef),0))))</f>
        <v>18907</v>
      </c>
      <c r="AG31" s="428">
        <f ca="1">ROUND(IF(DESONERACAO="sim",REFERENCIA.Desonerado,REFERENCIA.NaoDesonerado),2)</f>
        <v>699.97</v>
      </c>
      <c r="AH31" s="429">
        <f t="shared" ca="1" si="15"/>
        <v>0.2283</v>
      </c>
      <c r="AJ31" s="431"/>
      <c r="AL31" s="439"/>
      <c r="AM31" s="336">
        <f t="shared" ref="AM31:AM142" ca="1" si="19">$X31</f>
        <v>1719.54</v>
      </c>
      <c r="AN31" s="470">
        <f t="shared" ca="1" si="16"/>
        <v>859.77</v>
      </c>
    </row>
    <row r="32" spans="1:40" ht="39.6" x14ac:dyDescent="0.3">
      <c r="A32" t="str">
        <f t="shared" si="1"/>
        <v>S</v>
      </c>
      <c r="B32">
        <f t="shared" ca="1" si="2"/>
        <v>2</v>
      </c>
      <c r="C32" t="str">
        <f t="shared" ca="1" si="3"/>
        <v>S</v>
      </c>
      <c r="D32">
        <f t="shared" ca="1" si="4"/>
        <v>0</v>
      </c>
      <c r="E32">
        <f ca="1">IF($C32=1,OFFSET(E32,-1,0)+MAX(1,COUNTIF(QCI!$A$13:$A$24,OFFSET(ORÇAMENTO!E32,-1,0))),OFFSET(E32,-1,0))</f>
        <v>1</v>
      </c>
      <c r="F32">
        <f t="shared" ca="1" si="5"/>
        <v>3</v>
      </c>
      <c r="G32">
        <f t="shared" ca="1" si="6"/>
        <v>0</v>
      </c>
      <c r="H32">
        <f t="shared" ca="1" si="7"/>
        <v>0</v>
      </c>
      <c r="I32">
        <f t="shared" ca="1" si="8"/>
        <v>9</v>
      </c>
      <c r="J32">
        <f t="shared" ca="1" si="9"/>
        <v>0</v>
      </c>
      <c r="K32">
        <f ca="1">IF(OR($C32="S",$C32=0),0,MATCH(OFFSET($D32,0,$C32)+IF($C32&lt;&gt;1,1,COUNTIF(QCI!$A$13:$A$24,ORÇAMENTO!E32)),OFFSET($D32,1,$C32,ROW($C$165)-ROW($C32)),0))</f>
        <v>0</v>
      </c>
      <c r="L32" s="114" t="str">
        <f t="shared" ca="1" si="10"/>
        <v>F</v>
      </c>
      <c r="M32" s="115" t="s">
        <v>705</v>
      </c>
      <c r="N32" s="116" t="str">
        <f t="shared" ca="1" si="11"/>
        <v>Serviço</v>
      </c>
      <c r="O32" s="117" t="str">
        <f t="shared" ca="1" si="12"/>
        <v>1.3.9.</v>
      </c>
      <c r="P32" s="118" t="s">
        <v>957</v>
      </c>
      <c r="Q32" s="119" t="s">
        <v>1043</v>
      </c>
      <c r="R32" s="120" t="str">
        <f ca="1">IF($C32="S",REFERENCIA.Descricao,"(digite a descrição aqui)")</f>
        <v xml:space="preserve">CAIXA DE INFILTRAÇÃO EM ALVENARIA DE BLOCOS CERÂMICOS MACIÇOS COM DIMENSÕES DE 1,50 X 1,50 X 1,50M PREENCHIDA COM PEDRAS DE MÃO E REVESTIDA COM MANTA GEOTÊXTIL </v>
      </c>
      <c r="S32" s="121" t="str">
        <f ca="1">REFERENCIA.Unidade</f>
        <v>UN</v>
      </c>
      <c r="T32" s="122">
        <f ca="1">OFFSET(CÁLCULO!H$15,ROW($T32)-ROW(T$15),0)</f>
        <v>2</v>
      </c>
      <c r="U32" s="123">
        <f t="shared" ca="1" si="18"/>
        <v>4040.15</v>
      </c>
      <c r="V32" s="124" t="s">
        <v>663</v>
      </c>
      <c r="W32" s="122">
        <f ca="1">IF($C32="S",ROUND(IF(TIPOORCAMENTO="Proposto",ORÇAMENTO.CustoUnitario*(1+$AH32),ORÇAMENTO.PrecoUnitarioLicitado),15-13*$AF$10),0)</f>
        <v>4962.5200000000004</v>
      </c>
      <c r="X32" s="125" cm="1">
        <f t="array" aca="1" ref="X32" ca="1">IF($C32="S",IF(OR(Import.TipoArredondamento&lt;&gt;"TransfereGOV",ACOMPANHAMENTO="BM"),VTOTAL1,SUM(OFFSET(CÁLCULO!$AI$15,ROW($X32)-ROW($X$15),1):OFFSET(CÁLCULO!$BB$15,ROW($X32)-ROW($X$15),-1))),IF($C32=0,0,ROUND(SomaAgrup,15-13*$AF$11)))</f>
        <v>9925.0400000000009</v>
      </c>
      <c r="Y32" s="126" t="s">
        <v>751</v>
      </c>
      <c r="Z32" t="str">
        <f t="shared" ca="1" si="13"/>
        <v>RA</v>
      </c>
      <c r="AA32" s="127">
        <f ca="1">IF($C32="S",IF($Z32="CP",$X32,IF($Z32="RA",(($X32)*QCI!$AA$3),0)),SomaAgrup)</f>
        <v>2741.4335419833642</v>
      </c>
      <c r="AB32" s="128">
        <f t="shared" ca="1" si="14"/>
        <v>0</v>
      </c>
      <c r="AC32" s="565" t="e"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IF(AND(_xlfn.SINGLE(TIPOORCAMENTO)="Licitado",$AL32=0,$AN32&gt;0),"SEM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#NAME?</v>
      </c>
      <c r="AD32" t="str">
        <f ca="1">IF(C32&lt;=CRONO.NivelExibicao,MAX($AD$15:OFFSET(AD32,-1,0))+IF($C32&lt;&gt;1,1,MAX(1,COUNTIF(QCI!$A$13:$A$24,OFFSET($E32,-1,0)))),"")</f>
        <v/>
      </c>
      <c r="AE32" s="7" t="str">
        <f ca="1">IF(AND($C32="S",ORÇAMENTO.CodBarra&lt;&gt;""),IF(ORÇAMENTO.Fonte="",ORÇAMENTO.CodBarra,CONCATENATE(ORÇAMENTO.Fonte," ",ORÇAMENTO.CodBarra)))</f>
        <v>Composição COMP 23</v>
      </c>
      <c r="AF32" s="12">
        <f ca="1">IF(ISERROR(INDIRECT(ORÇAMENTO.BancoRef)),"(abra o arquivo 'Referência "&amp;Excel_BuiltIn_Database&amp;".xlsm)",IF(OR($C32&lt;&gt;"S",ORÇAMENTO.CodBarra=""),"(Sem Código)",IF(ISERROR(MATCH($AE32,INDIRECT(ORÇAMENTO.BancoRef),0)),"(Código não identificado nas referências)",MATCH($AE32,INDIRECT(ORÇAMENTO.BancoRef),0))))</f>
        <v>25</v>
      </c>
      <c r="AG32" s="428">
        <f ca="1">ROUND(IF(DESONERACAO="sim",REFERENCIA.Desonerado,REFERENCIA.NaoDesonerado),2)</f>
        <v>4040.15</v>
      </c>
      <c r="AH32" s="429">
        <f t="shared" ca="1" si="15"/>
        <v>0.2283</v>
      </c>
      <c r="AJ32" s="431"/>
      <c r="AL32" s="439"/>
      <c r="AM32" s="336">
        <f t="shared" ca="1" si="19"/>
        <v>9925.0400000000009</v>
      </c>
      <c r="AN32" s="470">
        <f t="shared" ca="1" si="16"/>
        <v>4962.5200000000004</v>
      </c>
    </row>
    <row r="33" spans="1:40" ht="13.8" x14ac:dyDescent="0.3">
      <c r="A33">
        <f t="shared" si="1"/>
        <v>2</v>
      </c>
      <c r="B33">
        <f t="shared" ca="1" si="2"/>
        <v>2</v>
      </c>
      <c r="C33">
        <f t="shared" ca="1" si="3"/>
        <v>2</v>
      </c>
      <c r="D33">
        <f t="shared" ca="1" si="4"/>
        <v>8</v>
      </c>
      <c r="E33">
        <f ca="1">IF($C33=1,OFFSET(E33,-1,0)+MAX(1,COUNTIF(QCI!$A$13:$A$24,OFFSET(ORÇAMENTO!E33,-1,0))),OFFSET(E33,-1,0))</f>
        <v>1</v>
      </c>
      <c r="F33">
        <f t="shared" ca="1" si="5"/>
        <v>4</v>
      </c>
      <c r="G33">
        <f t="shared" ca="1" si="6"/>
        <v>0</v>
      </c>
      <c r="H33">
        <f t="shared" ca="1" si="7"/>
        <v>0</v>
      </c>
      <c r="I33">
        <f t="shared" ca="1" si="8"/>
        <v>0</v>
      </c>
      <c r="J33">
        <f t="shared" ca="1" si="9"/>
        <v>24</v>
      </c>
      <c r="K33">
        <f ca="1">IF(OR($C33="S",$C33=0),0,MATCH(OFFSET($D33,0,$C33)+IF($C33&lt;&gt;1,1,COUNTIF(QCI!$A$13:$A$24,ORÇAMENTO!E33)),OFFSET($D33,1,$C33,ROW($C$165)-ROW($C33)),0))</f>
        <v>8</v>
      </c>
      <c r="L33" s="114" t="str">
        <f t="shared" ca="1" si="10"/>
        <v>F</v>
      </c>
      <c r="M33" s="115" t="s">
        <v>702</v>
      </c>
      <c r="N33" s="116" t="str">
        <f t="shared" ca="1" si="11"/>
        <v>Nível 2</v>
      </c>
      <c r="O33" s="117" t="str">
        <f t="shared" ca="1" si="12"/>
        <v>1.4.</v>
      </c>
      <c r="P33" s="118" t="s">
        <v>750</v>
      </c>
      <c r="Q33" s="119"/>
      <c r="R33" s="120" t="s">
        <v>1044</v>
      </c>
      <c r="S33" s="121" t="str">
        <f ca="1">REFERENCIA.Unidade</f>
        <v>-</v>
      </c>
      <c r="T33" s="122">
        <f ca="1">OFFSET(CÁLCULO!H$15,ROW($T33)-ROW(T$15),0)</f>
        <v>0</v>
      </c>
      <c r="U33" s="123"/>
      <c r="V33" s="124" t="s">
        <v>663</v>
      </c>
      <c r="W33" s="122">
        <f ca="1">IF($C33="S",ROUND(IF(TIPOORCAMENTO="Proposto",ORÇAMENTO.CustoUnitario*(1+$AH33),ORÇAMENTO.PrecoUnitarioLicitado),15-13*$AF$10),0)</f>
        <v>0</v>
      </c>
      <c r="X33" s="125" cm="1">
        <f t="array" aca="1" ref="X33" ca="1">IF($C33="S",IF(OR(Import.TipoArredondamento&lt;&gt;"TransfereGOV",ACOMPANHAMENTO="BM"),VTOTAL1,SUM(OFFSET(CÁLCULO!$AI$15,ROW($X33)-ROW($X$15),1):OFFSET(CÁLCULO!$BB$15,ROW($X33)-ROW($X$15),-1))),IF($C33=0,0,ROUND(SomaAgrup,15-13*$AF$11)))</f>
        <v>378802.9</v>
      </c>
      <c r="Y33" s="126" t="s">
        <v>751</v>
      </c>
      <c r="Z33" t="str">
        <f t="shared" ca="1" si="13"/>
        <v/>
      </c>
      <c r="AA33" s="127">
        <f ca="1">IF($C33="S",IF($Z33="CP",$X33,IF($Z33="RA",(($X33)*QCI!$AA$3),0)),SomaAgrup)</f>
        <v>104630.60862833503</v>
      </c>
      <c r="AB33" s="128">
        <f t="shared" ca="1" si="14"/>
        <v>0</v>
      </c>
      <c r="AC33" s="565" t="e"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IF(AND(_xlfn.SINGLE(TIPOORCAMENTO)="Licitado",$AL33=0,$AN33&gt;0),"SEM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#NAME?</v>
      </c>
      <c r="AD33">
        <f ca="1">IF(C33&lt;=CRONO.NivelExibicao,MAX($AD$15:OFFSET(AD33,-1,0))+IF($C33&lt;&gt;1,1,MAX(1,COUNTIF(QCI!$A$13:$A$24,OFFSET($E33,-1,0)))),"")</f>
        <v>5</v>
      </c>
      <c r="AE33" s="7" t="b">
        <f ca="1">IF(AND($C33="S",ORÇAMENTO.CodBarra&lt;&gt;""),IF(ORÇAMENTO.Fonte="",ORÇAMENTO.CodBarra,CONCATENATE(ORÇAMENTO.Fonte," ",ORÇAMENTO.CodBarra)))</f>
        <v>0</v>
      </c>
      <c r="AF33" s="12" t="str">
        <f ca="1">IF(ISERROR(INDIRECT(ORÇAMENTO.BancoRef)),"(abra o arquivo 'Referência "&amp;Excel_BuiltIn_Database&amp;".xlsm)",IF(OR($C33&lt;&gt;"S",ORÇAMENTO.CodBarra=""),"(Sem Código)",IF(ISERROR(MATCH($AE33,INDIRECT(ORÇAMENTO.BancoRef),0)),"(Código não identificado nas referências)",MATCH($AE33,INDIRECT(ORÇAMENTO.BancoRef),0))))</f>
        <v>(Sem Código)</v>
      </c>
      <c r="AG33" s="428">
        <f ca="1">ROUND(IF(DESONERACAO="sim",REFERENCIA.Desonerado,REFERENCIA.NaoDesonerado),2)</f>
        <v>0</v>
      </c>
      <c r="AH33" s="429">
        <f t="shared" ca="1" si="15"/>
        <v>0.2283</v>
      </c>
      <c r="AJ33" s="431"/>
      <c r="AL33" s="439"/>
      <c r="AM33" s="336">
        <f t="shared" ca="1" si="19"/>
        <v>378802.9</v>
      </c>
      <c r="AN33" s="470">
        <f t="shared" ca="1" si="16"/>
        <v>0</v>
      </c>
    </row>
    <row r="34" spans="1:40" ht="13.8" x14ac:dyDescent="0.3">
      <c r="A34" t="str">
        <f t="shared" si="1"/>
        <v>S</v>
      </c>
      <c r="B34">
        <f t="shared" ca="1" si="2"/>
        <v>2</v>
      </c>
      <c r="C34" t="str">
        <f t="shared" ca="1" si="3"/>
        <v>S</v>
      </c>
      <c r="D34">
        <f t="shared" ca="1" si="4"/>
        <v>0</v>
      </c>
      <c r="E34">
        <f ca="1">IF($C34=1,OFFSET(E34,-1,0)+MAX(1,COUNTIF(QCI!$A$13:$A$24,OFFSET(ORÇAMENTO!E34,-1,0))),OFFSET(E34,-1,0))</f>
        <v>1</v>
      </c>
      <c r="F34">
        <f t="shared" ca="1" si="5"/>
        <v>4</v>
      </c>
      <c r="G34">
        <f t="shared" ca="1" si="6"/>
        <v>0</v>
      </c>
      <c r="H34">
        <f t="shared" ca="1" si="7"/>
        <v>0</v>
      </c>
      <c r="I34">
        <f t="shared" ca="1" si="8"/>
        <v>1</v>
      </c>
      <c r="J34">
        <f t="shared" ca="1" si="9"/>
        <v>0</v>
      </c>
      <c r="K34">
        <f ca="1">IF(OR($C34="S",$C34=0),0,MATCH(OFFSET($D34,0,$C34)+IF($C34&lt;&gt;1,1,COUNTIF(QCI!$A$13:$A$24,ORÇAMENTO!E34)),OFFSET($D34,1,$C34,ROW($C$165)-ROW($C34)),0))</f>
        <v>0</v>
      </c>
      <c r="L34" s="114" t="str">
        <f t="shared" ca="1" si="10"/>
        <v>F</v>
      </c>
      <c r="M34" s="115" t="s">
        <v>705</v>
      </c>
      <c r="N34" s="116" t="str">
        <f t="shared" ca="1" si="11"/>
        <v>Serviço</v>
      </c>
      <c r="O34" s="117" t="str">
        <f t="shared" ca="1" si="12"/>
        <v>1.4.1.</v>
      </c>
      <c r="P34" s="118" t="s">
        <v>956</v>
      </c>
      <c r="Q34" s="119" t="s">
        <v>1019</v>
      </c>
      <c r="R34" s="120" t="str">
        <f ca="1">IF($C34="S",REFERENCIA.Descricao,"(digite a descrição aqui)")</f>
        <v>Pintura de ligação</v>
      </c>
      <c r="S34" s="121" t="str">
        <f ca="1">REFERENCIA.Unidade</f>
        <v>m²</v>
      </c>
      <c r="T34" s="122">
        <f ca="1">OFFSET(CÁLCULO!H$15,ROW($T34)-ROW(T$15),0)</f>
        <v>5171.87</v>
      </c>
      <c r="U34" s="123">
        <f t="shared" ref="U34:U40" ca="1" si="20">AG34</f>
        <v>0.46</v>
      </c>
      <c r="V34" s="124" t="s">
        <v>663</v>
      </c>
      <c r="W34" s="122">
        <f ca="1">IF($C34="S",ROUND(IF(TIPOORCAMENTO="Proposto",ORÇAMENTO.CustoUnitario*(1+$AH34),ORÇAMENTO.PrecoUnitarioLicitado),15-13*$AF$10),0)</f>
        <v>0.56999999999999995</v>
      </c>
      <c r="X34" s="125" cm="1">
        <f t="array" aca="1" ref="X34" ca="1">IF($C34="S",IF(OR(Import.TipoArredondamento&lt;&gt;"TransfereGOV",ACOMPANHAMENTO="BM"),VTOTAL1,SUM(OFFSET(CÁLCULO!$AI$15,ROW($X34)-ROW($X$15),1):OFFSET(CÁLCULO!$BB$15,ROW($X34)-ROW($X$15),-1))),IF($C34=0,0,ROUND(SomaAgrup,15-13*$AF$11)))</f>
        <v>2947.97</v>
      </c>
      <c r="Y34" s="126" t="s">
        <v>751</v>
      </c>
      <c r="Z34" t="str">
        <f t="shared" ca="1" si="13"/>
        <v>RA</v>
      </c>
      <c r="AA34" s="127">
        <f ca="1">IF($C34="S",IF($Z34="CP",$X34,IF($Z34="RA",(($X34)*QCI!$AA$3),0)),SomaAgrup)</f>
        <v>814.27015294252692</v>
      </c>
      <c r="AB34" s="128">
        <f t="shared" ca="1" si="14"/>
        <v>0</v>
      </c>
      <c r="AC34" s="565" t="e"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IF(AND(_xlfn.SINGLE(TIPOORCAMENTO)="Licitado",$AL34=0,$AN34&gt;0),"SEM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#NAME?</v>
      </c>
      <c r="AD34" t="str">
        <f ca="1">IF(C34&lt;=CRONO.NivelExibicao,MAX($AD$15:OFFSET(AD34,-1,0))+IF($C34&lt;&gt;1,1,MAX(1,COUNTIF(QCI!$A$13:$A$24,OFFSET($E34,-1,0)))),"")</f>
        <v/>
      </c>
      <c r="AE34" s="7" t="str">
        <f ca="1">IF(AND($C34="S",ORÇAMENTO.CodBarra&lt;&gt;""),IF(ORÇAMENTO.Fonte="",ORÇAMENTO.CodBarra,CONCATENATE(ORÇAMENTO.Fonte," ",ORÇAMENTO.CodBarra)))</f>
        <v>SICRO 4011353</v>
      </c>
      <c r="AF34" s="12">
        <f ca="1">IF(ISERROR(INDIRECT(ORÇAMENTO.BancoRef)),"(abra o arquivo 'Referência "&amp;Excel_BuiltIn_Database&amp;".xlsm)",IF(OR($C34&lt;&gt;"S",ORÇAMENTO.CodBarra=""),"(Sem Código)",IF(ISERROR(MATCH($AE34,INDIRECT(ORÇAMENTO.BancoRef),0)),"(Código não identificado nas referências)",MATCH($AE34,INDIRECT(ORÇAMENTO.BancoRef),0))))</f>
        <v>20424</v>
      </c>
      <c r="AG34" s="428">
        <f ca="1">ROUND(IF(DESONERACAO="sim",REFERENCIA.Desonerado,REFERENCIA.NaoDesonerado),2)</f>
        <v>0.46</v>
      </c>
      <c r="AH34" s="429">
        <f t="shared" ca="1" si="15"/>
        <v>0.2283</v>
      </c>
      <c r="AJ34" s="431"/>
      <c r="AL34" s="439"/>
      <c r="AM34" s="336">
        <f t="shared" ca="1" si="19"/>
        <v>2947.97</v>
      </c>
      <c r="AN34" s="470">
        <f t="shared" ca="1" si="16"/>
        <v>0.56999999999999995</v>
      </c>
    </row>
    <row r="35" spans="1:40" ht="26.4" x14ac:dyDescent="0.3">
      <c r="A35" t="str">
        <f t="shared" si="1"/>
        <v>S</v>
      </c>
      <c r="B35">
        <f t="shared" ca="1" si="2"/>
        <v>2</v>
      </c>
      <c r="C35" t="str">
        <f t="shared" ca="1" si="3"/>
        <v>S</v>
      </c>
      <c r="D35">
        <f t="shared" ca="1" si="4"/>
        <v>0</v>
      </c>
      <c r="E35">
        <f ca="1">IF($C35=1,OFFSET(E35,-1,0)+MAX(1,COUNTIF(QCI!$A$13:$A$24,OFFSET(ORÇAMENTO!E35,-1,0))),OFFSET(E35,-1,0))</f>
        <v>1</v>
      </c>
      <c r="F35">
        <f t="shared" ca="1" si="5"/>
        <v>4</v>
      </c>
      <c r="G35">
        <f t="shared" ca="1" si="6"/>
        <v>0</v>
      </c>
      <c r="H35">
        <f t="shared" ca="1" si="7"/>
        <v>0</v>
      </c>
      <c r="I35">
        <f t="shared" ca="1" si="8"/>
        <v>2</v>
      </c>
      <c r="J35">
        <f t="shared" ca="1" si="9"/>
        <v>0</v>
      </c>
      <c r="K35">
        <f ca="1">IF(OR($C35="S",$C35=0),0,MATCH(OFFSET($D35,0,$C35)+IF($C35&lt;&gt;1,1,COUNTIF(QCI!$A$13:$A$24,ORÇAMENTO!E35)),OFFSET($D35,1,$C35,ROW($C$165)-ROW($C35)),0))</f>
        <v>0</v>
      </c>
      <c r="L35" s="114" t="str">
        <f t="shared" ca="1" si="10"/>
        <v>F</v>
      </c>
      <c r="M35" s="115" t="s">
        <v>705</v>
      </c>
      <c r="N35" s="116" t="str">
        <f t="shared" ca="1" si="11"/>
        <v>Serviço</v>
      </c>
      <c r="O35" s="117" t="str">
        <f t="shared" ca="1" si="12"/>
        <v>1.4.2.</v>
      </c>
      <c r="P35" s="118" t="s">
        <v>958</v>
      </c>
      <c r="Q35" s="119" t="s">
        <v>1020</v>
      </c>
      <c r="R35" s="120" t="str">
        <f ca="1">IF($C35="S",REFERENCIA.Descricao,"(digite a descrição aqui)")</f>
        <v>EMULSÃO ASFÁLTICA RR-1C COLETADO NA ANP, ACRESCIDO DE IMPOSTOS (ICMS, PIS, COFINS)</v>
      </c>
      <c r="S35" s="121" t="str">
        <f ca="1">REFERENCIA.Unidade</f>
        <v>KG</v>
      </c>
      <c r="T35" s="122">
        <f ca="1">OFFSET(CÁLCULO!H$15,ROW($T35)-ROW(T$15),0)</f>
        <v>2327.34</v>
      </c>
      <c r="U35" s="123">
        <f t="shared" ca="1" si="20"/>
        <v>3.66</v>
      </c>
      <c r="V35" s="124" t="s">
        <v>697</v>
      </c>
      <c r="W35" s="122">
        <f ca="1">IF($C35="S",ROUND(IF(TIPOORCAMENTO="Proposto",ORÇAMENTO.CustoUnitario*(1+$AH35),ORÇAMENTO.PrecoUnitarioLicitado),15-13*$AF$10),0)</f>
        <v>4.21</v>
      </c>
      <c r="X35" s="125" cm="1">
        <f t="array" aca="1" ref="X35" ca="1">IF($C35="S",IF(OR(Import.TipoArredondamento&lt;&gt;"TransfereGOV",ACOMPANHAMENTO="BM"),VTOTAL1,SUM(OFFSET(CÁLCULO!$AI$15,ROW($X35)-ROW($X$15),1):OFFSET(CÁLCULO!$BB$15,ROW($X35)-ROW($X$15),-1))),IF($C35=0,0,ROUND(SomaAgrup,15-13*$AF$11)))</f>
        <v>9798.1</v>
      </c>
      <c r="Y35" s="126" t="s">
        <v>751</v>
      </c>
      <c r="Z35" t="str">
        <f t="shared" ca="1" si="13"/>
        <v>RA</v>
      </c>
      <c r="AA35" s="127">
        <f ca="1">IF($C35="S",IF($Z35="CP",$X35,IF($Z35="RA",(($X35)*QCI!$AA$3),0)),SomaAgrup)</f>
        <v>2706.3709554527941</v>
      </c>
      <c r="AB35" s="128">
        <f t="shared" ca="1" si="14"/>
        <v>0</v>
      </c>
      <c r="AC35" s="565" t="e"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IF(AND(_xlfn.SINGLE(TIPOORCAMENTO)="Licitado",$AL35=0,$AN35&gt;0),"SEM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#NAME?</v>
      </c>
      <c r="AD35" t="str">
        <f ca="1">IF(C35&lt;=CRONO.NivelExibicao,MAX($AD$15:OFFSET(AD35,-1,0))+IF($C35&lt;&gt;1,1,MAX(1,COUNTIF(QCI!$A$13:$A$24,OFFSET($E35,-1,0)))),"")</f>
        <v/>
      </c>
      <c r="AE35" s="7" t="str">
        <f ca="1">IF(AND($C35="S",ORÇAMENTO.CodBarra&lt;&gt;""),IF(ORÇAMENTO.Fonte="",ORÇAMENTO.CodBarra,CONCATENATE(ORÇAMENTO.Fonte," ",ORÇAMENTO.CodBarra)))</f>
        <v>Cotação COT 02</v>
      </c>
      <c r="AF35" s="12">
        <f ca="1">IF(ISERROR(INDIRECT(ORÇAMENTO.BancoRef)),"(abra o arquivo 'Referência "&amp;Excel_BuiltIn_Database&amp;".xlsm)",IF(OR($C35&lt;&gt;"S",ORÇAMENTO.CodBarra=""),"(Sem Código)",IF(ISERROR(MATCH($AE35,INDIRECT(ORÇAMENTO.BancoRef),0)),"(Código não identificado nas referências)",MATCH($AE35,INDIRECT(ORÇAMENTO.BancoRef),0))))</f>
        <v>30</v>
      </c>
      <c r="AG35" s="428">
        <f ca="1">ROUND(IF(DESONERACAO="sim",REFERENCIA.Desonerado,REFERENCIA.NaoDesonerado),2)</f>
        <v>3.66</v>
      </c>
      <c r="AH35" s="429">
        <f t="shared" ca="1" si="15"/>
        <v>0.15</v>
      </c>
      <c r="AJ35" s="431"/>
      <c r="AL35" s="439"/>
      <c r="AM35" s="336">
        <f t="shared" ca="1" si="19"/>
        <v>9798.1</v>
      </c>
      <c r="AN35" s="470">
        <f t="shared" ca="1" si="16"/>
        <v>4.21</v>
      </c>
    </row>
    <row r="36" spans="1:40" ht="26.4" x14ac:dyDescent="0.3">
      <c r="A36" t="str">
        <f t="shared" si="1"/>
        <v>S</v>
      </c>
      <c r="B36">
        <f t="shared" ca="1" si="2"/>
        <v>2</v>
      </c>
      <c r="C36" t="str">
        <f t="shared" ca="1" si="3"/>
        <v>S</v>
      </c>
      <c r="D36">
        <f t="shared" ca="1" si="4"/>
        <v>0</v>
      </c>
      <c r="E36">
        <f ca="1">IF($C36=1,OFFSET(E36,-1,0)+MAX(1,COUNTIF(QCI!$A$13:$A$24,OFFSET(ORÇAMENTO!E36,-1,0))),OFFSET(E36,-1,0))</f>
        <v>1</v>
      </c>
      <c r="F36">
        <f t="shared" ca="1" si="5"/>
        <v>4</v>
      </c>
      <c r="G36">
        <f t="shared" ca="1" si="6"/>
        <v>0</v>
      </c>
      <c r="H36">
        <f t="shared" ca="1" si="7"/>
        <v>0</v>
      </c>
      <c r="I36">
        <f t="shared" ca="1" si="8"/>
        <v>3</v>
      </c>
      <c r="J36">
        <f t="shared" ca="1" si="9"/>
        <v>0</v>
      </c>
      <c r="K36">
        <f ca="1">IF(OR($C36="S",$C36=0),0,MATCH(OFFSET($D36,0,$C36)+IF($C36&lt;&gt;1,1,COUNTIF(QCI!$A$13:$A$24,ORÇAMENTO!E36)),OFFSET($D36,1,$C36,ROW($C$165)-ROW($C36)),0))</f>
        <v>0</v>
      </c>
      <c r="L36" s="114" t="str">
        <f t="shared" ca="1" si="10"/>
        <v>F</v>
      </c>
      <c r="M36" s="115" t="s">
        <v>705</v>
      </c>
      <c r="N36" s="116" t="str">
        <f t="shared" ca="1" si="11"/>
        <v>Serviço</v>
      </c>
      <c r="O36" s="117" t="str">
        <f t="shared" ca="1" si="12"/>
        <v>1.4.3.</v>
      </c>
      <c r="P36" s="118" t="s">
        <v>956</v>
      </c>
      <c r="Q36" s="119" t="s">
        <v>1015</v>
      </c>
      <c r="R36" s="120" t="str">
        <f ca="1">IF($C36="S",REFERENCIA.Descricao,"(digite a descrição aqui)")</f>
        <v>Transporte de material betuminoso com caminhão tanque distribuidor - rodovia pavimentada</v>
      </c>
      <c r="S36" s="121" t="str">
        <f ca="1">REFERENCIA.Unidade</f>
        <v>tkm</v>
      </c>
      <c r="T36" s="122">
        <f ca="1">OFFSET(CÁLCULO!H$15,ROW($T36)-ROW(T$15),0)</f>
        <v>784.31</v>
      </c>
      <c r="U36" s="123">
        <f t="shared" ca="1" si="20"/>
        <v>2.2200000000000002</v>
      </c>
      <c r="V36" s="124" t="s">
        <v>697</v>
      </c>
      <c r="W36" s="122">
        <f ca="1">IF($C36="S",ROUND(IF(TIPOORCAMENTO="Proposto",ORÇAMENTO.CustoUnitario*(1+$AH36),ORÇAMENTO.PrecoUnitarioLicitado),15-13*$AF$10),0)</f>
        <v>2.5499999999999998</v>
      </c>
      <c r="X36" s="125" cm="1">
        <f t="array" aca="1" ref="X36" ca="1">IF($C36="S",IF(OR(Import.TipoArredondamento&lt;&gt;"TransfereGOV",ACOMPANHAMENTO="BM"),VTOTAL1,SUM(OFFSET(CÁLCULO!$AI$15,ROW($X36)-ROW($X$15),1):OFFSET(CÁLCULO!$BB$15,ROW($X36)-ROW($X$15),-1))),IF($C36=0,0,ROUND(SomaAgrup,15-13*$AF$11)))</f>
        <v>1999.99</v>
      </c>
      <c r="Y36" s="126" t="s">
        <v>751</v>
      </c>
      <c r="Z36" t="str">
        <f t="shared" ca="1" si="13"/>
        <v>RA</v>
      </c>
      <c r="AA36" s="127">
        <f ca="1">IF($C36="S",IF($Z36="CP",$X36,IF($Z36="RA",(($X36)*QCI!$AA$3),0)),SomaAgrup)</f>
        <v>552.42494434594801</v>
      </c>
      <c r="AB36" s="128">
        <f t="shared" ca="1" si="14"/>
        <v>0</v>
      </c>
      <c r="AC36" s="565" t="e"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IF(AND(_xlfn.SINGLE(TIPOORCAMENTO)="Licitado",$AL36=0,$AN36&gt;0),"SEM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#NAME?</v>
      </c>
      <c r="AD36" t="str">
        <f ca="1">IF(C36&lt;=CRONO.NivelExibicao,MAX($AD$15:OFFSET(AD36,-1,0))+IF($C36&lt;&gt;1,1,MAX(1,COUNTIF(QCI!$A$13:$A$24,OFFSET($E36,-1,0)))),"")</f>
        <v/>
      </c>
      <c r="AE36" s="7" t="str">
        <f ca="1">IF(AND($C36="S",ORÇAMENTO.CodBarra&lt;&gt;""),IF(ORÇAMENTO.Fonte="",ORÇAMENTO.CodBarra,CONCATENATE(ORÇAMENTO.Fonte," ",ORÇAMENTO.CodBarra)))</f>
        <v>SICRO 5914622</v>
      </c>
      <c r="AF36" s="12">
        <f ca="1">IF(ISERROR(INDIRECT(ORÇAMENTO.BancoRef)),"(abra o arquivo 'Referência "&amp;Excel_BuiltIn_Database&amp;".xlsm)",IF(OR($C36&lt;&gt;"S",ORÇAMENTO.CodBarra=""),"(Sem Código)",IF(ISERROR(MATCH($AE36,INDIRECT(ORÇAMENTO.BancoRef),0)),"(Código não identificado nas referências)",MATCH($AE36,INDIRECT(ORÇAMENTO.BancoRef),0))))</f>
        <v>21997</v>
      </c>
      <c r="AG36" s="428">
        <f ca="1">ROUND(IF(DESONERACAO="sim",REFERENCIA.Desonerado,REFERENCIA.NaoDesonerado),2)</f>
        <v>2.2200000000000002</v>
      </c>
      <c r="AH36" s="429">
        <f t="shared" ca="1" si="15"/>
        <v>0.15</v>
      </c>
      <c r="AJ36" s="431"/>
      <c r="AL36" s="439"/>
      <c r="AM36" s="336">
        <f t="shared" ca="1" si="19"/>
        <v>1999.99</v>
      </c>
      <c r="AN36" s="470">
        <f t="shared" ca="1" si="16"/>
        <v>2.5499999999999998</v>
      </c>
    </row>
    <row r="37" spans="1:40" ht="13.8" x14ac:dyDescent="0.3">
      <c r="A37" t="str">
        <f t="shared" si="1"/>
        <v>S</v>
      </c>
      <c r="B37">
        <f t="shared" ca="1" si="2"/>
        <v>2</v>
      </c>
      <c r="C37" t="str">
        <f t="shared" ca="1" si="3"/>
        <v>S</v>
      </c>
      <c r="D37">
        <f t="shared" ca="1" si="4"/>
        <v>0</v>
      </c>
      <c r="E37">
        <f ca="1">IF($C37=1,OFFSET(E37,-1,0)+MAX(1,COUNTIF(QCI!$A$13:$A$24,OFFSET(ORÇAMENTO!E37,-1,0))),OFFSET(E37,-1,0))</f>
        <v>1</v>
      </c>
      <c r="F37">
        <f t="shared" ca="1" si="5"/>
        <v>4</v>
      </c>
      <c r="G37">
        <f t="shared" ca="1" si="6"/>
        <v>0</v>
      </c>
      <c r="H37">
        <f t="shared" ca="1" si="7"/>
        <v>0</v>
      </c>
      <c r="I37">
        <f t="shared" ca="1" si="8"/>
        <v>4</v>
      </c>
      <c r="J37">
        <f t="shared" ca="1" si="9"/>
        <v>0</v>
      </c>
      <c r="K37">
        <f ca="1">IF(OR($C37="S",$C37=0),0,MATCH(OFFSET($D37,0,$C37)+IF($C37&lt;&gt;1,1,COUNTIF(QCI!$A$13:$A$24,ORÇAMENTO!E37)),OFFSET($D37,1,$C37,ROW($C$165)-ROW($C37)),0))</f>
        <v>0</v>
      </c>
      <c r="L37" s="114" t="str">
        <f t="shared" ca="1" si="10"/>
        <v>F</v>
      </c>
      <c r="M37" s="115" t="s">
        <v>705</v>
      </c>
      <c r="N37" s="116" t="str">
        <f t="shared" ca="1" si="11"/>
        <v>Serviço</v>
      </c>
      <c r="O37" s="117" t="str">
        <f t="shared" ca="1" si="12"/>
        <v>1.4.4.</v>
      </c>
      <c r="P37" s="118" t="s">
        <v>956</v>
      </c>
      <c r="Q37" s="119" t="s">
        <v>1021</v>
      </c>
      <c r="R37" s="120" t="str">
        <f ca="1">IF($C37="S",REFERENCIA.Descricao,"(digite a descrição aqui)")</f>
        <v>Concreto asfáltico - faixa C-12,5 - areia extraída e brita produzida</v>
      </c>
      <c r="S37" s="121" t="str">
        <f ca="1">REFERENCIA.Unidade</f>
        <v>t</v>
      </c>
      <c r="T37" s="122">
        <f ca="1">OFFSET(CÁLCULO!H$15,ROW($T37)-ROW(T$15),0)</f>
        <v>649.05999999999995</v>
      </c>
      <c r="U37" s="123">
        <f t="shared" ca="1" si="20"/>
        <v>142.19</v>
      </c>
      <c r="V37" s="124" t="s">
        <v>663</v>
      </c>
      <c r="W37" s="122">
        <f ca="1">IF($C37="S",ROUND(IF(TIPOORCAMENTO="Proposto",ORÇAMENTO.CustoUnitario*(1+$AH37),ORÇAMENTO.PrecoUnitarioLicitado),15-13*$AF$10),0)</f>
        <v>174.65</v>
      </c>
      <c r="X37" s="125" cm="1">
        <f t="array" aca="1" ref="X37" ca="1">IF($C37="S",IF(OR(Import.TipoArredondamento&lt;&gt;"TransfereGOV",ACOMPANHAMENTO="BM"),VTOTAL1,SUM(OFFSET(CÁLCULO!$AI$15,ROW($X37)-ROW($X$15),1):OFFSET(CÁLCULO!$BB$15,ROW($X37)-ROW($X$15),-1))),IF($C37=0,0,ROUND(SomaAgrup,15-13*$AF$11)))</f>
        <v>113358.33</v>
      </c>
      <c r="Y37" s="126" t="s">
        <v>751</v>
      </c>
      <c r="Z37" t="str">
        <f t="shared" ca="1" si="13"/>
        <v>RA</v>
      </c>
      <c r="AA37" s="127">
        <f ca="1">IF($C37="S",IF($Z37="CP",$X37,IF($Z37="RA",(($X37)*QCI!$AA$3),0)),SomaAgrup)</f>
        <v>31311.14112640544</v>
      </c>
      <c r="AB37" s="128">
        <f t="shared" ca="1" si="14"/>
        <v>0</v>
      </c>
      <c r="AC37" s="565" t="e"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IF(AND(_xlfn.SINGLE(TIPOORCAMENTO)="Licitado",$AL37=0,$AN37&gt;0),"SEM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#NAME?</v>
      </c>
      <c r="AD37" t="str">
        <f ca="1">IF(C37&lt;=CRONO.NivelExibicao,MAX($AD$15:OFFSET(AD37,-1,0))+IF($C37&lt;&gt;1,1,MAX(1,COUNTIF(QCI!$A$13:$A$24,OFFSET($E37,-1,0)))),"")</f>
        <v/>
      </c>
      <c r="AE37" s="7" t="str">
        <f ca="1">IF(AND($C37="S",ORÇAMENTO.CodBarra&lt;&gt;""),IF(ORÇAMENTO.Fonte="",ORÇAMENTO.CodBarra,CONCATENATE(ORÇAMENTO.Fonte," ",ORÇAMENTO.CodBarra)))</f>
        <v>SICRO 4011462</v>
      </c>
      <c r="AF37" s="12">
        <f ca="1">IF(ISERROR(INDIRECT(ORÇAMENTO.BancoRef)),"(abra o arquivo 'Referência "&amp;Excel_BuiltIn_Database&amp;".xlsm)",IF(OR($C37&lt;&gt;"S",ORÇAMENTO.CodBarra=""),"(Sem Código)",IF(ISERROR(MATCH($AE37,INDIRECT(ORÇAMENTO.BancoRef),0)),"(Código não identificado nas referências)",MATCH($AE37,INDIRECT(ORÇAMENTO.BancoRef),0))))</f>
        <v>20360</v>
      </c>
      <c r="AG37" s="428">
        <f ca="1">ROUND(IF(DESONERACAO="sim",REFERENCIA.Desonerado,REFERENCIA.NaoDesonerado),2)</f>
        <v>142.19</v>
      </c>
      <c r="AH37" s="429">
        <f t="shared" ca="1" si="15"/>
        <v>0.2283</v>
      </c>
      <c r="AJ37" s="431"/>
      <c r="AL37" s="439"/>
      <c r="AM37" s="336">
        <f t="shared" ca="1" si="19"/>
        <v>113358.33</v>
      </c>
      <c r="AN37" s="470">
        <f t="shared" ca="1" si="16"/>
        <v>174.65</v>
      </c>
    </row>
    <row r="38" spans="1:40" ht="13.8" x14ac:dyDescent="0.3">
      <c r="A38" t="str">
        <f t="shared" si="1"/>
        <v>S</v>
      </c>
      <c r="B38">
        <f t="shared" ca="1" si="2"/>
        <v>2</v>
      </c>
      <c r="C38" t="str">
        <f t="shared" ca="1" si="3"/>
        <v>S</v>
      </c>
      <c r="D38">
        <f t="shared" ca="1" si="4"/>
        <v>0</v>
      </c>
      <c r="E38">
        <f ca="1">IF($C38=1,OFFSET(E38,-1,0)+MAX(1,COUNTIF(QCI!$A$13:$A$24,OFFSET(ORÇAMENTO!E38,-1,0))),OFFSET(E38,-1,0))</f>
        <v>1</v>
      </c>
      <c r="F38">
        <f t="shared" ca="1" si="5"/>
        <v>4</v>
      </c>
      <c r="G38">
        <f t="shared" ca="1" si="6"/>
        <v>0</v>
      </c>
      <c r="H38">
        <f t="shared" ca="1" si="7"/>
        <v>0</v>
      </c>
      <c r="I38">
        <f t="shared" ca="1" si="8"/>
        <v>5</v>
      </c>
      <c r="J38">
        <f t="shared" ca="1" si="9"/>
        <v>0</v>
      </c>
      <c r="K38">
        <f ca="1">IF(OR($C38="S",$C38=0),0,MATCH(OFFSET($D38,0,$C38)+IF($C38&lt;&gt;1,1,COUNTIF(QCI!$A$13:$A$24,ORÇAMENTO!E38)),OFFSET($D38,1,$C38,ROW($C$165)-ROW($C38)),0))</f>
        <v>0</v>
      </c>
      <c r="L38" s="114" t="str">
        <f t="shared" ca="1" si="10"/>
        <v>F</v>
      </c>
      <c r="M38" s="115" t="s">
        <v>705</v>
      </c>
      <c r="N38" s="116" t="str">
        <f t="shared" ca="1" si="11"/>
        <v>Serviço</v>
      </c>
      <c r="O38" s="117" t="str">
        <f t="shared" ca="1" si="12"/>
        <v>1.4.5.</v>
      </c>
      <c r="P38" s="118" t="s">
        <v>956</v>
      </c>
      <c r="Q38" s="119" t="s">
        <v>1022</v>
      </c>
      <c r="R38" s="120" t="str">
        <f ca="1">IF($C38="S",REFERENCIA.Descricao,"(digite a descrição aqui)")</f>
        <v>Transporte com caminhão basculante de 10 m³ - rodovia pavimentada</v>
      </c>
      <c r="S38" s="121" t="str">
        <f ca="1">REFERENCIA.Unidade</f>
        <v>tkm</v>
      </c>
      <c r="T38" s="122">
        <f ca="1">OFFSET(CÁLCULO!H$15,ROW($T38)-ROW(T$15),0)</f>
        <v>13630.26</v>
      </c>
      <c r="U38" s="123">
        <f t="shared" ca="1" si="20"/>
        <v>0.82</v>
      </c>
      <c r="V38" s="124" t="s">
        <v>663</v>
      </c>
      <c r="W38" s="122">
        <f ca="1">IF($C38="S",ROUND(IF(TIPOORCAMENTO="Proposto",ORÇAMENTO.CustoUnitario*(1+$AH38),ORÇAMENTO.PrecoUnitarioLicitado),15-13*$AF$10),0)</f>
        <v>1.01</v>
      </c>
      <c r="X38" s="125" cm="1">
        <f t="array" aca="1" ref="X38" ca="1">IF($C38="S",IF(OR(Import.TipoArredondamento&lt;&gt;"TransfereGOV",ACOMPANHAMENTO="BM"),VTOTAL1,SUM(OFFSET(CÁLCULO!$AI$15,ROW($X38)-ROW($X$15),1):OFFSET(CÁLCULO!$BB$15,ROW($X38)-ROW($X$15),-1))),IF($C38=0,0,ROUND(SomaAgrup,15-13*$AF$11)))</f>
        <v>13766.56</v>
      </c>
      <c r="Y38" s="126" t="s">
        <v>751</v>
      </c>
      <c r="Z38" t="str">
        <f t="shared" ca="1" si="13"/>
        <v>RA</v>
      </c>
      <c r="AA38" s="127">
        <f ca="1">IF($C38="S",IF($Z38="CP",$X38,IF($Z38="RA",(($X38)*QCI!$AA$3),0)),SomaAgrup)</f>
        <v>3802.5145834904947</v>
      </c>
      <c r="AB38" s="128">
        <f t="shared" ca="1" si="14"/>
        <v>0</v>
      </c>
      <c r="AC38" s="565" t="e"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IF(AND(_xlfn.SINGLE(TIPOORCAMENTO)="Licitado",$AL38=0,$AN38&gt;0),"SEM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#NAME?</v>
      </c>
      <c r="AD38" t="str">
        <f ca="1">IF(C38&lt;=CRONO.NivelExibicao,MAX($AD$15:OFFSET(AD38,-1,0))+IF($C38&lt;&gt;1,1,MAX(1,COUNTIF(QCI!$A$13:$A$24,OFFSET($E38,-1,0)))),"")</f>
        <v/>
      </c>
      <c r="AE38" s="7" t="str">
        <f ca="1">IF(AND($C38="S",ORÇAMENTO.CodBarra&lt;&gt;""),IF(ORÇAMENTO.Fonte="",ORÇAMENTO.CodBarra,CONCATENATE(ORÇAMENTO.Fonte," ",ORÇAMENTO.CodBarra)))</f>
        <v>SICRO 5914389</v>
      </c>
      <c r="AF38" s="12">
        <f ca="1">IF(ISERROR(INDIRECT(ORÇAMENTO.BancoRef)),"(abra o arquivo 'Referência "&amp;Excel_BuiltIn_Database&amp;".xlsm)",IF(OR($C38&lt;&gt;"S",ORÇAMENTO.CodBarra=""),"(Sem Código)",IF(ISERROR(MATCH($AE38,INDIRECT(ORÇAMENTO.BancoRef),0)),"(Código não identificado nas referências)",MATCH($AE38,INDIRECT(ORÇAMENTO.BancoRef),0))))</f>
        <v>21868</v>
      </c>
      <c r="AG38" s="428">
        <f ca="1">ROUND(IF(DESONERACAO="sim",REFERENCIA.Desonerado,REFERENCIA.NaoDesonerado),2)</f>
        <v>0.82</v>
      </c>
      <c r="AH38" s="429">
        <f t="shared" ca="1" si="15"/>
        <v>0.2283</v>
      </c>
      <c r="AJ38" s="431"/>
      <c r="AL38" s="439"/>
      <c r="AM38" s="336">
        <f t="shared" ca="1" si="19"/>
        <v>13766.56</v>
      </c>
      <c r="AN38" s="470">
        <f t="shared" ca="1" si="16"/>
        <v>1.01</v>
      </c>
    </row>
    <row r="39" spans="1:40" ht="26.4" x14ac:dyDescent="0.3">
      <c r="A39" t="str">
        <f t="shared" si="1"/>
        <v>S</v>
      </c>
      <c r="B39">
        <f t="shared" ca="1" si="2"/>
        <v>2</v>
      </c>
      <c r="C39" t="str">
        <f t="shared" ca="1" si="3"/>
        <v>S</v>
      </c>
      <c r="D39">
        <f t="shared" ca="1" si="4"/>
        <v>0</v>
      </c>
      <c r="E39">
        <f ca="1">IF($C39=1,OFFSET(E39,-1,0)+MAX(1,COUNTIF(QCI!$A$13:$A$24,OFFSET(ORÇAMENTO!E39,-1,0))),OFFSET(E39,-1,0))</f>
        <v>1</v>
      </c>
      <c r="F39">
        <f t="shared" ca="1" si="5"/>
        <v>4</v>
      </c>
      <c r="G39">
        <f t="shared" ca="1" si="6"/>
        <v>0</v>
      </c>
      <c r="H39">
        <f t="shared" ca="1" si="7"/>
        <v>0</v>
      </c>
      <c r="I39">
        <f t="shared" ca="1" si="8"/>
        <v>6</v>
      </c>
      <c r="J39">
        <f t="shared" ca="1" si="9"/>
        <v>0</v>
      </c>
      <c r="K39">
        <f ca="1">IF(OR($C39="S",$C39=0),0,MATCH(OFFSET($D39,0,$C39)+IF($C39&lt;&gt;1,1,COUNTIF(QCI!$A$13:$A$24,ORÇAMENTO!E39)),OFFSET($D39,1,$C39,ROW($C$165)-ROW($C39)),0))</f>
        <v>0</v>
      </c>
      <c r="L39" s="114" t="str">
        <f t="shared" ca="1" si="10"/>
        <v>F</v>
      </c>
      <c r="M39" s="115" t="s">
        <v>705</v>
      </c>
      <c r="N39" s="116" t="str">
        <f t="shared" ca="1" si="11"/>
        <v>Serviço</v>
      </c>
      <c r="O39" s="117" t="str">
        <f t="shared" ca="1" si="12"/>
        <v>1.4.6.</v>
      </c>
      <c r="P39" s="118" t="s">
        <v>958</v>
      </c>
      <c r="Q39" s="119" t="s">
        <v>1023</v>
      </c>
      <c r="R39" s="120" t="str">
        <f ca="1">IF($C39="S",REFERENCIA.Descricao,"(digite a descrição aqui)")</f>
        <v>CIMENTO ASFÁLTICO CAP 50-70, COLETADO NA ANP, ACRESCIDO DE IMPOSTOS (ICMS, PIS, CONFINS)</v>
      </c>
      <c r="S39" s="121" t="str">
        <f ca="1">REFERENCIA.Unidade</f>
        <v>KG</v>
      </c>
      <c r="T39" s="122">
        <f ca="1">OFFSET(CÁLCULO!H$15,ROW($T39)-ROW(T$15),0)</f>
        <v>36737.339999999997</v>
      </c>
      <c r="U39" s="123">
        <f t="shared" ca="1" si="20"/>
        <v>4.8600000000000003</v>
      </c>
      <c r="V39" s="124" t="s">
        <v>697</v>
      </c>
      <c r="W39" s="122">
        <f ca="1">IF($C39="S",ROUND(IF(TIPOORCAMENTO="Proposto",ORÇAMENTO.CustoUnitario*(1+$AH39),ORÇAMENTO.PrecoUnitarioLicitado),15-13*$AF$10),0)</f>
        <v>5.59</v>
      </c>
      <c r="X39" s="125" cm="1">
        <f t="array" aca="1" ref="X39" ca="1">IF($C39="S",IF(OR(Import.TipoArredondamento&lt;&gt;"TransfereGOV",ACOMPANHAMENTO="BM"),VTOTAL1,SUM(OFFSET(CÁLCULO!$AI$15,ROW($X39)-ROW($X$15),1):OFFSET(CÁLCULO!$BB$15,ROW($X39)-ROW($X$15),-1))),IF($C39=0,0,ROUND(SomaAgrup,15-13*$AF$11)))</f>
        <v>205361.73</v>
      </c>
      <c r="Y39" s="126" t="s">
        <v>751</v>
      </c>
      <c r="Z39" t="str">
        <f t="shared" ca="1" si="13"/>
        <v>RA</v>
      </c>
      <c r="AA39" s="127">
        <f ca="1">IF($C39="S",IF($Z39="CP",$X39,IF($Z39="RA",(($X39)*QCI!$AA$3),0)),SomaAgrup)</f>
        <v>56723.75475179257</v>
      </c>
      <c r="AB39" s="128">
        <f t="shared" ca="1" si="14"/>
        <v>0</v>
      </c>
      <c r="AC39" s="565" t="e"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IF(AND(_xlfn.SINGLE(TIPOORCAMENTO)="Licitado",$AL39=0,$AN39&gt;0),"SEM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#NAME?</v>
      </c>
      <c r="AD39" t="str">
        <f ca="1">IF(C39&lt;=CRONO.NivelExibicao,MAX($AD$15:OFFSET(AD39,-1,0))+IF($C39&lt;&gt;1,1,MAX(1,COUNTIF(QCI!$A$13:$A$24,OFFSET($E39,-1,0)))),"")</f>
        <v/>
      </c>
      <c r="AE39" s="7" t="str">
        <f ca="1">IF(AND($C39="S",ORÇAMENTO.CodBarra&lt;&gt;""),IF(ORÇAMENTO.Fonte="",ORÇAMENTO.CodBarra,CONCATENATE(ORÇAMENTO.Fonte," ",ORÇAMENTO.CodBarra)))</f>
        <v>Cotação COT 03</v>
      </c>
      <c r="AF39" s="12">
        <f ca="1">IF(ISERROR(INDIRECT(ORÇAMENTO.BancoRef)),"(abra o arquivo 'Referência "&amp;Excel_BuiltIn_Database&amp;".xlsm)",IF(OR($C39&lt;&gt;"S",ORÇAMENTO.CodBarra=""),"(Sem Código)",IF(ISERROR(MATCH($AE39,INDIRECT(ORÇAMENTO.BancoRef),0)),"(Código não identificado nas referências)",MATCH($AE39,INDIRECT(ORÇAMENTO.BancoRef),0))))</f>
        <v>31</v>
      </c>
      <c r="AG39" s="428">
        <f ca="1">ROUND(IF(DESONERACAO="sim",REFERENCIA.Desonerado,REFERENCIA.NaoDesonerado),2)</f>
        <v>4.8600000000000003</v>
      </c>
      <c r="AH39" s="429">
        <f t="shared" ca="1" si="15"/>
        <v>0.15</v>
      </c>
      <c r="AJ39" s="431"/>
      <c r="AL39" s="439"/>
      <c r="AM39" s="336">
        <f t="shared" ca="1" si="19"/>
        <v>205361.73</v>
      </c>
      <c r="AN39" s="470">
        <f t="shared" ca="1" si="16"/>
        <v>5.59</v>
      </c>
    </row>
    <row r="40" spans="1:40" ht="26.4" x14ac:dyDescent="0.3">
      <c r="A40" t="str">
        <f t="shared" si="1"/>
        <v>S</v>
      </c>
      <c r="B40">
        <f t="shared" ca="1" si="2"/>
        <v>2</v>
      </c>
      <c r="C40" t="str">
        <f t="shared" ca="1" si="3"/>
        <v>S</v>
      </c>
      <c r="D40">
        <f t="shared" ca="1" si="4"/>
        <v>0</v>
      </c>
      <c r="E40">
        <f ca="1">IF($C40=1,OFFSET(E40,-1,0)+MAX(1,COUNTIF(QCI!$A$13:$A$24,OFFSET(ORÇAMENTO!E40,-1,0))),OFFSET(E40,-1,0))</f>
        <v>1</v>
      </c>
      <c r="F40">
        <f t="shared" ca="1" si="5"/>
        <v>4</v>
      </c>
      <c r="G40">
        <f t="shared" ca="1" si="6"/>
        <v>0</v>
      </c>
      <c r="H40">
        <f t="shared" ca="1" si="7"/>
        <v>0</v>
      </c>
      <c r="I40">
        <f t="shared" ca="1" si="8"/>
        <v>7</v>
      </c>
      <c r="J40">
        <f t="shared" ca="1" si="9"/>
        <v>0</v>
      </c>
      <c r="K40">
        <f ca="1">IF(OR($C40="S",$C40=0),0,MATCH(OFFSET($D40,0,$C40)+IF($C40&lt;&gt;1,1,COUNTIF(QCI!$A$13:$A$24,ORÇAMENTO!E40)),OFFSET($D40,1,$C40,ROW($C$165)-ROW($C40)),0))</f>
        <v>0</v>
      </c>
      <c r="L40" s="114" t="str">
        <f t="shared" ca="1" si="10"/>
        <v>F</v>
      </c>
      <c r="M40" s="115" t="s">
        <v>705</v>
      </c>
      <c r="N40" s="116" t="str">
        <f t="shared" ca="1" si="11"/>
        <v>Serviço</v>
      </c>
      <c r="O40" s="117" t="str">
        <f t="shared" ca="1" si="12"/>
        <v>1.4.7.</v>
      </c>
      <c r="P40" s="118" t="s">
        <v>956</v>
      </c>
      <c r="Q40" s="119" t="s">
        <v>1015</v>
      </c>
      <c r="R40" s="120" t="str">
        <f ca="1">IF($C40="S",REFERENCIA.Descricao,"(digite a descrição aqui)")</f>
        <v>Transporte de material betuminoso com caminhão tanque distribuidor - rodovia pavimentada</v>
      </c>
      <c r="S40" s="121" t="str">
        <f ca="1">REFERENCIA.Unidade</f>
        <v>tkm</v>
      </c>
      <c r="T40" s="122">
        <f ca="1">OFFSET(CÁLCULO!H$15,ROW($T40)-ROW(T$15),0)</f>
        <v>12380.48</v>
      </c>
      <c r="U40" s="123">
        <f t="shared" ca="1" si="20"/>
        <v>2.2200000000000002</v>
      </c>
      <c r="V40" s="124" t="s">
        <v>697</v>
      </c>
      <c r="W40" s="122">
        <f ca="1">IF($C40="S",ROUND(IF(TIPOORCAMENTO="Proposto",ORÇAMENTO.CustoUnitario*(1+$AH40),ORÇAMENTO.PrecoUnitarioLicitado),15-13*$AF$10),0)</f>
        <v>2.5499999999999998</v>
      </c>
      <c r="X40" s="125" cm="1">
        <f t="array" aca="1" ref="X40" ca="1">IF($C40="S",IF(OR(Import.TipoArredondamento&lt;&gt;"TransfereGOV",ACOMPANHAMENTO="BM"),VTOTAL1,SUM(OFFSET(CÁLCULO!$AI$15,ROW($X40)-ROW($X$15),1):OFFSET(CÁLCULO!$BB$15,ROW($X40)-ROW($X$15),-1))),IF($C40=0,0,ROUND(SomaAgrup,15-13*$AF$11)))</f>
        <v>31570.22</v>
      </c>
      <c r="Y40" s="126" t="s">
        <v>751</v>
      </c>
      <c r="Z40" t="str">
        <f t="shared" ca="1" si="13"/>
        <v>RA</v>
      </c>
      <c r="AA40" s="127">
        <f ca="1">IF($C40="S",IF($Z40="CP",$X40,IF($Z40="RA",(($X40)*QCI!$AA$3),0)),SomaAgrup)</f>
        <v>8720.1321139052379</v>
      </c>
      <c r="AB40" s="128">
        <f t="shared" ca="1" si="14"/>
        <v>0</v>
      </c>
      <c r="AC40" s="565" t="e"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IF(AND(_xlfn.SINGLE(TIPOORCAMENTO)="Licitado",$AL40=0,$AN40&gt;0),"SEM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#NAME?</v>
      </c>
      <c r="AD40" t="str">
        <f ca="1">IF(C40&lt;=CRONO.NivelExibicao,MAX($AD$15:OFFSET(AD40,-1,0))+IF($C40&lt;&gt;1,1,MAX(1,COUNTIF(QCI!$A$13:$A$24,OFFSET($E40,-1,0)))),"")</f>
        <v/>
      </c>
      <c r="AE40" s="7" t="str">
        <f ca="1">IF(AND($C40="S",ORÇAMENTO.CodBarra&lt;&gt;""),IF(ORÇAMENTO.Fonte="",ORÇAMENTO.CodBarra,CONCATENATE(ORÇAMENTO.Fonte," ",ORÇAMENTO.CodBarra)))</f>
        <v>SICRO 5914622</v>
      </c>
      <c r="AF40" s="12">
        <f ca="1">IF(ISERROR(INDIRECT(ORÇAMENTO.BancoRef)),"(abra o arquivo 'Referência "&amp;Excel_BuiltIn_Database&amp;".xlsm)",IF(OR($C40&lt;&gt;"S",ORÇAMENTO.CodBarra=""),"(Sem Código)",IF(ISERROR(MATCH($AE40,INDIRECT(ORÇAMENTO.BancoRef),0)),"(Código não identificado nas referências)",MATCH($AE40,INDIRECT(ORÇAMENTO.BancoRef),0))))</f>
        <v>21997</v>
      </c>
      <c r="AG40" s="428">
        <f ca="1">ROUND(IF(DESONERACAO="sim",REFERENCIA.Desonerado,REFERENCIA.NaoDesonerado),2)</f>
        <v>2.2200000000000002</v>
      </c>
      <c r="AH40" s="429">
        <f t="shared" ca="1" si="15"/>
        <v>0.15</v>
      </c>
      <c r="AJ40" s="431"/>
      <c r="AL40" s="439"/>
      <c r="AM40" s="336">
        <f t="shared" ca="1" si="19"/>
        <v>31570.22</v>
      </c>
      <c r="AN40" s="470">
        <f t="shared" ca="1" si="16"/>
        <v>2.5499999999999998</v>
      </c>
    </row>
    <row r="41" spans="1:40" ht="13.8" x14ac:dyDescent="0.3">
      <c r="A41">
        <f t="shared" si="1"/>
        <v>2</v>
      </c>
      <c r="B41">
        <f t="shared" ca="1" si="2"/>
        <v>2</v>
      </c>
      <c r="C41">
        <f t="shared" ca="1" si="3"/>
        <v>2</v>
      </c>
      <c r="D41">
        <f t="shared" ca="1" si="4"/>
        <v>7</v>
      </c>
      <c r="E41">
        <f ca="1">IF($C41=1,OFFSET(E41,-1,0)+MAX(1,COUNTIF(QCI!$A$13:$A$24,OFFSET(ORÇAMENTO!E41,-1,0))),OFFSET(E41,-1,0))</f>
        <v>1</v>
      </c>
      <c r="F41">
        <f t="shared" ca="1" si="5"/>
        <v>5</v>
      </c>
      <c r="G41">
        <f t="shared" ca="1" si="6"/>
        <v>0</v>
      </c>
      <c r="H41">
        <f t="shared" ca="1" si="7"/>
        <v>0</v>
      </c>
      <c r="I41">
        <f t="shared" ca="1" si="8"/>
        <v>0</v>
      </c>
      <c r="J41">
        <f t="shared" ca="1" si="9"/>
        <v>16</v>
      </c>
      <c r="K41">
        <f ca="1">IF(OR($C41="S",$C41=0),0,MATCH(OFFSET($D41,0,$C41)+IF($C41&lt;&gt;1,1,COUNTIF(QCI!$A$13:$A$24,ORÇAMENTO!E41)),OFFSET($D41,1,$C41,ROW($C$165)-ROW($C41)),0))</f>
        <v>7</v>
      </c>
      <c r="L41" s="114" t="str">
        <f t="shared" ca="1" si="10"/>
        <v>F</v>
      </c>
      <c r="M41" s="115" t="s">
        <v>702</v>
      </c>
      <c r="N41" s="116" t="str">
        <f t="shared" ca="1" si="11"/>
        <v>Nível 2</v>
      </c>
      <c r="O41" s="117" t="str">
        <f t="shared" ca="1" si="12"/>
        <v>1.5.</v>
      </c>
      <c r="P41" s="118" t="s">
        <v>750</v>
      </c>
      <c r="Q41" s="119"/>
      <c r="R41" s="120" t="s">
        <v>1046</v>
      </c>
      <c r="S41" s="121" t="str">
        <f ca="1">REFERENCIA.Unidade</f>
        <v>-</v>
      </c>
      <c r="T41" s="122">
        <f ca="1">OFFSET(CÁLCULO!H$15,ROW($T41)-ROW(T$15),0)</f>
        <v>0</v>
      </c>
      <c r="U41" s="123"/>
      <c r="V41" s="124" t="s">
        <v>663</v>
      </c>
      <c r="W41" s="122">
        <f ca="1">IF($C41="S",ROUND(IF(TIPOORCAMENTO="Proposto",ORÇAMENTO.CustoUnitario*(1+$AH41),ORÇAMENTO.PrecoUnitarioLicitado),15-13*$AF$10),0)</f>
        <v>0</v>
      </c>
      <c r="X41" s="125" cm="1">
        <f t="array" aca="1" ref="X41" ca="1">IF($C41="S",IF(OR(Import.TipoArredondamento&lt;&gt;"TransfereGOV",ACOMPANHAMENTO="BM"),VTOTAL1,SUM(OFFSET(CÁLCULO!$AI$15,ROW($X41)-ROW($X$15),1):OFFSET(CÁLCULO!$BB$15,ROW($X41)-ROW($X$15),-1))),IF($C41=0,0,ROUND(SomaAgrup,15-13*$AF$11)))</f>
        <v>18931.04</v>
      </c>
      <c r="Y41" s="126" t="s">
        <v>751</v>
      </c>
      <c r="Z41" t="str">
        <f t="shared" ca="1" si="13"/>
        <v/>
      </c>
      <c r="AA41" s="127">
        <f ca="1">IF($C41="S",IF($Z41="CP",$X41,IF($Z41="RA",(($X41)*QCI!$AA$3),0)),SomaAgrup)</f>
        <v>5229.0155042829792</v>
      </c>
      <c r="AB41" s="128">
        <f t="shared" ca="1" si="14"/>
        <v>0</v>
      </c>
      <c r="AC41" s="565" t="e"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IF(AND(_xlfn.SINGLE(TIPOORCAMENTO)="Licitado",$AL41=0,$AN41&gt;0),"SEM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#NAME?</v>
      </c>
      <c r="AD41">
        <f ca="1">IF(C41&lt;=CRONO.NivelExibicao,MAX($AD$15:OFFSET(AD41,-1,0))+IF($C41&lt;&gt;1,1,MAX(1,COUNTIF(QCI!$A$13:$A$24,OFFSET($E41,-1,0)))),"")</f>
        <v>6</v>
      </c>
      <c r="AE41" s="7" t="b">
        <f ca="1">IF(AND($C41="S",ORÇAMENTO.CodBarra&lt;&gt;""),IF(ORÇAMENTO.Fonte="",ORÇAMENTO.CodBarra,CONCATENATE(ORÇAMENTO.Fonte," ",ORÇAMENTO.CodBarra)))</f>
        <v>0</v>
      </c>
      <c r="AF41" s="12" t="str">
        <f ca="1">IF(ISERROR(INDIRECT(ORÇAMENTO.BancoRef)),"(abra o arquivo 'Referência "&amp;Excel_BuiltIn_Database&amp;".xlsm)",IF(OR($C41&lt;&gt;"S",ORÇAMENTO.CodBarra=""),"(Sem Código)",IF(ISERROR(MATCH($AE41,INDIRECT(ORÇAMENTO.BancoRef),0)),"(Código não identificado nas referências)",MATCH($AE41,INDIRECT(ORÇAMENTO.BancoRef),0))))</f>
        <v>(Sem Código)</v>
      </c>
      <c r="AG41" s="428">
        <f ca="1">ROUND(IF(DESONERACAO="sim",REFERENCIA.Desonerado,REFERENCIA.NaoDesonerado),2)</f>
        <v>0</v>
      </c>
      <c r="AH41" s="429">
        <f t="shared" ca="1" si="15"/>
        <v>0.2283</v>
      </c>
      <c r="AJ41" s="431"/>
      <c r="AL41" s="439"/>
      <c r="AM41" s="336">
        <f t="shared" ca="1" si="19"/>
        <v>18931.04</v>
      </c>
      <c r="AN41" s="470">
        <f t="shared" ca="1" si="16"/>
        <v>0</v>
      </c>
    </row>
    <row r="42" spans="1:40" ht="13.8" x14ac:dyDescent="0.3">
      <c r="A42" t="str">
        <f t="shared" si="1"/>
        <v>S</v>
      </c>
      <c r="B42">
        <f t="shared" ca="1" si="2"/>
        <v>2</v>
      </c>
      <c r="C42" t="str">
        <f t="shared" ca="1" si="3"/>
        <v>S</v>
      </c>
      <c r="D42">
        <f t="shared" ca="1" si="4"/>
        <v>0</v>
      </c>
      <c r="E42">
        <f ca="1">IF($C42=1,OFFSET(E42,-1,0)+MAX(1,COUNTIF(QCI!$A$13:$A$24,OFFSET(ORÇAMENTO!E42,-1,0))),OFFSET(E42,-1,0))</f>
        <v>1</v>
      </c>
      <c r="F42">
        <f t="shared" ca="1" si="5"/>
        <v>5</v>
      </c>
      <c r="G42">
        <f t="shared" ca="1" si="6"/>
        <v>0</v>
      </c>
      <c r="H42">
        <f t="shared" ca="1" si="7"/>
        <v>0</v>
      </c>
      <c r="I42">
        <f t="shared" ca="1" si="8"/>
        <v>1</v>
      </c>
      <c r="J42">
        <f t="shared" ca="1" si="9"/>
        <v>0</v>
      </c>
      <c r="K42">
        <f ca="1">IF(OR($C42="S",$C42=0),0,MATCH(OFFSET($D42,0,$C42)+IF($C42&lt;&gt;1,1,COUNTIF(QCI!$A$13:$A$24,ORÇAMENTO!E42)),OFFSET($D42,1,$C42,ROW($C$165)-ROW($C42)),0))</f>
        <v>0</v>
      </c>
      <c r="L42" s="114" t="str">
        <f t="shared" ca="1" si="10"/>
        <v>F</v>
      </c>
      <c r="M42" s="115" t="s">
        <v>705</v>
      </c>
      <c r="N42" s="116" t="str">
        <f t="shared" ca="1" si="11"/>
        <v>Serviço</v>
      </c>
      <c r="O42" s="117" t="str">
        <f t="shared" ca="1" si="12"/>
        <v>1.5.1.</v>
      </c>
      <c r="P42" s="118" t="s">
        <v>956</v>
      </c>
      <c r="Q42" s="119" t="s">
        <v>1019</v>
      </c>
      <c r="R42" s="120" t="str">
        <f ca="1">IF($C42="S",REFERENCIA.Descricao,"(digite a descrição aqui)")</f>
        <v>Pintura de ligação</v>
      </c>
      <c r="S42" s="121" t="str">
        <f ca="1">REFERENCIA.Unidade</f>
        <v>m²</v>
      </c>
      <c r="T42" s="122">
        <f ca="1">OFFSET(CÁLCULO!H$15,ROW($T42)-ROW(T$15),0)</f>
        <v>104</v>
      </c>
      <c r="U42" s="123">
        <f t="shared" ref="U42:U47" ca="1" si="21">AG42</f>
        <v>0.46</v>
      </c>
      <c r="V42" s="124" t="s">
        <v>663</v>
      </c>
      <c r="W42" s="122">
        <f ca="1">IF($C42="S",ROUND(IF(TIPOORCAMENTO="Proposto",ORÇAMENTO.CustoUnitario*(1+$AH42),ORÇAMENTO.PrecoUnitarioLicitado),15-13*$AF$10),0)</f>
        <v>0.56999999999999995</v>
      </c>
      <c r="X42" s="125" cm="1">
        <f t="array" aca="1" ref="X42" ca="1">IF($C42="S",IF(OR(Import.TipoArredondamento&lt;&gt;"TransfereGOV",ACOMPANHAMENTO="BM"),VTOTAL1,SUM(OFFSET(CÁLCULO!$AI$15,ROW($X42)-ROW($X$15),1):OFFSET(CÁLCULO!$BB$15,ROW($X42)-ROW($X$15),-1))),IF($C42=0,0,ROUND(SomaAgrup,15-13*$AF$11)))</f>
        <v>59.28</v>
      </c>
      <c r="Y42" s="126" t="s">
        <v>751</v>
      </c>
      <c r="Z42" t="str">
        <f t="shared" ca="1" si="13"/>
        <v>RA</v>
      </c>
      <c r="AA42" s="127">
        <f ca="1">IF($C42="S",IF($Z42="CP",$X42,IF($Z42="RA",(($X42)*QCI!$AA$3),0)),SomaAgrup)</f>
        <v>16.373957220200001</v>
      </c>
      <c r="AB42" s="128">
        <f t="shared" ca="1" si="14"/>
        <v>0</v>
      </c>
      <c r="AC42" s="565" t="e"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IF(AND(_xlfn.SINGLE(TIPOORCAMENTO)="Licitado",$AL42=0,$AN42&gt;0),"SEM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#NAME?</v>
      </c>
      <c r="AD42" t="str">
        <f ca="1">IF(C42&lt;=CRONO.NivelExibicao,MAX($AD$15:OFFSET(AD42,-1,0))+IF($C42&lt;&gt;1,1,MAX(1,COUNTIF(QCI!$A$13:$A$24,OFFSET($E42,-1,0)))),"")</f>
        <v/>
      </c>
      <c r="AE42" s="7" t="str">
        <f ca="1">IF(AND($C42="S",ORÇAMENTO.CodBarra&lt;&gt;""),IF(ORÇAMENTO.Fonte="",ORÇAMENTO.CodBarra,CONCATENATE(ORÇAMENTO.Fonte," ",ORÇAMENTO.CodBarra)))</f>
        <v>SICRO 4011353</v>
      </c>
      <c r="AF42" s="12">
        <f ca="1">IF(ISERROR(INDIRECT(ORÇAMENTO.BancoRef)),"(abra o arquivo 'Referência "&amp;Excel_BuiltIn_Database&amp;".xlsm)",IF(OR($C42&lt;&gt;"S",ORÇAMENTO.CodBarra=""),"(Sem Código)",IF(ISERROR(MATCH($AE42,INDIRECT(ORÇAMENTO.BancoRef),0)),"(Código não identificado nas referências)",MATCH($AE42,INDIRECT(ORÇAMENTO.BancoRef),0))))</f>
        <v>20424</v>
      </c>
      <c r="AG42" s="428">
        <f ca="1">ROUND(IF(DESONERACAO="sim",REFERENCIA.Desonerado,REFERENCIA.NaoDesonerado),2)</f>
        <v>0.46</v>
      </c>
      <c r="AH42" s="429">
        <f t="shared" ca="1" si="15"/>
        <v>0.2283</v>
      </c>
      <c r="AJ42" s="431"/>
      <c r="AL42" s="439"/>
      <c r="AM42" s="336">
        <f t="shared" ca="1" si="19"/>
        <v>59.28</v>
      </c>
      <c r="AN42" s="470">
        <f t="shared" ca="1" si="16"/>
        <v>0.56999999999999995</v>
      </c>
    </row>
    <row r="43" spans="1:40" ht="26.4" x14ac:dyDescent="0.3">
      <c r="A43" t="str">
        <f t="shared" si="1"/>
        <v>S</v>
      </c>
      <c r="B43">
        <f t="shared" ca="1" si="2"/>
        <v>2</v>
      </c>
      <c r="C43" t="str">
        <f t="shared" ca="1" si="3"/>
        <v>S</v>
      </c>
      <c r="D43">
        <f t="shared" ca="1" si="4"/>
        <v>0</v>
      </c>
      <c r="E43">
        <f ca="1">IF($C43=1,OFFSET(E43,-1,0)+MAX(1,COUNTIF(QCI!$A$13:$A$24,OFFSET(ORÇAMENTO!E43,-1,0))),OFFSET(E43,-1,0))</f>
        <v>1</v>
      </c>
      <c r="F43">
        <f t="shared" ca="1" si="5"/>
        <v>5</v>
      </c>
      <c r="G43">
        <f t="shared" ca="1" si="6"/>
        <v>0</v>
      </c>
      <c r="H43">
        <f t="shared" ca="1" si="7"/>
        <v>0</v>
      </c>
      <c r="I43">
        <f t="shared" ca="1" si="8"/>
        <v>2</v>
      </c>
      <c r="J43">
        <f t="shared" ca="1" si="9"/>
        <v>0</v>
      </c>
      <c r="K43">
        <f ca="1">IF(OR($C43="S",$C43=0),0,MATCH(OFFSET($D43,0,$C43)+IF($C43&lt;&gt;1,1,COUNTIF(QCI!$A$13:$A$24,ORÇAMENTO!E43)),OFFSET($D43,1,$C43,ROW($C$165)-ROW($C43)),0))</f>
        <v>0</v>
      </c>
      <c r="L43" s="114" t="str">
        <f t="shared" ca="1" si="10"/>
        <v>F</v>
      </c>
      <c r="M43" s="115" t="s">
        <v>705</v>
      </c>
      <c r="N43" s="116" t="str">
        <f t="shared" ca="1" si="11"/>
        <v>Serviço</v>
      </c>
      <c r="O43" s="117" t="str">
        <f t="shared" ca="1" si="12"/>
        <v>1.5.2.</v>
      </c>
      <c r="P43" s="118" t="s">
        <v>958</v>
      </c>
      <c r="Q43" s="119" t="s">
        <v>1020</v>
      </c>
      <c r="R43" s="120" t="str">
        <f ca="1">IF($C43="S",REFERENCIA.Descricao,"(digite a descrição aqui)")</f>
        <v>EMULSÃO ASFÁLTICA RR-1C COLETADO NA ANP, ACRESCIDO DE IMPOSTOS (ICMS, PIS, COFINS)</v>
      </c>
      <c r="S43" s="121" t="str">
        <f ca="1">REFERENCIA.Unidade</f>
        <v>KG</v>
      </c>
      <c r="T43" s="122">
        <f ca="1">OFFSET(CÁLCULO!H$15,ROW($T43)-ROW(T$15),0)</f>
        <v>46.8</v>
      </c>
      <c r="U43" s="123">
        <f t="shared" ca="1" si="21"/>
        <v>3.66</v>
      </c>
      <c r="V43" s="124" t="s">
        <v>697</v>
      </c>
      <c r="W43" s="122">
        <f ca="1">IF($C43="S",ROUND(IF(TIPOORCAMENTO="Proposto",ORÇAMENTO.CustoUnitario*(1+$AH43),ORÇAMENTO.PrecoUnitarioLicitado),15-13*$AF$10),0)</f>
        <v>4.21</v>
      </c>
      <c r="X43" s="125" cm="1">
        <f t="array" aca="1" ref="X43" ca="1">IF($C43="S",IF(OR(Import.TipoArredondamento&lt;&gt;"TransfereGOV",ACOMPANHAMENTO="BM"),VTOTAL1,SUM(OFFSET(CÁLCULO!$AI$15,ROW($X43)-ROW($X$15),1):OFFSET(CÁLCULO!$BB$15,ROW($X43)-ROW($X$15),-1))),IF($C43=0,0,ROUND(SomaAgrup,15-13*$AF$11)))</f>
        <v>197.03</v>
      </c>
      <c r="Y43" s="126" t="s">
        <v>751</v>
      </c>
      <c r="Z43" t="str">
        <f t="shared" ca="1" si="13"/>
        <v>RA</v>
      </c>
      <c r="AA43" s="127">
        <f ca="1">IF($C43="S",IF($Z43="CP",$X43,IF($Z43="RA",(($X43)*QCI!$AA$3),0)),SomaAgrup)</f>
        <v>54.422415504318593</v>
      </c>
      <c r="AB43" s="128">
        <f t="shared" ca="1" si="14"/>
        <v>0</v>
      </c>
      <c r="AC43" s="565" t="e"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IF(AND(_xlfn.SINGLE(TIPOORCAMENTO)="Licitado",$AL43=0,$AN43&gt;0),"SEM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#NAME?</v>
      </c>
      <c r="AD43" t="str">
        <f ca="1">IF(C43&lt;=CRONO.NivelExibicao,MAX($AD$15:OFFSET(AD43,-1,0))+IF($C43&lt;&gt;1,1,MAX(1,COUNTIF(QCI!$A$13:$A$24,OFFSET($E43,-1,0)))),"")</f>
        <v/>
      </c>
      <c r="AE43" s="7" t="str">
        <f ca="1">IF(AND($C43="S",ORÇAMENTO.CodBarra&lt;&gt;""),IF(ORÇAMENTO.Fonte="",ORÇAMENTO.CodBarra,CONCATENATE(ORÇAMENTO.Fonte," ",ORÇAMENTO.CodBarra)))</f>
        <v>Cotação COT 02</v>
      </c>
      <c r="AF43" s="12">
        <f ca="1">IF(ISERROR(INDIRECT(ORÇAMENTO.BancoRef)),"(abra o arquivo 'Referência "&amp;Excel_BuiltIn_Database&amp;".xlsm)",IF(OR($C43&lt;&gt;"S",ORÇAMENTO.CodBarra=""),"(Sem Código)",IF(ISERROR(MATCH($AE43,INDIRECT(ORÇAMENTO.BancoRef),0)),"(Código não identificado nas referências)",MATCH($AE43,INDIRECT(ORÇAMENTO.BancoRef),0))))</f>
        <v>30</v>
      </c>
      <c r="AG43" s="428">
        <f ca="1">ROUND(IF(DESONERACAO="sim",REFERENCIA.Desonerado,REFERENCIA.NaoDesonerado),2)</f>
        <v>3.66</v>
      </c>
      <c r="AH43" s="429">
        <f t="shared" ca="1" si="15"/>
        <v>0.15</v>
      </c>
      <c r="AJ43" s="431"/>
      <c r="AL43" s="439"/>
      <c r="AM43" s="336">
        <f t="shared" ca="1" si="19"/>
        <v>197.03</v>
      </c>
      <c r="AN43" s="470">
        <f t="shared" ca="1" si="16"/>
        <v>4.21</v>
      </c>
    </row>
    <row r="44" spans="1:40" ht="26.4" x14ac:dyDescent="0.3">
      <c r="A44" t="str">
        <f t="shared" si="1"/>
        <v>S</v>
      </c>
      <c r="B44">
        <f t="shared" ca="1" si="2"/>
        <v>2</v>
      </c>
      <c r="C44" t="str">
        <f t="shared" ca="1" si="3"/>
        <v>S</v>
      </c>
      <c r="D44">
        <f t="shared" ca="1" si="4"/>
        <v>0</v>
      </c>
      <c r="E44">
        <f ca="1">IF($C44=1,OFFSET(E44,-1,0)+MAX(1,COUNTIF(QCI!$A$13:$A$24,OFFSET(ORÇAMENTO!E44,-1,0))),OFFSET(E44,-1,0))</f>
        <v>1</v>
      </c>
      <c r="F44">
        <f t="shared" ca="1" si="5"/>
        <v>5</v>
      </c>
      <c r="G44">
        <f t="shared" ca="1" si="6"/>
        <v>0</v>
      </c>
      <c r="H44">
        <f t="shared" ca="1" si="7"/>
        <v>0</v>
      </c>
      <c r="I44">
        <f t="shared" ca="1" si="8"/>
        <v>3</v>
      </c>
      <c r="J44">
        <f t="shared" ca="1" si="9"/>
        <v>0</v>
      </c>
      <c r="K44">
        <f ca="1">IF(OR($C44="S",$C44=0),0,MATCH(OFFSET($D44,0,$C44)+IF($C44&lt;&gt;1,1,COUNTIF(QCI!$A$13:$A$24,ORÇAMENTO!E44)),OFFSET($D44,1,$C44,ROW($C$165)-ROW($C44)),0))</f>
        <v>0</v>
      </c>
      <c r="L44" s="114" t="str">
        <f t="shared" ca="1" si="10"/>
        <v>F</v>
      </c>
      <c r="M44" s="115" t="s">
        <v>705</v>
      </c>
      <c r="N44" s="116" t="str">
        <f t="shared" ca="1" si="11"/>
        <v>Serviço</v>
      </c>
      <c r="O44" s="117" t="str">
        <f t="shared" ca="1" si="12"/>
        <v>1.5.3.</v>
      </c>
      <c r="P44" s="118" t="s">
        <v>956</v>
      </c>
      <c r="Q44" s="119" t="s">
        <v>1015</v>
      </c>
      <c r="R44" s="120" t="str">
        <f ca="1">IF($C44="S",REFERENCIA.Descricao,"(digite a descrição aqui)")</f>
        <v>Transporte de material betuminoso com caminhão tanque distribuidor - rodovia pavimentada</v>
      </c>
      <c r="S44" s="121" t="str">
        <f ca="1">REFERENCIA.Unidade</f>
        <v>tkm</v>
      </c>
      <c r="T44" s="122">
        <f ca="1">OFFSET(CÁLCULO!H$15,ROW($T44)-ROW(T$15),0)</f>
        <v>15.77</v>
      </c>
      <c r="U44" s="123">
        <f t="shared" ca="1" si="21"/>
        <v>2.2200000000000002</v>
      </c>
      <c r="V44" s="124" t="s">
        <v>697</v>
      </c>
      <c r="W44" s="122">
        <f ca="1">IF($C44="S",ROUND(IF(TIPOORCAMENTO="Proposto",ORÇAMENTO.CustoUnitario*(1+$AH44),ORÇAMENTO.PrecoUnitarioLicitado),15-13*$AF$10),0)</f>
        <v>2.5499999999999998</v>
      </c>
      <c r="X44" s="125" cm="1">
        <f t="array" aca="1" ref="X44" ca="1">IF($C44="S",IF(OR(Import.TipoArredondamento&lt;&gt;"TransfereGOV",ACOMPANHAMENTO="BM"),VTOTAL1,SUM(OFFSET(CÁLCULO!$AI$15,ROW($X44)-ROW($X$15),1):OFFSET(CÁLCULO!$BB$15,ROW($X44)-ROW($X$15),-1))),IF($C44=0,0,ROUND(SomaAgrup,15-13*$AF$11)))</f>
        <v>40.21</v>
      </c>
      <c r="Y44" s="126" t="s">
        <v>751</v>
      </c>
      <c r="Z44" t="str">
        <f t="shared" ca="1" si="13"/>
        <v>RA</v>
      </c>
      <c r="AA44" s="127">
        <f ca="1">IF($C44="S",IF($Z44="CP",$X44,IF($Z44="RA",(($X44)*QCI!$AA$3),0)),SomaAgrup)</f>
        <v>11.106559038870481</v>
      </c>
      <c r="AB44" s="128">
        <f t="shared" ca="1" si="14"/>
        <v>0</v>
      </c>
      <c r="AC44" s="565" t="e"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IF(AND(_xlfn.SINGLE(TIPOORCAMENTO)="Licitado",$AL44=0,$AN44&gt;0),"SEM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#NAME?</v>
      </c>
      <c r="AD44" t="str">
        <f ca="1">IF(C44&lt;=CRONO.NivelExibicao,MAX($AD$15:OFFSET(AD44,-1,0))+IF($C44&lt;&gt;1,1,MAX(1,COUNTIF(QCI!$A$13:$A$24,OFFSET($E44,-1,0)))),"")</f>
        <v/>
      </c>
      <c r="AE44" s="7" t="str">
        <f ca="1">IF(AND($C44="S",ORÇAMENTO.CodBarra&lt;&gt;""),IF(ORÇAMENTO.Fonte="",ORÇAMENTO.CodBarra,CONCATENATE(ORÇAMENTO.Fonte," ",ORÇAMENTO.CodBarra)))</f>
        <v>SICRO 5914622</v>
      </c>
      <c r="AF44" s="12">
        <f ca="1">IF(ISERROR(INDIRECT(ORÇAMENTO.BancoRef)),"(abra o arquivo 'Referência "&amp;Excel_BuiltIn_Database&amp;".xlsm)",IF(OR($C44&lt;&gt;"S",ORÇAMENTO.CodBarra=""),"(Sem Código)",IF(ISERROR(MATCH($AE44,INDIRECT(ORÇAMENTO.BancoRef),0)),"(Código não identificado nas referências)",MATCH($AE44,INDIRECT(ORÇAMENTO.BancoRef),0))))</f>
        <v>21997</v>
      </c>
      <c r="AG44" s="428">
        <f ca="1">ROUND(IF(DESONERACAO="sim",REFERENCIA.Desonerado,REFERENCIA.NaoDesonerado),2)</f>
        <v>2.2200000000000002</v>
      </c>
      <c r="AH44" s="429">
        <f t="shared" ca="1" si="15"/>
        <v>0.15</v>
      </c>
      <c r="AJ44" s="431"/>
      <c r="AL44" s="439"/>
      <c r="AM44" s="336">
        <f t="shared" ca="1" si="19"/>
        <v>40.21</v>
      </c>
      <c r="AN44" s="470">
        <f t="shared" ca="1" si="16"/>
        <v>2.5499999999999998</v>
      </c>
    </row>
    <row r="45" spans="1:40" ht="79.2" x14ac:dyDescent="0.3">
      <c r="A45" t="str">
        <f t="shared" si="1"/>
        <v>S</v>
      </c>
      <c r="B45">
        <f t="shared" ca="1" si="2"/>
        <v>2</v>
      </c>
      <c r="C45" t="str">
        <f t="shared" ca="1" si="3"/>
        <v>S</v>
      </c>
      <c r="D45">
        <f t="shared" ca="1" si="4"/>
        <v>0</v>
      </c>
      <c r="E45">
        <f ca="1">IF($C45=1,OFFSET(E45,-1,0)+MAX(1,COUNTIF(QCI!$A$13:$A$24,OFFSET(ORÇAMENTO!E45,-1,0))),OFFSET(E45,-1,0))</f>
        <v>1</v>
      </c>
      <c r="F45">
        <f t="shared" ca="1" si="5"/>
        <v>5</v>
      </c>
      <c r="G45">
        <f t="shared" ca="1" si="6"/>
        <v>0</v>
      </c>
      <c r="H45">
        <f t="shared" ca="1" si="7"/>
        <v>0</v>
      </c>
      <c r="I45">
        <f t="shared" ca="1" si="8"/>
        <v>4</v>
      </c>
      <c r="J45">
        <f t="shared" ca="1" si="9"/>
        <v>0</v>
      </c>
      <c r="K45">
        <f ca="1">IF(OR($C45="S",$C45=0),0,MATCH(OFFSET($D45,0,$C45)+IF($C45&lt;&gt;1,1,COUNTIF(QCI!$A$13:$A$24,ORÇAMENTO!E45)),OFFSET($D45,1,$C45,ROW($C$165)-ROW($C45)),0))</f>
        <v>0</v>
      </c>
      <c r="L45" s="114" t="str">
        <f t="shared" ca="1" si="10"/>
        <v>F</v>
      </c>
      <c r="M45" s="115" t="s">
        <v>705</v>
      </c>
      <c r="N45" s="116" t="str">
        <f t="shared" ca="1" si="11"/>
        <v>Serviço</v>
      </c>
      <c r="O45" s="117" t="str">
        <f t="shared" ca="1" si="12"/>
        <v>1.5.4.</v>
      </c>
      <c r="P45" s="118" t="s">
        <v>957</v>
      </c>
      <c r="Q45" s="119" t="s">
        <v>1047</v>
      </c>
      <c r="R45" s="120" t="str">
        <f ca="1">IF($C45="S",REFERENCIA.Descricao,"(digite a descrição aqui)")</f>
        <v>EXECUÇÃO DE FAIXA ELEVADA PARA TRAVESSIA DE PEDESTRES COM APLICAÇÃO DE CONCRETO ASFÁLTICO, PADRÃO DNIT FAIXA C, APLICADO COM VIBROACABADORA. COM TUBULAÇÃO DE DRENAGEM JUNTO A SARJETA. DIMENSÕES DA PLATAFORMA: LARG.: 6,50 M, COMP.: 5 M, ALT.: 10 CM. DIMENSÕES DA RAMPA: COMP.: 1,5 M. - EXCLUSIVE CAP</v>
      </c>
      <c r="S45" s="121" t="str">
        <f ca="1">REFERENCIA.Unidade</f>
        <v>UN</v>
      </c>
      <c r="T45" s="122">
        <f ca="1">OFFSET(CÁLCULO!H$15,ROW($T45)-ROW(T$15),0)</f>
        <v>2</v>
      </c>
      <c r="U45" s="123">
        <f t="shared" ca="1" si="21"/>
        <v>4433.8999999999996</v>
      </c>
      <c r="V45" s="124" t="s">
        <v>663</v>
      </c>
      <c r="W45" s="122">
        <f ca="1">IF($C45="S",ROUND(IF(TIPOORCAMENTO="Proposto",ORÇAMENTO.CustoUnitario*(1+$AH45),ORÇAMENTO.PrecoUnitarioLicitado),15-13*$AF$10),0)</f>
        <v>5446.16</v>
      </c>
      <c r="X45" s="125" cm="1">
        <f t="array" aca="1" ref="X45" ca="1">IF($C45="S",IF(OR(Import.TipoArredondamento&lt;&gt;"TransfereGOV",ACOMPANHAMENTO="BM"),VTOTAL1,SUM(OFFSET(CÁLCULO!$AI$15,ROW($X45)-ROW($X$15),1):OFFSET(CÁLCULO!$BB$15,ROW($X45)-ROW($X$15),-1))),IF($C45=0,0,ROUND(SomaAgrup,15-13*$AF$11)))</f>
        <v>10892.32</v>
      </c>
      <c r="Y45" s="126" t="s">
        <v>751</v>
      </c>
      <c r="Z45" t="str">
        <f t="shared" ca="1" si="13"/>
        <v>RA</v>
      </c>
      <c r="AA45" s="127">
        <f ca="1">IF($C45="S",IF($Z45="CP",$X45,IF($Z45="RA",(($X45)*QCI!$AA$3),0)),SomaAgrup)</f>
        <v>3008.6096779475183</v>
      </c>
      <c r="AB45" s="128">
        <f t="shared" ca="1" si="14"/>
        <v>0</v>
      </c>
      <c r="AC45" s="565" t="e"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IF(AND(_xlfn.SINGLE(TIPOORCAMENTO)="Licitado",$AL45=0,$AN45&gt;0),"SEM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#NAME?</v>
      </c>
      <c r="AD45" t="str">
        <f ca="1">IF(C45&lt;=CRONO.NivelExibicao,MAX($AD$15:OFFSET(AD45,-1,0))+IF($C45&lt;&gt;1,1,MAX(1,COUNTIF(QCI!$A$13:$A$24,OFFSET($E45,-1,0)))),"")</f>
        <v/>
      </c>
      <c r="AE45" s="7" t="str">
        <f ca="1">IF(AND($C45="S",ORÇAMENTO.CodBarra&lt;&gt;""),IF(ORÇAMENTO.Fonte="",ORÇAMENTO.CodBarra,CONCATENATE(ORÇAMENTO.Fonte," ",ORÇAMENTO.CodBarra)))</f>
        <v>Composição COMP 14</v>
      </c>
      <c r="AF45" s="12">
        <f ca="1">IF(ISERROR(INDIRECT(ORÇAMENTO.BancoRef)),"(abra o arquivo 'Referência "&amp;Excel_BuiltIn_Database&amp;".xlsm)",IF(OR($C45&lt;&gt;"S",ORÇAMENTO.CodBarra=""),"(Sem Código)",IF(ISERROR(MATCH($AE45,INDIRECT(ORÇAMENTO.BancoRef),0)),"(Código não identificado nas referências)",MATCH($AE45,INDIRECT(ORÇAMENTO.BancoRef),0))))</f>
        <v>16</v>
      </c>
      <c r="AG45" s="428">
        <f ca="1">ROUND(IF(DESONERACAO="sim",REFERENCIA.Desonerado,REFERENCIA.NaoDesonerado),2)</f>
        <v>4433.8999999999996</v>
      </c>
      <c r="AH45" s="429">
        <f t="shared" ca="1" si="15"/>
        <v>0.2283</v>
      </c>
      <c r="AJ45" s="431"/>
      <c r="AL45" s="439"/>
      <c r="AM45" s="336">
        <f t="shared" ca="1" si="19"/>
        <v>10892.32</v>
      </c>
      <c r="AN45" s="470">
        <f t="shared" ca="1" si="16"/>
        <v>5446.16</v>
      </c>
    </row>
    <row r="46" spans="1:40" ht="26.4" x14ac:dyDescent="0.3">
      <c r="A46" t="str">
        <f t="shared" si="1"/>
        <v>S</v>
      </c>
      <c r="B46">
        <f t="shared" ca="1" si="2"/>
        <v>2</v>
      </c>
      <c r="C46" t="str">
        <f t="shared" ca="1" si="3"/>
        <v>S</v>
      </c>
      <c r="D46">
        <f t="shared" ca="1" si="4"/>
        <v>0</v>
      </c>
      <c r="E46">
        <f ca="1">IF($C46=1,OFFSET(E46,-1,0)+MAX(1,COUNTIF(QCI!$A$13:$A$24,OFFSET(ORÇAMENTO!E46,-1,0))),OFFSET(E46,-1,0))</f>
        <v>1</v>
      </c>
      <c r="F46">
        <f t="shared" ca="1" si="5"/>
        <v>5</v>
      </c>
      <c r="G46">
        <f t="shared" ca="1" si="6"/>
        <v>0</v>
      </c>
      <c r="H46">
        <f t="shared" ca="1" si="7"/>
        <v>0</v>
      </c>
      <c r="I46">
        <f t="shared" ca="1" si="8"/>
        <v>5</v>
      </c>
      <c r="J46">
        <f t="shared" ca="1" si="9"/>
        <v>0</v>
      </c>
      <c r="K46">
        <f ca="1">IF(OR($C46="S",$C46=0),0,MATCH(OFFSET($D46,0,$C46)+IF($C46&lt;&gt;1,1,COUNTIF(QCI!$A$13:$A$24,ORÇAMENTO!E46)),OFFSET($D46,1,$C46,ROW($C$165)-ROW($C46)),0))</f>
        <v>0</v>
      </c>
      <c r="L46" s="114" t="str">
        <f t="shared" ca="1" si="10"/>
        <v>F</v>
      </c>
      <c r="M46" s="115" t="s">
        <v>705</v>
      </c>
      <c r="N46" s="116" t="str">
        <f t="shared" ca="1" si="11"/>
        <v>Serviço</v>
      </c>
      <c r="O46" s="117" t="str">
        <f t="shared" ca="1" si="12"/>
        <v>1.5.5.</v>
      </c>
      <c r="P46" s="118" t="s">
        <v>958</v>
      </c>
      <c r="Q46" s="119" t="s">
        <v>1023</v>
      </c>
      <c r="R46" s="120" t="str">
        <f ca="1">IF($C46="S",REFERENCIA.Descricao,"(digite a descrição aqui)")</f>
        <v>CIMENTO ASFÁLTICO CAP 50-70, COLETADO NA ANP, ACRESCIDO DE IMPOSTOS (ICMS, PIS, CONFINS)</v>
      </c>
      <c r="S46" s="121" t="str">
        <f ca="1">REFERENCIA.Unidade</f>
        <v>KG</v>
      </c>
      <c r="T46" s="122">
        <f ca="1">OFFSET(CÁLCULO!H$15,ROW($T46)-ROW(T$15),0)</f>
        <v>1200.46</v>
      </c>
      <c r="U46" s="123">
        <f t="shared" ca="1" si="21"/>
        <v>4.8600000000000003</v>
      </c>
      <c r="V46" s="124" t="s">
        <v>697</v>
      </c>
      <c r="W46" s="122">
        <f ca="1">IF($C46="S",ROUND(IF(TIPOORCAMENTO="Proposto",ORÇAMENTO.CustoUnitario*(1+$AH46),ORÇAMENTO.PrecoUnitarioLicitado),15-13*$AF$10),0)</f>
        <v>5.59</v>
      </c>
      <c r="X46" s="125" cm="1">
        <f t="array" aca="1" ref="X46" ca="1">IF($C46="S",IF(OR(Import.TipoArredondamento&lt;&gt;"TransfereGOV",ACOMPANHAMENTO="BM"),VTOTAL1,SUM(OFFSET(CÁLCULO!$AI$15,ROW($X46)-ROW($X$15),1):OFFSET(CÁLCULO!$BB$15,ROW($X46)-ROW($X$15),-1))),IF($C46=0,0,ROUND(SomaAgrup,15-13*$AF$11)))</f>
        <v>6710.57</v>
      </c>
      <c r="Y46" s="126" t="s">
        <v>751</v>
      </c>
      <c r="Z46" t="str">
        <f t="shared" ca="1" si="13"/>
        <v>RA</v>
      </c>
      <c r="AA46" s="127">
        <f ca="1">IF($C46="S",IF($Z46="CP",$X46,IF($Z46="RA",(($X46)*QCI!$AA$3),0)),SomaAgrup)</f>
        <v>1853.55239715178</v>
      </c>
      <c r="AB46" s="128">
        <f t="shared" ca="1" si="14"/>
        <v>0</v>
      </c>
      <c r="AC46" s="565" t="e"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IF(AND(_xlfn.SINGLE(TIPOORCAMENTO)="Licitado",$AL46=0,$AN46&gt;0),"SEM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#NAME?</v>
      </c>
      <c r="AD46" t="str">
        <f ca="1">IF(C46&lt;=CRONO.NivelExibicao,MAX($AD$15:OFFSET(AD46,-1,0))+IF($C46&lt;&gt;1,1,MAX(1,COUNTIF(QCI!$A$13:$A$24,OFFSET($E46,-1,0)))),"")</f>
        <v/>
      </c>
      <c r="AE46" s="7" t="str">
        <f ca="1">IF(AND($C46="S",ORÇAMENTO.CodBarra&lt;&gt;""),IF(ORÇAMENTO.Fonte="",ORÇAMENTO.CodBarra,CONCATENATE(ORÇAMENTO.Fonte," ",ORÇAMENTO.CodBarra)))</f>
        <v>Cotação COT 03</v>
      </c>
      <c r="AF46" s="12">
        <f ca="1">IF(ISERROR(INDIRECT(ORÇAMENTO.BancoRef)),"(abra o arquivo 'Referência "&amp;Excel_BuiltIn_Database&amp;".xlsm)",IF(OR($C46&lt;&gt;"S",ORÇAMENTO.CodBarra=""),"(Sem Código)",IF(ISERROR(MATCH($AE46,INDIRECT(ORÇAMENTO.BancoRef),0)),"(Código não identificado nas referências)",MATCH($AE46,INDIRECT(ORÇAMENTO.BancoRef),0))))</f>
        <v>31</v>
      </c>
      <c r="AG46" s="428">
        <f ca="1">ROUND(IF(DESONERACAO="sim",REFERENCIA.Desonerado,REFERENCIA.NaoDesonerado),2)</f>
        <v>4.8600000000000003</v>
      </c>
      <c r="AH46" s="429">
        <f t="shared" ca="1" si="15"/>
        <v>0.15</v>
      </c>
      <c r="AJ46" s="431"/>
      <c r="AL46" s="439"/>
      <c r="AM46" s="336">
        <f t="shared" ca="1" si="19"/>
        <v>6710.57</v>
      </c>
      <c r="AN46" s="470">
        <f t="shared" ca="1" si="16"/>
        <v>5.59</v>
      </c>
    </row>
    <row r="47" spans="1:40" ht="26.4" x14ac:dyDescent="0.3">
      <c r="A47" t="str">
        <f t="shared" si="1"/>
        <v>S</v>
      </c>
      <c r="B47">
        <f t="shared" ca="1" si="2"/>
        <v>2</v>
      </c>
      <c r="C47" t="str">
        <f t="shared" ca="1" si="3"/>
        <v>S</v>
      </c>
      <c r="D47">
        <f t="shared" ca="1" si="4"/>
        <v>0</v>
      </c>
      <c r="E47">
        <f ca="1">IF($C47=1,OFFSET(E47,-1,0)+MAX(1,COUNTIF(QCI!$A$13:$A$24,OFFSET(ORÇAMENTO!E47,-1,0))),OFFSET(E47,-1,0))</f>
        <v>1</v>
      </c>
      <c r="F47">
        <f t="shared" ca="1" si="5"/>
        <v>5</v>
      </c>
      <c r="G47">
        <f t="shared" ca="1" si="6"/>
        <v>0</v>
      </c>
      <c r="H47">
        <f t="shared" ca="1" si="7"/>
        <v>0</v>
      </c>
      <c r="I47">
        <f t="shared" ca="1" si="8"/>
        <v>6</v>
      </c>
      <c r="J47">
        <f t="shared" ca="1" si="9"/>
        <v>0</v>
      </c>
      <c r="K47">
        <f ca="1">IF(OR($C47="S",$C47=0),0,MATCH(OFFSET($D47,0,$C47)+IF($C47&lt;&gt;1,1,COUNTIF(QCI!$A$13:$A$24,ORÇAMENTO!E47)),OFFSET($D47,1,$C47,ROW($C$165)-ROW($C47)),0))</f>
        <v>0</v>
      </c>
      <c r="L47" s="114" t="str">
        <f t="shared" ca="1" si="10"/>
        <v>F</v>
      </c>
      <c r="M47" s="115" t="s">
        <v>705</v>
      </c>
      <c r="N47" s="116" t="str">
        <f t="shared" ca="1" si="11"/>
        <v>Serviço</v>
      </c>
      <c r="O47" s="117" t="str">
        <f t="shared" ca="1" si="12"/>
        <v>1.5.6.</v>
      </c>
      <c r="P47" s="118" t="s">
        <v>956</v>
      </c>
      <c r="Q47" s="119" t="s">
        <v>1015</v>
      </c>
      <c r="R47" s="120" t="str">
        <f ca="1">IF($C47="S",REFERENCIA.Descricao,"(digite a descrição aqui)")</f>
        <v>Transporte de material betuminoso com caminhão tanque distribuidor - rodovia pavimentada</v>
      </c>
      <c r="S47" s="121" t="str">
        <f ca="1">REFERENCIA.Unidade</f>
        <v>tkm</v>
      </c>
      <c r="T47" s="122">
        <f ca="1">OFFSET(CÁLCULO!H$15,ROW($T47)-ROW(T$15),0)</f>
        <v>404.56</v>
      </c>
      <c r="U47" s="123">
        <f t="shared" ca="1" si="21"/>
        <v>2.2200000000000002</v>
      </c>
      <c r="V47" s="124" t="s">
        <v>697</v>
      </c>
      <c r="W47" s="122">
        <f ca="1">IF($C47="S",ROUND(IF(TIPOORCAMENTO="Proposto",ORÇAMENTO.CustoUnitario*(1+$AH47),ORÇAMENTO.PrecoUnitarioLicitado),15-13*$AF$10),0)</f>
        <v>2.5499999999999998</v>
      </c>
      <c r="X47" s="125" cm="1">
        <f t="array" aca="1" ref="X47" ca="1">IF($C47="S",IF(OR(Import.TipoArredondamento&lt;&gt;"TransfereGOV",ACOMPANHAMENTO="BM"),VTOTAL1,SUM(OFFSET(CÁLCULO!$AI$15,ROW($X47)-ROW($X$15),1):OFFSET(CÁLCULO!$BB$15,ROW($X47)-ROW($X$15),-1))),IF($C47=0,0,ROUND(SomaAgrup,15-13*$AF$11)))</f>
        <v>1031.6300000000001</v>
      </c>
      <c r="Y47" s="126" t="s">
        <v>751</v>
      </c>
      <c r="Z47" t="str">
        <f t="shared" ca="1" si="13"/>
        <v>RA</v>
      </c>
      <c r="AA47" s="127">
        <f ca="1">IF($C47="S",IF($Z47="CP",$X47,IF($Z47="RA",(($X47)*QCI!$AA$3),0)),SomaAgrup)</f>
        <v>284.95049742029232</v>
      </c>
      <c r="AB47" s="128">
        <f t="shared" ca="1" si="14"/>
        <v>0</v>
      </c>
      <c r="AC47" s="565" t="e"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IF(AND(_xlfn.SINGLE(TIPOORCAMENTO)="Licitado",$AL47=0,$AN47&gt;0),"SEM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#NAME?</v>
      </c>
      <c r="AD47" t="str">
        <f ca="1">IF(C47&lt;=CRONO.NivelExibicao,MAX($AD$15:OFFSET(AD47,-1,0))+IF($C47&lt;&gt;1,1,MAX(1,COUNTIF(QCI!$A$13:$A$24,OFFSET($E47,-1,0)))),"")</f>
        <v/>
      </c>
      <c r="AE47" s="7" t="str">
        <f ca="1">IF(AND($C47="S",ORÇAMENTO.CodBarra&lt;&gt;""),IF(ORÇAMENTO.Fonte="",ORÇAMENTO.CodBarra,CONCATENATE(ORÇAMENTO.Fonte," ",ORÇAMENTO.CodBarra)))</f>
        <v>SICRO 5914622</v>
      </c>
      <c r="AF47" s="12">
        <f ca="1">IF(ISERROR(INDIRECT(ORÇAMENTO.BancoRef)),"(abra o arquivo 'Referência "&amp;Excel_BuiltIn_Database&amp;".xlsm)",IF(OR($C47&lt;&gt;"S",ORÇAMENTO.CodBarra=""),"(Sem Código)",IF(ISERROR(MATCH($AE47,INDIRECT(ORÇAMENTO.BancoRef),0)),"(Código não identificado nas referências)",MATCH($AE47,INDIRECT(ORÇAMENTO.BancoRef),0))))</f>
        <v>21997</v>
      </c>
      <c r="AG47" s="428">
        <f ca="1">ROUND(IF(DESONERACAO="sim",REFERENCIA.Desonerado,REFERENCIA.NaoDesonerado),2)</f>
        <v>2.2200000000000002</v>
      </c>
      <c r="AH47" s="429">
        <f t="shared" ca="1" si="15"/>
        <v>0.15</v>
      </c>
      <c r="AJ47" s="431"/>
      <c r="AL47" s="439"/>
      <c r="AM47" s="336">
        <f t="shared" ca="1" si="19"/>
        <v>1031.6300000000001</v>
      </c>
      <c r="AN47" s="470">
        <f t="shared" ca="1" si="16"/>
        <v>2.5499999999999998</v>
      </c>
    </row>
    <row r="48" spans="1:40" ht="13.8" x14ac:dyDescent="0.3">
      <c r="A48">
        <f t="shared" si="1"/>
        <v>2</v>
      </c>
      <c r="B48">
        <f t="shared" ca="1" si="2"/>
        <v>2</v>
      </c>
      <c r="C48">
        <f t="shared" ca="1" si="3"/>
        <v>2</v>
      </c>
      <c r="D48">
        <f t="shared" ca="1" si="4"/>
        <v>4</v>
      </c>
      <c r="E48">
        <f ca="1">IF($C48=1,OFFSET(E48,-1,0)+MAX(1,COUNTIF(QCI!$A$13:$A$24,OFFSET(ORÇAMENTO!E48,-1,0))),OFFSET(E48,-1,0))</f>
        <v>1</v>
      </c>
      <c r="F48">
        <f t="shared" ca="1" si="5"/>
        <v>6</v>
      </c>
      <c r="G48">
        <f t="shared" ca="1" si="6"/>
        <v>0</v>
      </c>
      <c r="H48">
        <f t="shared" ca="1" si="7"/>
        <v>0</v>
      </c>
      <c r="I48">
        <f t="shared" ca="1" si="8"/>
        <v>0</v>
      </c>
      <c r="J48">
        <f t="shared" ref="J48:J79" ca="1" si="22">IF(OR($C48="S",$C48=0),0,MATCH(0,OFFSET($D48,1,$C48,ROW($C$165)-ROW($C48)),0))</f>
        <v>9</v>
      </c>
      <c r="K48">
        <f ca="1">IF(OR($C48="S",$C48=0),0,MATCH(OFFSET($D48,0,$C48)+IF($C48&lt;&gt;1,1,COUNTIF(QCI!$A$13:$A$24,ORÇAMENTO!E48)),OFFSET($D48,1,$C48,ROW($C$165)-ROW($C48)),0))</f>
        <v>4</v>
      </c>
      <c r="L48" s="114" t="str">
        <f t="shared" ca="1" si="10"/>
        <v>F</v>
      </c>
      <c r="M48" s="115" t="s">
        <v>702</v>
      </c>
      <c r="N48" s="116" t="str">
        <f t="shared" ca="1" si="11"/>
        <v>Nível 2</v>
      </c>
      <c r="O48" s="117" t="str">
        <f t="shared" ca="1" si="12"/>
        <v>1.6.</v>
      </c>
      <c r="P48" s="118" t="s">
        <v>750</v>
      </c>
      <c r="Q48" s="119"/>
      <c r="R48" s="120" t="s">
        <v>1024</v>
      </c>
      <c r="S48" s="121" t="str">
        <f ca="1">REFERENCIA.Unidade</f>
        <v>-</v>
      </c>
      <c r="T48" s="122">
        <f ca="1">OFFSET(CÁLCULO!H$15,ROW($T48)-ROW(T$15),0)</f>
        <v>0</v>
      </c>
      <c r="U48" s="123"/>
      <c r="V48" s="124" t="s">
        <v>663</v>
      </c>
      <c r="W48" s="122">
        <f ca="1">IF($C48="S",ROUND(IF(TIPOORCAMENTO="Proposto",ORÇAMENTO.CustoUnitario*(1+$AH48),ORÇAMENTO.PrecoUnitarioLicitado),15-13*$AF$10),0)</f>
        <v>0</v>
      </c>
      <c r="X48" s="125" cm="1">
        <f t="array" aca="1" ref="X48" ca="1">IF($C48="S",IF(OR(Import.TipoArredondamento&lt;&gt;"TransfereGOV",ACOMPANHAMENTO="BM"),VTOTAL1,SUM(OFFSET(CÁLCULO!$AI$15,ROW($X48)-ROW($X$15),1):OFFSET(CÁLCULO!$BB$15,ROW($X48)-ROW($X$15),-1))),IF($C48=0,0,ROUND(SomaAgrup,15-13*$AF$11)))</f>
        <v>6828.35</v>
      </c>
      <c r="Y48" s="126" t="s">
        <v>751</v>
      </c>
      <c r="Z48" t="str">
        <f t="shared" ca="1" si="13"/>
        <v/>
      </c>
      <c r="AA48" s="127">
        <f ca="1">IF($C48="S",IF($Z48="CP",$X48,IF($Z48="RA",(($X48)*QCI!$AA$3),0)),SomaAgrup)</f>
        <v>1886.0848647866512</v>
      </c>
      <c r="AB48" s="128">
        <f t="shared" ca="1" si="14"/>
        <v>0</v>
      </c>
      <c r="AC48" s="565" t="e"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IF(AND(_xlfn.SINGLE(TIPOORCAMENTO)="Licitado",$AL48=0,$AN48&gt;0),"SEM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#NAME?</v>
      </c>
      <c r="AD48">
        <f ca="1">IF(C48&lt;=CRONO.NivelExibicao,MAX($AD$15:OFFSET(AD48,-1,0))+IF($C48&lt;&gt;1,1,MAX(1,COUNTIF(QCI!$A$13:$A$24,OFFSET($E48,-1,0)))),"")</f>
        <v>7</v>
      </c>
      <c r="AE48" s="7" t="b">
        <f ca="1">IF(AND($C48="S",ORÇAMENTO.CodBarra&lt;&gt;""),IF(ORÇAMENTO.Fonte="",ORÇAMENTO.CodBarra,CONCATENATE(ORÇAMENTO.Fonte," ",ORÇAMENTO.CodBarra)))</f>
        <v>0</v>
      </c>
      <c r="AF48" s="12" t="str">
        <f ca="1">IF(ISERROR(INDIRECT(ORÇAMENTO.BancoRef)),"(abra o arquivo 'Referência "&amp;Excel_BuiltIn_Database&amp;".xlsm)",IF(OR($C48&lt;&gt;"S",ORÇAMENTO.CodBarra=""),"(Sem Código)",IF(ISERROR(MATCH($AE48,INDIRECT(ORÇAMENTO.BancoRef),0)),"(Código não identificado nas referências)",MATCH($AE48,INDIRECT(ORÇAMENTO.BancoRef),0))))</f>
        <v>(Sem Código)</v>
      </c>
      <c r="AG48" s="428">
        <f ca="1">ROUND(IF(DESONERACAO="sim",REFERENCIA.Desonerado,REFERENCIA.NaoDesonerado),2)</f>
        <v>0</v>
      </c>
      <c r="AH48" s="429">
        <f t="shared" ca="1" si="15"/>
        <v>0.2283</v>
      </c>
      <c r="AJ48" s="431"/>
      <c r="AL48" s="439"/>
      <c r="AM48" s="336">
        <f t="shared" ca="1" si="19"/>
        <v>6828.35</v>
      </c>
      <c r="AN48" s="470">
        <f t="shared" ca="1" si="16"/>
        <v>0</v>
      </c>
    </row>
    <row r="49" spans="1:40" ht="39.6" x14ac:dyDescent="0.3">
      <c r="A49" t="str">
        <f t="shared" si="1"/>
        <v>S</v>
      </c>
      <c r="B49">
        <f t="shared" ca="1" si="2"/>
        <v>2</v>
      </c>
      <c r="C49" t="str">
        <f t="shared" ca="1" si="3"/>
        <v>S</v>
      </c>
      <c r="D49">
        <f t="shared" ca="1" si="4"/>
        <v>0</v>
      </c>
      <c r="E49">
        <f ca="1">IF($C49=1,OFFSET(E49,-1,0)+MAX(1,COUNTIF(QCI!$A$13:$A$24,OFFSET(ORÇAMENTO!E49,-1,0))),OFFSET(E49,-1,0))</f>
        <v>1</v>
      </c>
      <c r="F49">
        <f t="shared" ca="1" si="5"/>
        <v>6</v>
      </c>
      <c r="G49">
        <f t="shared" ca="1" si="6"/>
        <v>0</v>
      </c>
      <c r="H49">
        <f t="shared" ca="1" si="7"/>
        <v>0</v>
      </c>
      <c r="I49">
        <f t="shared" ca="1" si="8"/>
        <v>1</v>
      </c>
      <c r="J49">
        <f t="shared" ca="1" si="22"/>
        <v>0</v>
      </c>
      <c r="K49">
        <f ca="1">IF(OR($C49="S",$C49=0),0,MATCH(OFFSET($D49,0,$C49)+IF($C49&lt;&gt;1,1,COUNTIF(QCI!$A$13:$A$24,ORÇAMENTO!E49)),OFFSET($D49,1,$C49,ROW($C$165)-ROW($C49)),0))</f>
        <v>0</v>
      </c>
      <c r="L49" s="114" t="str">
        <f t="shared" ca="1" si="10"/>
        <v>F</v>
      </c>
      <c r="M49" s="115" t="s">
        <v>705</v>
      </c>
      <c r="N49" s="116" t="str">
        <f t="shared" ca="1" si="11"/>
        <v>Serviço</v>
      </c>
      <c r="O49" s="117" t="str">
        <f t="shared" ca="1" si="12"/>
        <v>1.6.1.</v>
      </c>
      <c r="P49" s="118" t="s">
        <v>957</v>
      </c>
      <c r="Q49" s="119" t="s">
        <v>1048</v>
      </c>
      <c r="R49" s="120" t="str">
        <f ca="1">IF($C49="S",REFERENCIA.Descricao,"(digite a descrição aqui)")</f>
        <v>PINTURA DE FAIXA DE PEDESTRE OU ZEBRADA, TINTA RETROREFLETIVA A BASE DE RESINA ACRÍLICA COMMICROESFERAS DE VIDRO, E= 30CM</v>
      </c>
      <c r="S49" s="121" t="str">
        <f ca="1">REFERENCIA.Unidade</f>
        <v>M2</v>
      </c>
      <c r="T49" s="122">
        <f ca="1">OFFSET(CÁLCULO!H$15,ROW($T49)-ROW(T$15),0)</f>
        <v>72.05</v>
      </c>
      <c r="U49" s="123">
        <f ca="1">AG49</f>
        <v>39.51</v>
      </c>
      <c r="V49" s="124" t="s">
        <v>663</v>
      </c>
      <c r="W49" s="122">
        <f ca="1">IF($C49="S",ROUND(IF(TIPOORCAMENTO="Proposto",ORÇAMENTO.CustoUnitario*(1+$AH49),ORÇAMENTO.PrecoUnitarioLicitado),15-13*$AF$10),0)</f>
        <v>48.53</v>
      </c>
      <c r="X49" s="125" cm="1">
        <f t="array" aca="1" ref="X49" ca="1">IF($C49="S",IF(OR(Import.TipoArredondamento&lt;&gt;"TransfereGOV",ACOMPANHAMENTO="BM"),VTOTAL1,SUM(OFFSET(CÁLCULO!$AI$15,ROW($X49)-ROW($X$15),1):OFFSET(CÁLCULO!$BB$15,ROW($X49)-ROW($X$15),-1))),IF($C49=0,0,ROUND(SomaAgrup,15-13*$AF$11)))</f>
        <v>3496.59</v>
      </c>
      <c r="Y49" s="126" t="s">
        <v>751</v>
      </c>
      <c r="Z49" t="str">
        <f t="shared" ca="1" si="13"/>
        <v>RA</v>
      </c>
      <c r="AA49" s="127">
        <f ca="1">IF($C49="S",IF($Z49="CP",$X49,IF($Z49="RA",(($X49)*QCI!$AA$3),0)),SomaAgrup)</f>
        <v>965.80659710828479</v>
      </c>
      <c r="AB49" s="128">
        <f t="shared" ca="1" si="14"/>
        <v>0</v>
      </c>
      <c r="AC49" s="565" t="e"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IF(AND(_xlfn.SINGLE(TIPOORCAMENTO)="Licitado",$AL49=0,$AN49&gt;0),"SEM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#NAME?</v>
      </c>
      <c r="AD49" t="str">
        <f ca="1">IF(C49&lt;=CRONO.NivelExibicao,MAX($AD$15:OFFSET(AD49,-1,0))+IF($C49&lt;&gt;1,1,MAX(1,COUNTIF(QCI!$A$13:$A$24,OFFSET($E49,-1,0)))),"")</f>
        <v/>
      </c>
      <c r="AE49" s="7" t="str">
        <f ca="1">IF(AND($C49="S",ORÇAMENTO.CodBarra&lt;&gt;""),IF(ORÇAMENTO.Fonte="",ORÇAMENTO.CodBarra,CONCATENATE(ORÇAMENTO.Fonte," ",ORÇAMENTO.CodBarra)))</f>
        <v>Composição COMP 24</v>
      </c>
      <c r="AF49" s="12">
        <f ca="1">IF(ISERROR(INDIRECT(ORÇAMENTO.BancoRef)),"(abra o arquivo 'Referência "&amp;Excel_BuiltIn_Database&amp;".xlsm)",IF(OR($C49&lt;&gt;"S",ORÇAMENTO.CodBarra=""),"(Sem Código)",IF(ISERROR(MATCH($AE49,INDIRECT(ORÇAMENTO.BancoRef),0)),"(Código não identificado nas referências)",MATCH($AE49,INDIRECT(ORÇAMENTO.BancoRef),0))))</f>
        <v>26</v>
      </c>
      <c r="AG49" s="428">
        <f ca="1">ROUND(IF(DESONERACAO="sim",REFERENCIA.Desonerado,REFERENCIA.NaoDesonerado),2)</f>
        <v>39.51</v>
      </c>
      <c r="AH49" s="429">
        <f t="shared" ca="1" si="15"/>
        <v>0.2283</v>
      </c>
      <c r="AJ49" s="431"/>
      <c r="AL49" s="439"/>
      <c r="AM49" s="336">
        <f t="shared" ca="1" si="19"/>
        <v>3496.59</v>
      </c>
      <c r="AN49" s="470">
        <f t="shared" ca="1" si="16"/>
        <v>48.53</v>
      </c>
    </row>
    <row r="50" spans="1:40" ht="13.8" x14ac:dyDescent="0.3">
      <c r="A50" t="str">
        <f t="shared" si="1"/>
        <v>S</v>
      </c>
      <c r="B50">
        <f t="shared" ca="1" si="2"/>
        <v>2</v>
      </c>
      <c r="C50" t="str">
        <f t="shared" ca="1" si="3"/>
        <v>S</v>
      </c>
      <c r="D50">
        <f t="shared" ca="1" si="4"/>
        <v>0</v>
      </c>
      <c r="E50">
        <f ca="1">IF($C50=1,OFFSET(E50,-1,0)+MAX(1,COUNTIF(QCI!$A$13:$A$24,OFFSET(ORÇAMENTO!E50,-1,0))),OFFSET(E50,-1,0))</f>
        <v>1</v>
      </c>
      <c r="F50">
        <f t="shared" ca="1" si="5"/>
        <v>6</v>
      </c>
      <c r="G50">
        <f t="shared" ca="1" si="6"/>
        <v>0</v>
      </c>
      <c r="H50">
        <f t="shared" ca="1" si="7"/>
        <v>0</v>
      </c>
      <c r="I50">
        <f t="shared" ca="1" si="8"/>
        <v>2</v>
      </c>
      <c r="J50">
        <f t="shared" ca="1" si="22"/>
        <v>0</v>
      </c>
      <c r="K50">
        <f ca="1">IF(OR($C50="S",$C50=0),0,MATCH(OFFSET($D50,0,$C50)+IF($C50&lt;&gt;1,1,COUNTIF(QCI!$A$13:$A$24,ORÇAMENTO!E50)),OFFSET($D50,1,$C50,ROW($C$165)-ROW($C50)),0))</f>
        <v>0</v>
      </c>
      <c r="L50" s="114" t="str">
        <f t="shared" ca="1" si="10"/>
        <v>F</v>
      </c>
      <c r="M50" s="115" t="s">
        <v>705</v>
      </c>
      <c r="N50" s="116" t="str">
        <f t="shared" ca="1" si="11"/>
        <v>Serviço</v>
      </c>
      <c r="O50" s="117" t="str">
        <f t="shared" ca="1" si="12"/>
        <v>1.6.2.</v>
      </c>
      <c r="P50" s="118" t="s">
        <v>957</v>
      </c>
      <c r="Q50" s="119" t="s">
        <v>1049</v>
      </c>
      <c r="R50" s="120" t="str">
        <f ca="1">IF($C50="S",REFERENCIA.Descricao,"(digite a descrição aqui)")</f>
        <v>PLACA DE REGULAMENTAÇÃO OCTOGONAL LADO 0,25M</v>
      </c>
      <c r="S50" s="121" t="str">
        <f ca="1">REFERENCIA.Unidade</f>
        <v>UN</v>
      </c>
      <c r="T50" s="122">
        <f ca="1">OFFSET(CÁLCULO!H$15,ROW($T50)-ROW(T$15),0)</f>
        <v>1</v>
      </c>
      <c r="U50" s="123">
        <f ca="1">AG50</f>
        <v>734.66</v>
      </c>
      <c r="V50" s="124" t="s">
        <v>663</v>
      </c>
      <c r="W50" s="122">
        <f ca="1">IF($C50="S",ROUND(IF(TIPOORCAMENTO="Proposto",ORÇAMENTO.CustoUnitario*(1+$AH50),ORÇAMENTO.PrecoUnitarioLicitado),15-13*$AF$10),0)</f>
        <v>902.38</v>
      </c>
      <c r="X50" s="125" cm="1">
        <f t="array" aca="1" ref="X50" ca="1">IF($C50="S",IF(OR(Import.TipoArredondamento&lt;&gt;"TransfereGOV",ACOMPANHAMENTO="BM"),VTOTAL1,SUM(OFFSET(CÁLCULO!$AI$15,ROW($X50)-ROW($X$15),1):OFFSET(CÁLCULO!$BB$15,ROW($X50)-ROW($X$15),-1))),IF($C50=0,0,ROUND(SomaAgrup,15-13*$AF$11)))</f>
        <v>902.38</v>
      </c>
      <c r="Y50" s="126" t="s">
        <v>751</v>
      </c>
      <c r="Z50" t="str">
        <f t="shared" ca="1" si="13"/>
        <v>RA</v>
      </c>
      <c r="AA50" s="127">
        <f ca="1">IF($C50="S",IF($Z50="CP",$X50,IF($Z50="RA",(($X50)*QCI!$AA$3),0)),SomaAgrup)</f>
        <v>249.24985688873275</v>
      </c>
      <c r="AB50" s="128">
        <f t="shared" ca="1" si="14"/>
        <v>0</v>
      </c>
      <c r="AC50" s="565" t="e"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IF(AND(_xlfn.SINGLE(TIPOORCAMENTO)="Licitado",$AL50=0,$AN50&gt;0),"SEM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#NAME?</v>
      </c>
      <c r="AD50" t="str">
        <f ca="1">IF(C50&lt;=CRONO.NivelExibicao,MAX($AD$15:OFFSET(AD50,-1,0))+IF($C50&lt;&gt;1,1,MAX(1,COUNTIF(QCI!$A$13:$A$24,OFFSET($E50,-1,0)))),"")</f>
        <v/>
      </c>
      <c r="AE50" s="7" t="str">
        <f ca="1">IF(AND($C50="S",ORÇAMENTO.CodBarra&lt;&gt;""),IF(ORÇAMENTO.Fonte="",ORÇAMENTO.CodBarra,CONCATENATE(ORÇAMENTO.Fonte," ",ORÇAMENTO.CodBarra)))</f>
        <v>Composição COMP 18</v>
      </c>
      <c r="AF50" s="12">
        <f ca="1">IF(ISERROR(INDIRECT(ORÇAMENTO.BancoRef)),"(abra o arquivo 'Referência "&amp;Excel_BuiltIn_Database&amp;".xlsm)",IF(OR($C50&lt;&gt;"S",ORÇAMENTO.CodBarra=""),"(Sem Código)",IF(ISERROR(MATCH($AE50,INDIRECT(ORÇAMENTO.BancoRef),0)),"(Código não identificado nas referências)",MATCH($AE50,INDIRECT(ORÇAMENTO.BancoRef),0))))</f>
        <v>20</v>
      </c>
      <c r="AG50" s="428">
        <f ca="1">ROUND(IF(DESONERACAO="sim",REFERENCIA.Desonerado,REFERENCIA.NaoDesonerado),2)</f>
        <v>734.66</v>
      </c>
      <c r="AH50" s="429">
        <f t="shared" ca="1" si="15"/>
        <v>0.2283</v>
      </c>
      <c r="AJ50" s="431"/>
      <c r="AL50" s="439"/>
      <c r="AM50" s="336">
        <f t="shared" ca="1" si="19"/>
        <v>902.38</v>
      </c>
      <c r="AN50" s="470">
        <f t="shared" ca="1" si="16"/>
        <v>902.38</v>
      </c>
    </row>
    <row r="51" spans="1:40" ht="13.8" x14ac:dyDescent="0.3">
      <c r="A51" t="str">
        <f t="shared" si="1"/>
        <v>S</v>
      </c>
      <c r="B51">
        <f t="shared" ca="1" si="2"/>
        <v>2</v>
      </c>
      <c r="C51" t="str">
        <f t="shared" ca="1" si="3"/>
        <v>S</v>
      </c>
      <c r="D51">
        <f t="shared" ca="1" si="4"/>
        <v>0</v>
      </c>
      <c r="E51">
        <f ca="1">IF($C51=1,OFFSET(E51,-1,0)+MAX(1,COUNTIF(QCI!$A$13:$A$24,OFFSET(ORÇAMENTO!E51,-1,0))),OFFSET(E51,-1,0))</f>
        <v>1</v>
      </c>
      <c r="F51">
        <f t="shared" ca="1" si="5"/>
        <v>6</v>
      </c>
      <c r="G51">
        <f t="shared" ca="1" si="6"/>
        <v>0</v>
      </c>
      <c r="H51">
        <f t="shared" ca="1" si="7"/>
        <v>0</v>
      </c>
      <c r="I51">
        <f t="shared" ca="1" si="8"/>
        <v>3</v>
      </c>
      <c r="J51">
        <f t="shared" ca="1" si="22"/>
        <v>0</v>
      </c>
      <c r="K51">
        <f ca="1">IF(OR($C51="S",$C51=0),0,MATCH(OFFSET($D51,0,$C51)+IF($C51&lt;&gt;1,1,COUNTIF(QCI!$A$13:$A$24,ORÇAMENTO!E51)),OFFSET($D51,1,$C51,ROW($C$165)-ROW($C51)),0))</f>
        <v>0</v>
      </c>
      <c r="L51" s="114" t="str">
        <f t="shared" ca="1" si="10"/>
        <v>F</v>
      </c>
      <c r="M51" s="115" t="s">
        <v>705</v>
      </c>
      <c r="N51" s="116" t="str">
        <f t="shared" ca="1" si="11"/>
        <v>Serviço</v>
      </c>
      <c r="O51" s="117" t="str">
        <f t="shared" ca="1" si="12"/>
        <v>1.6.3.</v>
      </c>
      <c r="P51" s="118" t="s">
        <v>957</v>
      </c>
      <c r="Q51" s="119" t="s">
        <v>1050</v>
      </c>
      <c r="R51" s="120" t="str">
        <f ca="1">IF($C51="S",REFERENCIA.Descricao,"(digite a descrição aqui)")</f>
        <v>PLACA DE ADVERTENCIA RETANGULAR 80X60</v>
      </c>
      <c r="S51" s="121" t="str">
        <f ca="1">REFERENCIA.Unidade</f>
        <v>UN</v>
      </c>
      <c r="T51" s="122">
        <f ca="1">OFFSET(CÁLCULO!H$15,ROW($T51)-ROW(T$15),0)</f>
        <v>2</v>
      </c>
      <c r="U51" s="123">
        <f ca="1">AG51</f>
        <v>988.92</v>
      </c>
      <c r="V51" s="124" t="s">
        <v>663</v>
      </c>
      <c r="W51" s="122">
        <f ca="1">IF($C51="S",ROUND(IF(TIPOORCAMENTO="Proposto",ORÇAMENTO.CustoUnitario*(1+$AH51),ORÇAMENTO.PrecoUnitarioLicitado),15-13*$AF$10),0)</f>
        <v>1214.69</v>
      </c>
      <c r="X51" s="125" cm="1">
        <f t="array" aca="1" ref="X51" ca="1">IF($C51="S",IF(OR(Import.TipoArredondamento&lt;&gt;"TransfereGOV",ACOMPANHAMENTO="BM"),VTOTAL1,SUM(OFFSET(CÁLCULO!$AI$15,ROW($X51)-ROW($X$15),1):OFFSET(CÁLCULO!$BB$15,ROW($X51)-ROW($X$15),-1))),IF($C51=0,0,ROUND(SomaAgrup,15-13*$AF$11)))</f>
        <v>2429.38</v>
      </c>
      <c r="Y51" s="126" t="s">
        <v>751</v>
      </c>
      <c r="Z51" t="str">
        <f t="shared" ca="1" si="13"/>
        <v>RA</v>
      </c>
      <c r="AA51" s="127">
        <f ca="1">IF($C51="S",IF($Z51="CP",$X51,IF($Z51="RA",(($X51)*QCI!$AA$3),0)),SomaAgrup)</f>
        <v>671.02841078963365</v>
      </c>
      <c r="AB51" s="128">
        <f t="shared" ca="1" si="14"/>
        <v>0</v>
      </c>
      <c r="AC51" s="565" t="e"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IF(AND(_xlfn.SINGLE(TIPOORCAMENTO)="Licitado",$AL51=0,$AN51&gt;0),"SEM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#NAME?</v>
      </c>
      <c r="AD51" t="str">
        <f ca="1">IF(C51&lt;=CRONO.NivelExibicao,MAX($AD$15:OFFSET(AD51,-1,0))+IF($C51&lt;&gt;1,1,MAX(1,COUNTIF(QCI!$A$13:$A$24,OFFSET($E51,-1,0)))),"")</f>
        <v/>
      </c>
      <c r="AE51" s="7" t="str">
        <f ca="1">IF(AND($C51="S",ORÇAMENTO.CodBarra&lt;&gt;""),IF(ORÇAMENTO.Fonte="",ORÇAMENTO.CodBarra,CONCATENATE(ORÇAMENTO.Fonte," ",ORÇAMENTO.CodBarra)))</f>
        <v>Composição COMP 17</v>
      </c>
      <c r="AF51" s="12">
        <f ca="1">IF(ISERROR(INDIRECT(ORÇAMENTO.BancoRef)),"(abra o arquivo 'Referência "&amp;Excel_BuiltIn_Database&amp;".xlsm)",IF(OR($C51&lt;&gt;"S",ORÇAMENTO.CodBarra=""),"(Sem Código)",IF(ISERROR(MATCH($AE51,INDIRECT(ORÇAMENTO.BancoRef),0)),"(Código não identificado nas referências)",MATCH($AE51,INDIRECT(ORÇAMENTO.BancoRef),0))))</f>
        <v>19</v>
      </c>
      <c r="AG51" s="428">
        <f ca="1">ROUND(IF(DESONERACAO="sim",REFERENCIA.Desonerado,REFERENCIA.NaoDesonerado),2)</f>
        <v>988.92</v>
      </c>
      <c r="AH51" s="429">
        <f t="shared" ca="1" si="15"/>
        <v>0.2283</v>
      </c>
      <c r="AJ51" s="431"/>
      <c r="AL51" s="439"/>
      <c r="AM51" s="336">
        <f t="shared" ca="1" si="19"/>
        <v>2429.38</v>
      </c>
      <c r="AN51" s="470">
        <f t="shared" ca="1" si="16"/>
        <v>1214.69</v>
      </c>
    </row>
    <row r="52" spans="1:40" ht="13.8" x14ac:dyDescent="0.3">
      <c r="A52">
        <f t="shared" si="1"/>
        <v>2</v>
      </c>
      <c r="B52">
        <f t="shared" ca="1" si="2"/>
        <v>2</v>
      </c>
      <c r="C52">
        <f t="shared" ca="1" si="3"/>
        <v>2</v>
      </c>
      <c r="D52">
        <f t="shared" ca="1" si="4"/>
        <v>5</v>
      </c>
      <c r="E52">
        <f ca="1">IF($C52=1,OFFSET(E52,-1,0)+MAX(1,COUNTIF(QCI!$A$13:$A$24,OFFSET(ORÇAMENTO!E52,-1,0))),OFFSET(E52,-1,0))</f>
        <v>1</v>
      </c>
      <c r="F52">
        <f t="shared" ca="1" si="5"/>
        <v>7</v>
      </c>
      <c r="G52">
        <f t="shared" ca="1" si="6"/>
        <v>0</v>
      </c>
      <c r="H52">
        <f t="shared" ca="1" si="7"/>
        <v>0</v>
      </c>
      <c r="I52">
        <f t="shared" ca="1" si="8"/>
        <v>0</v>
      </c>
      <c r="J52">
        <f t="shared" ca="1" si="22"/>
        <v>5</v>
      </c>
      <c r="K52" t="e">
        <f ca="1">IF(OR($C52="S",$C52=0),0,MATCH(OFFSET($D52,0,$C52)+IF($C52&lt;&gt;1,1,COUNTIF(QCI!$A$13:$A$24,ORÇAMENTO!E52)),OFFSET($D52,1,$C52,ROW($C$165)-ROW($C52)),0))</f>
        <v>#N/A</v>
      </c>
      <c r="L52" s="114" t="str">
        <f t="shared" ca="1" si="10"/>
        <v>F</v>
      </c>
      <c r="M52" s="115" t="s">
        <v>702</v>
      </c>
      <c r="N52" s="116" t="str">
        <f t="shared" ca="1" si="11"/>
        <v>Nível 2</v>
      </c>
      <c r="O52" s="117" t="str">
        <f t="shared" ca="1" si="12"/>
        <v>1.7.</v>
      </c>
      <c r="P52" s="118" t="s">
        <v>750</v>
      </c>
      <c r="Q52" s="119"/>
      <c r="R52" s="120" t="s">
        <v>1025</v>
      </c>
      <c r="S52" s="121" t="str">
        <f ca="1">REFERENCIA.Unidade</f>
        <v>-</v>
      </c>
      <c r="T52" s="122">
        <f ca="1">OFFSET(CÁLCULO!H$15,ROW($T52)-ROW(T$15),0)</f>
        <v>0</v>
      </c>
      <c r="U52" s="123"/>
      <c r="V52" s="124" t="s">
        <v>663</v>
      </c>
      <c r="W52" s="122">
        <f ca="1">IF($C52="S",ROUND(IF(TIPOORCAMENTO="Proposto",ORÇAMENTO.CustoUnitario*(1+$AH52),ORÇAMENTO.PrecoUnitarioLicitado),15-13*$AF$10),0)</f>
        <v>0</v>
      </c>
      <c r="X52" s="125" cm="1">
        <f t="array" aca="1" ref="X52" ca="1">IF($C52="S",IF(OR(Import.TipoArredondamento&lt;&gt;"TransfereGOV",ACOMPANHAMENTO="BM"),VTOTAL1,SUM(OFFSET(CÁLCULO!$AI$15,ROW($X52)-ROW($X$15),1):OFFSET(CÁLCULO!$BB$15,ROW($X52)-ROW($X$15),-1))),IF($C52=0,0,ROUND(SomaAgrup,15-13*$AF$11)))</f>
        <v>1131.9100000000001</v>
      </c>
      <c r="Y52" s="126" t="s">
        <v>751</v>
      </c>
      <c r="Z52" t="str">
        <f t="shared" ca="1" si="13"/>
        <v/>
      </c>
      <c r="AA52" s="127">
        <f ca="1">IF($C52="S",IF($Z52="CP",$X52,IF($Z52="RA",(($X52)*QCI!$AA$3),0)),SomaAgrup)</f>
        <v>312.64922262342412</v>
      </c>
      <c r="AB52" s="128">
        <f t="shared" ca="1" si="14"/>
        <v>0</v>
      </c>
      <c r="AC52" s="565" t="e"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IF(AND(_xlfn.SINGLE(TIPOORCAMENTO)="Licitado",$AL52=0,$AN52&gt;0),"SEM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#NAME?</v>
      </c>
      <c r="AD52">
        <f ca="1">IF(C52&lt;=CRONO.NivelExibicao,MAX($AD$15:OFFSET(AD52,-1,0))+IF($C52&lt;&gt;1,1,MAX(1,COUNTIF(QCI!$A$13:$A$24,OFFSET($E52,-1,0)))),"")</f>
        <v>8</v>
      </c>
      <c r="AE52" s="7" t="b">
        <f ca="1">IF(AND($C52="S",ORÇAMENTO.CodBarra&lt;&gt;""),IF(ORÇAMENTO.Fonte="",ORÇAMENTO.CodBarra,CONCATENATE(ORÇAMENTO.Fonte," ",ORÇAMENTO.CodBarra)))</f>
        <v>0</v>
      </c>
      <c r="AF52" s="12" t="str">
        <f ca="1">IF(ISERROR(INDIRECT(ORÇAMENTO.BancoRef)),"(abra o arquivo 'Referência "&amp;Excel_BuiltIn_Database&amp;".xlsm)",IF(OR($C52&lt;&gt;"S",ORÇAMENTO.CodBarra=""),"(Sem Código)",IF(ISERROR(MATCH($AE52,INDIRECT(ORÇAMENTO.BancoRef),0)),"(Código não identificado nas referências)",MATCH($AE52,INDIRECT(ORÇAMENTO.BancoRef),0))))</f>
        <v>(Sem Código)</v>
      </c>
      <c r="AG52" s="428">
        <f ca="1">ROUND(IF(DESONERACAO="sim",REFERENCIA.Desonerado,REFERENCIA.NaoDesonerado),2)</f>
        <v>0</v>
      </c>
      <c r="AH52" s="429">
        <f t="shared" ca="1" si="15"/>
        <v>0.2283</v>
      </c>
      <c r="AJ52" s="431"/>
      <c r="AL52" s="439"/>
      <c r="AM52" s="336">
        <f t="shared" ca="1" si="19"/>
        <v>1131.9100000000001</v>
      </c>
      <c r="AN52" s="470">
        <f t="shared" ca="1" si="16"/>
        <v>0</v>
      </c>
    </row>
    <row r="53" spans="1:40" ht="26.4" x14ac:dyDescent="0.3">
      <c r="A53" t="str">
        <f t="shared" si="1"/>
        <v>S</v>
      </c>
      <c r="B53">
        <f t="shared" ca="1" si="2"/>
        <v>2</v>
      </c>
      <c r="C53" t="str">
        <f t="shared" ca="1" si="3"/>
        <v>S</v>
      </c>
      <c r="D53">
        <f t="shared" ca="1" si="4"/>
        <v>0</v>
      </c>
      <c r="E53">
        <f ca="1">IF($C53=1,OFFSET(E53,-1,0)+MAX(1,COUNTIF(QCI!$A$13:$A$24,OFFSET(ORÇAMENTO!E53,-1,0))),OFFSET(E53,-1,0))</f>
        <v>1</v>
      </c>
      <c r="F53">
        <f t="shared" ca="1" si="5"/>
        <v>7</v>
      </c>
      <c r="G53">
        <f t="shared" ca="1" si="6"/>
        <v>0</v>
      </c>
      <c r="H53">
        <f t="shared" ca="1" si="7"/>
        <v>0</v>
      </c>
      <c r="I53">
        <f t="shared" ca="1" si="8"/>
        <v>1</v>
      </c>
      <c r="J53">
        <f t="shared" ca="1" si="22"/>
        <v>0</v>
      </c>
      <c r="K53">
        <f ca="1">IF(OR($C53="S",$C53=0),0,MATCH(OFFSET($D53,0,$C53)+IF($C53&lt;&gt;1,1,COUNTIF(QCI!$A$13:$A$24,ORÇAMENTO!E53)),OFFSET($D53,1,$C53,ROW($C$165)-ROW($C53)),0))</f>
        <v>0</v>
      </c>
      <c r="L53" s="114" t="str">
        <f t="shared" ca="1" si="10"/>
        <v>F</v>
      </c>
      <c r="M53" s="115" t="s">
        <v>705</v>
      </c>
      <c r="N53" s="116" t="str">
        <f t="shared" ca="1" si="11"/>
        <v>Serviço</v>
      </c>
      <c r="O53" s="117" t="str">
        <f t="shared" ca="1" si="12"/>
        <v>1.7.1.</v>
      </c>
      <c r="P53" s="118" t="s">
        <v>957</v>
      </c>
      <c r="Q53" s="119" t="s">
        <v>1027</v>
      </c>
      <c r="R53" s="120" t="str">
        <f ca="1">IF($C53="S",REFERENCIA.Descricao,"(digite a descrição aqui)")</f>
        <v>ENSAIO DE DETERMINAÇÃO DO TEOR DE BETUME - SOXHLET - CIMENTO ASFALTICO DE PETROLEO</v>
      </c>
      <c r="S53" s="121" t="str">
        <f ca="1">REFERENCIA.Unidade</f>
        <v>UN</v>
      </c>
      <c r="T53" s="122">
        <f ca="1">OFFSET(CÁLCULO!H$15,ROW($T53)-ROW(T$15),0)</f>
        <v>1</v>
      </c>
      <c r="U53" s="123">
        <f ca="1">AG53</f>
        <v>212.32</v>
      </c>
      <c r="V53" s="124" t="s">
        <v>663</v>
      </c>
      <c r="W53" s="122">
        <f ca="1">IF($C53="S",ROUND(IF(TIPOORCAMENTO="Proposto",ORÇAMENTO.CustoUnitario*(1+$AH53),ORÇAMENTO.PrecoUnitarioLicitado),15-13*$AF$10),0)</f>
        <v>260.79000000000002</v>
      </c>
      <c r="X53" s="125" cm="1">
        <f t="array" aca="1" ref="X53" ca="1">IF($C53="S",IF(OR(Import.TipoArredondamento&lt;&gt;"TransfereGOV",ACOMPANHAMENTO="BM"),VTOTAL1,SUM(OFFSET(CÁLCULO!$AI$15,ROW($X53)-ROW($X$15),1):OFFSET(CÁLCULO!$BB$15,ROW($X53)-ROW($X$15),-1))),IF($C53=0,0,ROUND(SomaAgrup,15-13*$AF$11)))</f>
        <v>260.79000000000002</v>
      </c>
      <c r="Y53" s="126" t="s">
        <v>751</v>
      </c>
      <c r="Z53" t="str">
        <f t="shared" ca="1" si="13"/>
        <v>RA</v>
      </c>
      <c r="AA53" s="127">
        <f ca="1">IF($C53="S",IF($Z53="CP",$X53,IF($Z53="RA",(($X53)*QCI!$AA$3),0)),SomaAgrup)</f>
        <v>72.033810787043834</v>
      </c>
      <c r="AB53" s="128">
        <f t="shared" ca="1" si="14"/>
        <v>0</v>
      </c>
      <c r="AC53" s="565" t="e"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IF(AND(_xlfn.SINGLE(TIPOORCAMENTO)="Licitado",$AL53=0,$AN53&gt;0),"SEM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#NAME?</v>
      </c>
      <c r="AD53" t="str">
        <f ca="1">IF(C53&lt;=CRONO.NivelExibicao,MAX($AD$15:OFFSET(AD53,-1,0))+IF($C53&lt;&gt;1,1,MAX(1,COUNTIF(QCI!$A$13:$A$24,OFFSET($E53,-1,0)))),"")</f>
        <v/>
      </c>
      <c r="AE53" s="7" t="str">
        <f ca="1">IF(AND($C53="S",ORÇAMENTO.CodBarra&lt;&gt;""),IF(ORÇAMENTO.Fonte="",ORÇAMENTO.CodBarra,CONCATENATE(ORÇAMENTO.Fonte," ",ORÇAMENTO.CodBarra)))</f>
        <v>Composição COMP 07</v>
      </c>
      <c r="AF53" s="12">
        <f ca="1">IF(ISERROR(INDIRECT(ORÇAMENTO.BancoRef)),"(abra o arquivo 'Referência "&amp;Excel_BuiltIn_Database&amp;".xlsm)",IF(OR($C53&lt;&gt;"S",ORÇAMENTO.CodBarra=""),"(Sem Código)",IF(ISERROR(MATCH($AE53,INDIRECT(ORÇAMENTO.BancoRef),0)),"(Código não identificado nas referências)",MATCH($AE53,INDIRECT(ORÇAMENTO.BancoRef),0))))</f>
        <v>9</v>
      </c>
      <c r="AG53" s="428">
        <f ca="1">ROUND(IF(DESONERACAO="sim",REFERENCIA.Desonerado,REFERENCIA.NaoDesonerado),2)</f>
        <v>212.32</v>
      </c>
      <c r="AH53" s="429">
        <f t="shared" ca="1" si="15"/>
        <v>0.2283</v>
      </c>
      <c r="AJ53" s="431"/>
      <c r="AL53" s="439"/>
      <c r="AM53" s="336">
        <f t="shared" ca="1" si="19"/>
        <v>260.79000000000002</v>
      </c>
      <c r="AN53" s="470">
        <f t="shared" ca="1" si="16"/>
        <v>260.79000000000002</v>
      </c>
    </row>
    <row r="54" spans="1:40" ht="13.8" x14ac:dyDescent="0.3">
      <c r="A54" t="str">
        <f t="shared" si="1"/>
        <v>S</v>
      </c>
      <c r="B54">
        <f t="shared" ca="1" si="2"/>
        <v>2</v>
      </c>
      <c r="C54" t="str">
        <f t="shared" ca="1" si="3"/>
        <v>S</v>
      </c>
      <c r="D54">
        <f t="shared" ca="1" si="4"/>
        <v>0</v>
      </c>
      <c r="E54">
        <f ca="1">IF($C54=1,OFFSET(E54,-1,0)+MAX(1,COUNTIF(QCI!$A$13:$A$24,OFFSET(ORÇAMENTO!E54,-1,0))),OFFSET(E54,-1,0))</f>
        <v>1</v>
      </c>
      <c r="F54">
        <f t="shared" ca="1" si="5"/>
        <v>7</v>
      </c>
      <c r="G54">
        <f t="shared" ca="1" si="6"/>
        <v>0</v>
      </c>
      <c r="H54">
        <f t="shared" ca="1" si="7"/>
        <v>0</v>
      </c>
      <c r="I54">
        <f t="shared" ca="1" si="8"/>
        <v>2</v>
      </c>
      <c r="J54">
        <f t="shared" ca="1" si="22"/>
        <v>0</v>
      </c>
      <c r="K54">
        <f ca="1">IF(OR($C54="S",$C54=0),0,MATCH(OFFSET($D54,0,$C54)+IF($C54&lt;&gt;1,1,COUNTIF(QCI!$A$13:$A$24,ORÇAMENTO!E54)),OFFSET($D54,1,$C54,ROW($C$165)-ROW($C54)),0))</f>
        <v>0</v>
      </c>
      <c r="L54" s="114" t="str">
        <f t="shared" ca="1" si="10"/>
        <v>F</v>
      </c>
      <c r="M54" s="115" t="s">
        <v>705</v>
      </c>
      <c r="N54" s="116" t="str">
        <f t="shared" ca="1" si="11"/>
        <v>Serviço</v>
      </c>
      <c r="O54" s="117" t="str">
        <f t="shared" ca="1" si="12"/>
        <v>1.7.2.</v>
      </c>
      <c r="P54" s="118" t="s">
        <v>957</v>
      </c>
      <c r="Q54" s="119" t="s">
        <v>1028</v>
      </c>
      <c r="R54" s="120" t="str">
        <f ca="1">IF($C54="S",REFERENCIA.Descricao,"(digite a descrição aqui)")</f>
        <v xml:space="preserve">ENSAIO MARSHALL - MISTURA BETUMINOSA À QUENTE </v>
      </c>
      <c r="S54" s="121" t="str">
        <f ca="1">REFERENCIA.Unidade</f>
        <v>UN</v>
      </c>
      <c r="T54" s="122">
        <f ca="1">OFFSET(CÁLCULO!H$15,ROW($T54)-ROW(T$15),0)</f>
        <v>1</v>
      </c>
      <c r="U54" s="123">
        <f ca="1">AG54</f>
        <v>424.66</v>
      </c>
      <c r="V54" s="124" t="s">
        <v>663</v>
      </c>
      <c r="W54" s="122">
        <f ca="1">IF($C54="S",ROUND(IF(TIPOORCAMENTO="Proposto",ORÇAMENTO.CustoUnitario*(1+$AH54),ORÇAMENTO.PrecoUnitarioLicitado),15-13*$AF$10),0)</f>
        <v>521.61</v>
      </c>
      <c r="X54" s="125" cm="1">
        <f t="array" aca="1" ref="X54" ca="1">IF($C54="S",IF(OR(Import.TipoArredondamento&lt;&gt;"TransfereGOV",ACOMPANHAMENTO="BM"),VTOTAL1,SUM(OFFSET(CÁLCULO!$AI$15,ROW($X54)-ROW($X$15),1):OFFSET(CÁLCULO!$BB$15,ROW($X54)-ROW($X$15),-1))),IF($C54=0,0,ROUND(SomaAgrup,15-13*$AF$11)))</f>
        <v>521.61</v>
      </c>
      <c r="Y54" s="126" t="s">
        <v>751</v>
      </c>
      <c r="Z54" t="str">
        <f t="shared" ca="1" si="13"/>
        <v>RA</v>
      </c>
      <c r="AA54" s="127">
        <f ca="1">IF($C54="S",IF($Z54="CP",$X54,IF($Z54="RA",(($X54)*QCI!$AA$3),0)),SomaAgrup)</f>
        <v>144.07590798968494</v>
      </c>
      <c r="AB54" s="128">
        <f t="shared" ca="1" si="14"/>
        <v>0</v>
      </c>
      <c r="AC54" s="565" t="e"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IF(AND(_xlfn.SINGLE(TIPOORCAMENTO)="Licitado",$AL54=0,$AN54&gt;0),"SEM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#NAME?</v>
      </c>
      <c r="AD54" t="str">
        <f ca="1">IF(C54&lt;=CRONO.NivelExibicao,MAX($AD$15:OFFSET(AD54,-1,0))+IF($C54&lt;&gt;1,1,MAX(1,COUNTIF(QCI!$A$13:$A$24,OFFSET($E54,-1,0)))),"")</f>
        <v/>
      </c>
      <c r="AE54" s="7" t="str">
        <f ca="1">IF(AND($C54="S",ORÇAMENTO.CodBarra&lt;&gt;""),IF(ORÇAMENTO.Fonte="",ORÇAMENTO.CodBarra,CONCATENATE(ORÇAMENTO.Fonte," ",ORÇAMENTO.CodBarra)))</f>
        <v>Composição COMP 08</v>
      </c>
      <c r="AF54" s="12">
        <f ca="1">IF(ISERROR(INDIRECT(ORÇAMENTO.BancoRef)),"(abra o arquivo 'Referência "&amp;Excel_BuiltIn_Database&amp;".xlsm)",IF(OR($C54&lt;&gt;"S",ORÇAMENTO.CodBarra=""),"(Sem Código)",IF(ISERROR(MATCH($AE54,INDIRECT(ORÇAMENTO.BancoRef),0)),"(Código não identificado nas referências)",MATCH($AE54,INDIRECT(ORÇAMENTO.BancoRef),0))))</f>
        <v>10</v>
      </c>
      <c r="AG54" s="428">
        <f ca="1">ROUND(IF(DESONERACAO="sim",REFERENCIA.Desonerado,REFERENCIA.NaoDesonerado),2)</f>
        <v>424.66</v>
      </c>
      <c r="AH54" s="429">
        <f t="shared" ca="1" si="15"/>
        <v>0.2283</v>
      </c>
      <c r="AJ54" s="431"/>
      <c r="AL54" s="439"/>
      <c r="AM54" s="336">
        <f t="shared" ca="1" si="19"/>
        <v>521.61</v>
      </c>
      <c r="AN54" s="470">
        <f t="shared" ca="1" si="16"/>
        <v>521.61</v>
      </c>
    </row>
    <row r="55" spans="1:40" ht="39.6" x14ac:dyDescent="0.3">
      <c r="A55" t="str">
        <f t="shared" si="1"/>
        <v>S</v>
      </c>
      <c r="B55">
        <f t="shared" ca="1" si="2"/>
        <v>2</v>
      </c>
      <c r="C55" t="str">
        <f t="shared" ca="1" si="3"/>
        <v>S</v>
      </c>
      <c r="D55">
        <f t="shared" ca="1" si="4"/>
        <v>0</v>
      </c>
      <c r="E55">
        <f ca="1">IF($C55=1,OFFSET(E55,-1,0)+MAX(1,COUNTIF(QCI!$A$13:$A$24,OFFSET(ORÇAMENTO!E55,-1,0))),OFFSET(E55,-1,0))</f>
        <v>1</v>
      </c>
      <c r="F55">
        <f t="shared" ca="1" si="5"/>
        <v>7</v>
      </c>
      <c r="G55">
        <f t="shared" ca="1" si="6"/>
        <v>0</v>
      </c>
      <c r="H55">
        <f t="shared" ca="1" si="7"/>
        <v>0</v>
      </c>
      <c r="I55">
        <f t="shared" ca="1" si="8"/>
        <v>3</v>
      </c>
      <c r="J55">
        <f t="shared" ca="1" si="22"/>
        <v>0</v>
      </c>
      <c r="K55">
        <f ca="1">IF(OR($C55="S",$C55=0),0,MATCH(OFFSET($D55,0,$C55)+IF($C55&lt;&gt;1,1,COUNTIF(QCI!$A$13:$A$24,ORÇAMENTO!E55)),OFFSET($D55,1,$C55,ROW($C$165)-ROW($C55)),0))</f>
        <v>0</v>
      </c>
      <c r="L55" s="114" t="str">
        <f t="shared" ca="1" si="10"/>
        <v>F</v>
      </c>
      <c r="M55" s="115" t="s">
        <v>705</v>
      </c>
      <c r="N55" s="116" t="str">
        <f t="shared" ca="1" si="11"/>
        <v>Serviço</v>
      </c>
      <c r="O55" s="117" t="str">
        <f t="shared" ca="1" si="12"/>
        <v>1.7.3.</v>
      </c>
      <c r="P55" s="118" t="s">
        <v>957</v>
      </c>
      <c r="Q55" s="119" t="s">
        <v>1029</v>
      </c>
      <c r="R55" s="120" t="str">
        <f ca="1">IF($C55="S",REFERENCIA.Descricao,"(digite a descrição aqui)")</f>
        <v xml:space="preserve">ENSAIO DE CONTROLE DO GRAU DE COMPACTAÇÃO, DENSIDADE E ESPESSURA DA MASSA ASFÁLTICA COM COLETA ATRAVÉS DE SONDA ROTATIVA </v>
      </c>
      <c r="S55" s="121" t="str">
        <f ca="1">REFERENCIA.Unidade</f>
        <v>UN</v>
      </c>
      <c r="T55" s="122">
        <f ca="1">OFFSET(CÁLCULO!H$15,ROW($T55)-ROW(T$15),0)</f>
        <v>1</v>
      </c>
      <c r="U55" s="123">
        <f ca="1">AG55</f>
        <v>111.32</v>
      </c>
      <c r="V55" s="124" t="s">
        <v>663</v>
      </c>
      <c r="W55" s="122">
        <f ca="1">IF($C55="S",ROUND(IF(TIPOORCAMENTO="Proposto",ORÇAMENTO.CustoUnitario*(1+$AH55),ORÇAMENTO.PrecoUnitarioLicitado),15-13*$AF$10),0)</f>
        <v>136.72999999999999</v>
      </c>
      <c r="X55" s="125" cm="1">
        <f t="array" aca="1" ref="X55" ca="1">IF($C55="S",IF(OR(Import.TipoArredondamento&lt;&gt;"TransfereGOV",ACOMPANHAMENTO="BM"),VTOTAL1,SUM(OFFSET(CÁLCULO!$AI$15,ROW($X55)-ROW($X$15),1):OFFSET(CÁLCULO!$BB$15,ROW($X55)-ROW($X$15),-1))),IF($C55=0,0,ROUND(SomaAgrup,15-13*$AF$11)))</f>
        <v>136.72999999999999</v>
      </c>
      <c r="Y55" s="126" t="s">
        <v>751</v>
      </c>
      <c r="Z55" t="str">
        <f t="shared" ca="1" si="13"/>
        <v>RA</v>
      </c>
      <c r="AA55" s="127">
        <f ca="1">IF($C55="S",IF($Z55="CP",$X55,IF($Z55="RA",(($X55)*QCI!$AA$3),0)),SomaAgrup)</f>
        <v>37.766720153811505</v>
      </c>
      <c r="AB55" s="128">
        <f t="shared" ca="1" si="14"/>
        <v>0</v>
      </c>
      <c r="AC55" s="565" t="e"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IF(AND(_xlfn.SINGLE(TIPOORCAMENTO)="Licitado",$AL55=0,$AN55&gt;0),"SEM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#NAME?</v>
      </c>
      <c r="AD55" t="str">
        <f ca="1">IF(C55&lt;=CRONO.NivelExibicao,MAX($AD$15:OFFSET(AD55,-1,0))+IF($C55&lt;&gt;1,1,MAX(1,COUNTIF(QCI!$A$13:$A$24,OFFSET($E55,-1,0)))),"")</f>
        <v/>
      </c>
      <c r="AE55" s="7" t="str">
        <f ca="1">IF(AND($C55="S",ORÇAMENTO.CodBarra&lt;&gt;""),IF(ORÇAMENTO.Fonte="",ORÇAMENTO.CodBarra,CONCATENATE(ORÇAMENTO.Fonte," ",ORÇAMENTO.CodBarra)))</f>
        <v>Composição COMP 09</v>
      </c>
      <c r="AF55" s="12">
        <f ca="1">IF(ISERROR(INDIRECT(ORÇAMENTO.BancoRef)),"(abra o arquivo 'Referência "&amp;Excel_BuiltIn_Database&amp;".xlsm)",IF(OR($C55&lt;&gt;"S",ORÇAMENTO.CodBarra=""),"(Sem Código)",IF(ISERROR(MATCH($AE55,INDIRECT(ORÇAMENTO.BancoRef),0)),"(Código não identificado nas referências)",MATCH($AE55,INDIRECT(ORÇAMENTO.BancoRef),0))))</f>
        <v>11</v>
      </c>
      <c r="AG55" s="428">
        <f ca="1">ROUND(IF(DESONERACAO="sim",REFERENCIA.Desonerado,REFERENCIA.NaoDesonerado),2)</f>
        <v>111.32</v>
      </c>
      <c r="AH55" s="429">
        <f t="shared" ca="1" si="15"/>
        <v>0.2283</v>
      </c>
      <c r="AJ55" s="431"/>
      <c r="AL55" s="439"/>
      <c r="AM55" s="336">
        <f t="shared" ca="1" si="19"/>
        <v>136.72999999999999</v>
      </c>
      <c r="AN55" s="470">
        <f t="shared" ca="1" si="16"/>
        <v>136.72999999999999</v>
      </c>
    </row>
    <row r="56" spans="1:40" ht="13.8" x14ac:dyDescent="0.3">
      <c r="A56" t="str">
        <f t="shared" si="1"/>
        <v>S</v>
      </c>
      <c r="B56">
        <f t="shared" ca="1" si="2"/>
        <v>2</v>
      </c>
      <c r="C56" t="str">
        <f t="shared" ca="1" si="3"/>
        <v>S</v>
      </c>
      <c r="D56">
        <f t="shared" ca="1" si="4"/>
        <v>0</v>
      </c>
      <c r="E56">
        <f ca="1">IF($C56=1,OFFSET(E56,-1,0)+MAX(1,COUNTIF(QCI!$A$13:$A$24,OFFSET(ORÇAMENTO!E56,-1,0))),OFFSET(E56,-1,0))</f>
        <v>1</v>
      </c>
      <c r="F56">
        <f t="shared" ca="1" si="5"/>
        <v>7</v>
      </c>
      <c r="G56">
        <f t="shared" ca="1" si="6"/>
        <v>0</v>
      </c>
      <c r="H56">
        <f t="shared" ca="1" si="7"/>
        <v>0</v>
      </c>
      <c r="I56">
        <f t="shared" ca="1" si="8"/>
        <v>4</v>
      </c>
      <c r="J56">
        <f t="shared" ca="1" si="22"/>
        <v>0</v>
      </c>
      <c r="K56">
        <f ca="1">IF(OR($C56="S",$C56=0),0,MATCH(OFFSET($D56,0,$C56)+IF($C56&lt;&gt;1,1,COUNTIF(QCI!$A$13:$A$24,ORÇAMENTO!E56)),OFFSET($D56,1,$C56,ROW($C$165)-ROW($C56)),0))</f>
        <v>0</v>
      </c>
      <c r="L56" s="114" t="str">
        <f t="shared" ca="1" si="10"/>
        <v>F</v>
      </c>
      <c r="M56" s="115" t="s">
        <v>705</v>
      </c>
      <c r="N56" s="116" t="str">
        <f t="shared" ca="1" si="11"/>
        <v>Serviço</v>
      </c>
      <c r="O56" s="117" t="str">
        <f t="shared" ca="1" si="12"/>
        <v>1.7.4.</v>
      </c>
      <c r="P56" s="118" t="s">
        <v>957</v>
      </c>
      <c r="Q56" s="119" t="s">
        <v>1031</v>
      </c>
      <c r="R56" s="120" t="str">
        <f ca="1">IF($C56="S",REFERENCIA.Descricao,"(digite a descrição aqui)")</f>
        <v xml:space="preserve">ENSAIO BANDEJA DO LIGANTE DE PINTURA </v>
      </c>
      <c r="S56" s="121" t="str">
        <f ca="1">REFERENCIA.Unidade</f>
        <v>UN</v>
      </c>
      <c r="T56" s="122">
        <f ca="1">OFFSET(CÁLCULO!H$15,ROW($T56)-ROW(T$15),0)</f>
        <v>1</v>
      </c>
      <c r="U56" s="123">
        <f ca="1">AG56</f>
        <v>173.23</v>
      </c>
      <c r="V56" s="124" t="s">
        <v>663</v>
      </c>
      <c r="W56" s="122">
        <f ca="1">IF($C56="S",ROUND(IF(TIPOORCAMENTO="Proposto",ORÇAMENTO.CustoUnitario*(1+$AH56),ORÇAMENTO.PrecoUnitarioLicitado),15-13*$AF$10),0)</f>
        <v>212.78</v>
      </c>
      <c r="X56" s="125" cm="1">
        <f t="array" aca="1" ref="X56" ca="1">IF($C56="S",IF(OR(Import.TipoArredondamento&lt;&gt;"TransfereGOV",ACOMPANHAMENTO="BM"),VTOTAL1,SUM(OFFSET(CÁLCULO!$AI$15,ROW($X56)-ROW($X$15),1):OFFSET(CÁLCULO!$BB$15,ROW($X56)-ROW($X$15),-1))),IF($C56=0,0,ROUND(SomaAgrup,15-13*$AF$11)))</f>
        <v>212.78</v>
      </c>
      <c r="Y56" s="126" t="s">
        <v>751</v>
      </c>
      <c r="Z56" t="str">
        <f t="shared" ca="1" si="13"/>
        <v>RA</v>
      </c>
      <c r="AA56" s="127">
        <f ca="1">IF($C56="S",IF($Z56="CP",$X56,IF($Z56="RA",(($X56)*QCI!$AA$3),0)),SomaAgrup)</f>
        <v>58.772783692883877</v>
      </c>
      <c r="AB56" s="128">
        <f t="shared" ca="1" si="14"/>
        <v>0</v>
      </c>
      <c r="AC56" s="565" t="e"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IF(AND(_xlfn.SINGLE(TIPOORCAMENTO)="Licitado",$AL56=0,$AN56&gt;0),"SEM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#NAME?</v>
      </c>
      <c r="AD56" t="str">
        <f ca="1">IF(C56&lt;=CRONO.NivelExibicao,MAX($AD$15:OFFSET(AD56,-1,0))+IF($C56&lt;&gt;1,1,MAX(1,COUNTIF(QCI!$A$13:$A$24,OFFSET($E56,-1,0)))),"")</f>
        <v/>
      </c>
      <c r="AE56" s="7" t="str">
        <f ca="1">IF(AND($C56="S",ORÇAMENTO.CodBarra&lt;&gt;""),IF(ORÇAMENTO.Fonte="",ORÇAMENTO.CodBarra,CONCATENATE(ORÇAMENTO.Fonte," ",ORÇAMENTO.CodBarra)))</f>
        <v>Composição COMP 10</v>
      </c>
      <c r="AF56" s="12">
        <f ca="1">IF(ISERROR(INDIRECT(ORÇAMENTO.BancoRef)),"(abra o arquivo 'Referência "&amp;Excel_BuiltIn_Database&amp;".xlsm)",IF(OR($C56&lt;&gt;"S",ORÇAMENTO.CodBarra=""),"(Sem Código)",IF(ISERROR(MATCH($AE56,INDIRECT(ORÇAMENTO.BancoRef),0)),"(Código não identificado nas referências)",MATCH($AE56,INDIRECT(ORÇAMENTO.BancoRef),0))))</f>
        <v>12</v>
      </c>
      <c r="AG56" s="428">
        <f ca="1">ROUND(IF(DESONERACAO="sim",REFERENCIA.Desonerado,REFERENCIA.NaoDesonerado),2)</f>
        <v>173.23</v>
      </c>
      <c r="AH56" s="429">
        <f t="shared" ca="1" si="15"/>
        <v>0.2283</v>
      </c>
      <c r="AJ56" s="431"/>
      <c r="AL56" s="439"/>
      <c r="AM56" s="336">
        <f t="shared" ca="1" si="19"/>
        <v>212.78</v>
      </c>
      <c r="AN56" s="470">
        <f t="shared" ca="1" si="16"/>
        <v>212.78</v>
      </c>
    </row>
    <row r="57" spans="1:40" ht="26.4" x14ac:dyDescent="0.3">
      <c r="A57">
        <f t="shared" si="1"/>
        <v>1</v>
      </c>
      <c r="B57">
        <f t="shared" ca="1" si="2"/>
        <v>1</v>
      </c>
      <c r="C57">
        <f t="shared" ca="1" si="3"/>
        <v>1</v>
      </c>
      <c r="D57">
        <f t="shared" ca="1" si="4"/>
        <v>36</v>
      </c>
      <c r="E57">
        <f ca="1">IF($C57=1,OFFSET(E57,-1,0)+MAX(1,COUNTIF(QCI!$A$13:$A$24,OFFSET(ORÇAMENTO!E57,-1,0))),OFFSET(E57,-1,0))</f>
        <v>2</v>
      </c>
      <c r="F57">
        <f t="shared" ca="1" si="5"/>
        <v>0</v>
      </c>
      <c r="G57">
        <f t="shared" ca="1" si="6"/>
        <v>0</v>
      </c>
      <c r="H57">
        <f t="shared" ca="1" si="7"/>
        <v>0</v>
      </c>
      <c r="I57">
        <f t="shared" ca="1" si="8"/>
        <v>0</v>
      </c>
      <c r="J57">
        <f t="shared" ca="1" si="22"/>
        <v>108</v>
      </c>
      <c r="K57">
        <f ca="1">IF(OR($C57="S",$C57=0),0,MATCH(OFFSET($D57,0,$C57)+IF($C57&lt;&gt;1,1,COUNTIF(QCI!$A$13:$A$24,ORÇAMENTO!E57)),OFFSET($D57,1,$C57,ROW($C$165)-ROW($C57)),0))</f>
        <v>36</v>
      </c>
      <c r="L57" s="114" t="str">
        <f t="shared" ca="1" si="10"/>
        <v>F</v>
      </c>
      <c r="M57" s="115" t="s">
        <v>701</v>
      </c>
      <c r="N57" s="116" t="str">
        <f t="shared" ca="1" si="11"/>
        <v>Meta</v>
      </c>
      <c r="O57" s="117" t="str">
        <f t="shared" ca="1" si="12"/>
        <v>2.</v>
      </c>
      <c r="P57" s="118" t="s">
        <v>750</v>
      </c>
      <c r="Q57" s="119"/>
      <c r="R57" s="120" t="s">
        <v>1051</v>
      </c>
      <c r="S57" s="121" t="str">
        <f ca="1">REFERENCIA.Unidade</f>
        <v>-</v>
      </c>
      <c r="T57" s="122">
        <f ca="1">OFFSET(CÁLCULO!H$15,ROW($T57)-ROW(T$15),0)</f>
        <v>0</v>
      </c>
      <c r="U57" s="123"/>
      <c r="V57" s="124" t="s">
        <v>663</v>
      </c>
      <c r="W57" s="122">
        <f ca="1">IF($C57="S",ROUND(IF(TIPOORCAMENTO="Proposto",ORÇAMENTO.CustoUnitario*(1+$AH57),ORÇAMENTO.PrecoUnitarioLicitado),15-13*$AF$10),0)</f>
        <v>0</v>
      </c>
      <c r="X57" s="125" cm="1">
        <f t="array" aca="1" ref="X57" ca="1">IF($C57="S",IF(OR(Import.TipoArredondamento&lt;&gt;"TransfereGOV",ACOMPANHAMENTO="BM"),VTOTAL1,SUM(OFFSET(CÁLCULO!$AI$15,ROW($X57)-ROW($X$15),1):OFFSET(CÁLCULO!$BB$15,ROW($X57)-ROW($X$15),-1))),IF($C57=0,0,ROUND(SomaAgrup,15-13*$AF$11)))</f>
        <v>138878</v>
      </c>
      <c r="Y57" s="126" t="s">
        <v>751</v>
      </c>
      <c r="Z57" t="str">
        <f t="shared" ca="1" si="13"/>
        <v/>
      </c>
      <c r="AA57" s="127">
        <f ca="1">IF($C57="S",IF($Z57="CP",$X57,IF($Z57="RA",(($X57)*QCI!$AA$3),0)),SomaAgrup)</f>
        <v>38360.027510575819</v>
      </c>
      <c r="AB57" s="128">
        <f t="shared" ca="1" si="14"/>
        <v>0</v>
      </c>
      <c r="AC57" s="565" t="e"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IF(AND(_xlfn.SINGLE(TIPOORCAMENTO)="Licitado",$AL57=0,$AN57&gt;0),"SEM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#NAME?</v>
      </c>
      <c r="AD57">
        <f ca="1">IF(C57&lt;=CRONO.NivelExibicao,MAX($AD$15:OFFSET(AD57,-1,0))+IF($C57&lt;&gt;1,1,MAX(1,COUNTIF(QCI!$A$13:$A$24,OFFSET($E57,-1,0)))),"")</f>
        <v>9</v>
      </c>
      <c r="AE57" s="7" t="b">
        <f ca="1">IF(AND($C57="S",ORÇAMENTO.CodBarra&lt;&gt;""),IF(ORÇAMENTO.Fonte="",ORÇAMENTO.CodBarra,CONCATENATE(ORÇAMENTO.Fonte," ",ORÇAMENTO.CodBarra)))</f>
        <v>0</v>
      </c>
      <c r="AF57" s="12" t="str">
        <f ca="1">IF(ISERROR(INDIRECT(ORÇAMENTO.BancoRef)),"(abra o arquivo 'Referência "&amp;Excel_BuiltIn_Database&amp;".xlsm)",IF(OR($C57&lt;&gt;"S",ORÇAMENTO.CodBarra=""),"(Sem Código)",IF(ISERROR(MATCH($AE57,INDIRECT(ORÇAMENTO.BancoRef),0)),"(Código não identificado nas referências)",MATCH($AE57,INDIRECT(ORÇAMENTO.BancoRef),0))))</f>
        <v>(Sem Código)</v>
      </c>
      <c r="AG57" s="428">
        <f ca="1">ROUND(IF(DESONERACAO="sim",REFERENCIA.Desonerado,REFERENCIA.NaoDesonerado),2)</f>
        <v>0</v>
      </c>
      <c r="AH57" s="429">
        <f t="shared" ca="1" si="15"/>
        <v>0.2283</v>
      </c>
      <c r="AJ57" s="431"/>
      <c r="AL57" s="439"/>
      <c r="AM57" s="336">
        <f t="shared" ca="1" si="19"/>
        <v>138878</v>
      </c>
      <c r="AN57" s="470">
        <f t="shared" ca="1" si="16"/>
        <v>0</v>
      </c>
    </row>
    <row r="58" spans="1:40" ht="13.8" x14ac:dyDescent="0.3">
      <c r="A58" t="str">
        <f t="shared" si="1"/>
        <v>S</v>
      </c>
      <c r="B58">
        <f t="shared" ca="1" si="2"/>
        <v>2</v>
      </c>
      <c r="C58">
        <f t="shared" ca="1" si="3"/>
        <v>2</v>
      </c>
      <c r="D58">
        <f t="shared" ca="1" si="4"/>
        <v>2</v>
      </c>
      <c r="E58">
        <f ca="1">IF($C58=1,OFFSET(E58,-1,0)+MAX(1,COUNTIF(QCI!$A$13:$A$24,OFFSET(ORÇAMENTO!E58,-1,0))),OFFSET(E58,-1,0))</f>
        <v>2</v>
      </c>
      <c r="F58">
        <f t="shared" ca="1" si="5"/>
        <v>1</v>
      </c>
      <c r="G58">
        <f t="shared" ca="1" si="6"/>
        <v>0</v>
      </c>
      <c r="H58">
        <f t="shared" ca="1" si="7"/>
        <v>0</v>
      </c>
      <c r="I58">
        <f t="shared" ca="1" si="8"/>
        <v>0</v>
      </c>
      <c r="J58">
        <f t="shared" ca="1" si="22"/>
        <v>35</v>
      </c>
      <c r="K58">
        <f ca="1">IF(OR($C58="S",$C58=0),0,MATCH(OFFSET($D58,0,$C58)+IF($C58&lt;&gt;1,1,COUNTIF(QCI!$A$13:$A$24,ORÇAMENTO!E58)),OFFSET($D58,1,$C58,ROW($C$165)-ROW($C58)),0))</f>
        <v>2</v>
      </c>
      <c r="L58" s="114" t="str">
        <f t="shared" ca="1" si="10"/>
        <v>F</v>
      </c>
      <c r="M58" s="115" t="s">
        <v>705</v>
      </c>
      <c r="N58" s="116" t="str">
        <f t="shared" ca="1" si="11"/>
        <v>Nível 2</v>
      </c>
      <c r="O58" s="117" t="str">
        <f t="shared" ca="1" si="12"/>
        <v>2.1.</v>
      </c>
      <c r="P58" s="118" t="s">
        <v>750</v>
      </c>
      <c r="Q58" s="119"/>
      <c r="R58" s="120" t="s">
        <v>1007</v>
      </c>
      <c r="S58" s="121" t="str">
        <f ca="1">REFERENCIA.Unidade</f>
        <v>-</v>
      </c>
      <c r="T58" s="122">
        <f ca="1">OFFSET(CÁLCULO!H$15,ROW($T58)-ROW(T$15),0)</f>
        <v>0</v>
      </c>
      <c r="U58" s="123"/>
      <c r="V58" s="124" t="s">
        <v>663</v>
      </c>
      <c r="W58" s="122">
        <f ca="1">IF($C58="S",ROUND(IF(TIPOORCAMENTO="Proposto",ORÇAMENTO.CustoUnitario*(1+$AH58),ORÇAMENTO.PrecoUnitarioLicitado),15-13*$AF$10),0)</f>
        <v>0</v>
      </c>
      <c r="X58" s="125" cm="1">
        <f t="array" aca="1" ref="X58" ca="1">IF($C58="S",IF(OR(Import.TipoArredondamento&lt;&gt;"TransfereGOV",ACOMPANHAMENTO="BM"),VTOTAL1,SUM(OFFSET(CÁLCULO!$AI$15,ROW($X58)-ROW($X$15),1):OFFSET(CÁLCULO!$BB$15,ROW($X58)-ROW($X$15),-1))),IF($C58=0,0,ROUND(SomaAgrup,15-13*$AF$11)))</f>
        <v>4693.45</v>
      </c>
      <c r="Y58" s="126" t="s">
        <v>751</v>
      </c>
      <c r="Z58" t="str">
        <f t="shared" ca="1" si="13"/>
        <v/>
      </c>
      <c r="AA58" s="127">
        <f ca="1">IF($C58="S",IF($Z58="CP",$X58,IF($Z58="RA",(($X58)*QCI!$AA$3),0)),SomaAgrup)</f>
        <v>1296.3959094997924</v>
      </c>
      <c r="AB58" s="128">
        <f t="shared" ca="1" si="14"/>
        <v>0</v>
      </c>
      <c r="AC58" s="565" t="e"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IF(AND(_xlfn.SINGLE(TIPOORCAMENTO)="Licitado",$AL58=0,$AN58&gt;0),"SEM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#NAME?</v>
      </c>
      <c r="AD58">
        <f ca="1">IF(C58&lt;=CRONO.NivelExibicao,MAX($AD$15:OFFSET(AD58,-1,0))+IF($C58&lt;&gt;1,1,MAX(1,COUNTIF(QCI!$A$13:$A$24,OFFSET($E58,-1,0)))),"")</f>
        <v>10</v>
      </c>
      <c r="AE58" s="7" t="b">
        <f ca="1">IF(AND($C58="S",ORÇAMENTO.CodBarra&lt;&gt;""),IF(ORÇAMENTO.Fonte="",ORÇAMENTO.CodBarra,CONCATENATE(ORÇAMENTO.Fonte," ",ORÇAMENTO.CodBarra)))</f>
        <v>0</v>
      </c>
      <c r="AF58" s="12" t="str">
        <f ca="1">IF(ISERROR(INDIRECT(ORÇAMENTO.BancoRef)),"(abra o arquivo 'Referência "&amp;Excel_BuiltIn_Database&amp;".xlsm)",IF(OR($C58&lt;&gt;"S",ORÇAMENTO.CodBarra=""),"(Sem Código)",IF(ISERROR(MATCH($AE58,INDIRECT(ORÇAMENTO.BancoRef),0)),"(Código não identificado nas referências)",MATCH($AE58,INDIRECT(ORÇAMENTO.BancoRef),0))))</f>
        <v>(Sem Código)</v>
      </c>
      <c r="AG58" s="428">
        <f ca="1">ROUND(IF(DESONERACAO="sim",REFERENCIA.Desonerado,REFERENCIA.NaoDesonerado),2)</f>
        <v>0</v>
      </c>
      <c r="AH58" s="429">
        <f t="shared" ca="1" si="15"/>
        <v>0.2283</v>
      </c>
      <c r="AJ58" s="431"/>
      <c r="AL58" s="439"/>
      <c r="AM58" s="336">
        <f t="shared" ca="1" si="19"/>
        <v>4693.45</v>
      </c>
      <c r="AN58" s="470">
        <f t="shared" ca="1" si="16"/>
        <v>0</v>
      </c>
    </row>
    <row r="59" spans="1:40" ht="26.4" x14ac:dyDescent="0.3">
      <c r="A59" t="str">
        <f t="shared" si="1"/>
        <v>S</v>
      </c>
      <c r="B59">
        <f t="shared" ca="1" si="2"/>
        <v>2</v>
      </c>
      <c r="C59" t="str">
        <f t="shared" ca="1" si="3"/>
        <v>S</v>
      </c>
      <c r="D59">
        <f t="shared" ca="1" si="4"/>
        <v>0</v>
      </c>
      <c r="E59">
        <f ca="1">IF($C59=1,OFFSET(E59,-1,0)+MAX(1,COUNTIF(QCI!$A$13:$A$24,OFFSET(ORÇAMENTO!E59,-1,0))),OFFSET(E59,-1,0))</f>
        <v>2</v>
      </c>
      <c r="F59">
        <f t="shared" ca="1" si="5"/>
        <v>1</v>
      </c>
      <c r="G59">
        <f t="shared" ca="1" si="6"/>
        <v>0</v>
      </c>
      <c r="H59">
        <f t="shared" ca="1" si="7"/>
        <v>0</v>
      </c>
      <c r="I59">
        <f t="shared" ca="1" si="8"/>
        <v>1</v>
      </c>
      <c r="J59">
        <f t="shared" ca="1" si="22"/>
        <v>0</v>
      </c>
      <c r="K59">
        <f ca="1">IF(OR($C59="S",$C59=0),0,MATCH(OFFSET($D59,0,$C59)+IF($C59&lt;&gt;1,1,COUNTIF(QCI!$A$13:$A$24,ORÇAMENTO!E59)),OFFSET($D59,1,$C59,ROW($C$165)-ROW($C59)),0))</f>
        <v>0</v>
      </c>
      <c r="L59" s="114" t="str">
        <f t="shared" ca="1" si="10"/>
        <v>F</v>
      </c>
      <c r="M59" s="115" t="s">
        <v>705</v>
      </c>
      <c r="N59" s="116" t="str">
        <f t="shared" ca="1" si="11"/>
        <v>Serviço</v>
      </c>
      <c r="O59" s="117" t="str">
        <f t="shared" ca="1" si="12"/>
        <v>2.1.1.</v>
      </c>
      <c r="P59" s="118" t="s">
        <v>957</v>
      </c>
      <c r="Q59" s="119" t="s">
        <v>1052</v>
      </c>
      <c r="R59" s="120" t="str">
        <f ca="1">IF($C59="S",REFERENCIA.Descricao,"(digite a descrição aqui)")</f>
        <v xml:space="preserve">LIMPEZA DE VEGETAÇÃO COM VASSOURA MECANICA E LIMPEZA COM JATO DE ALTA PRESSÃO </v>
      </c>
      <c r="S59" s="121" t="str">
        <f ca="1">REFERENCIA.Unidade</f>
        <v>M2</v>
      </c>
      <c r="T59" s="122">
        <f ca="1">OFFSET(CÁLCULO!H$15,ROW($T59)-ROW(T$15),0)</f>
        <v>1265.08</v>
      </c>
      <c r="U59" s="123">
        <f ca="1">AG59</f>
        <v>3.02</v>
      </c>
      <c r="V59" s="124" t="s">
        <v>663</v>
      </c>
      <c r="W59" s="122">
        <f ca="1">IF($C59="S",ROUND(IF(TIPOORCAMENTO="Proposto",ORÇAMENTO.CustoUnitario*(1+$AH59),ORÇAMENTO.PrecoUnitarioLicitado),15-13*$AF$10),0)</f>
        <v>3.71</v>
      </c>
      <c r="X59" s="125" cm="1">
        <f t="array" aca="1" ref="X59" ca="1">IF($C59="S",IF(OR(Import.TipoArredondamento&lt;&gt;"TransfereGOV",ACOMPANHAMENTO="BM"),VTOTAL1,SUM(OFFSET(CÁLCULO!$AI$15,ROW($X59)-ROW($X$15),1):OFFSET(CÁLCULO!$BB$15,ROW($X59)-ROW($X$15),-1))),IF($C59=0,0,ROUND(SomaAgrup,15-13*$AF$11)))</f>
        <v>4693.45</v>
      </c>
      <c r="Y59" s="126" t="s">
        <v>751</v>
      </c>
      <c r="Z59" t="str">
        <f t="shared" ca="1" si="13"/>
        <v>RA</v>
      </c>
      <c r="AA59" s="127">
        <f ca="1">IF($C59="S",IF($Z59="CP",$X59,IF($Z59="RA",(($X59)*QCI!$AA$3),0)),SomaAgrup)</f>
        <v>1296.3959094997924</v>
      </c>
      <c r="AB59" s="128">
        <f t="shared" ca="1" si="14"/>
        <v>0</v>
      </c>
      <c r="AC59" s="565" t="e"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IF(AND(_xlfn.SINGLE(TIPOORCAMENTO)="Licitado",$AL59=0,$AN59&gt;0),"SEM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#NAME?</v>
      </c>
      <c r="AD59" t="str">
        <f ca="1">IF(C59&lt;=CRONO.NivelExibicao,MAX($AD$15:OFFSET(AD59,-1,0))+IF($C59&lt;&gt;1,1,MAX(1,COUNTIF(QCI!$A$13:$A$24,OFFSET($E59,-1,0)))),"")</f>
        <v/>
      </c>
      <c r="AE59" s="7" t="str">
        <f ca="1">IF(AND($C59="S",ORÇAMENTO.CodBarra&lt;&gt;""),IF(ORÇAMENTO.Fonte="",ORÇAMENTO.CodBarra,CONCATENATE(ORÇAMENTO.Fonte," ",ORÇAMENTO.CodBarra)))</f>
        <v>Composição COMP 13</v>
      </c>
      <c r="AF59" s="12">
        <f ca="1">IF(ISERROR(INDIRECT(ORÇAMENTO.BancoRef)),"(abra o arquivo 'Referência "&amp;Excel_BuiltIn_Database&amp;".xlsm)",IF(OR($C59&lt;&gt;"S",ORÇAMENTO.CodBarra=""),"(Sem Código)",IF(ISERROR(MATCH($AE59,INDIRECT(ORÇAMENTO.BancoRef),0)),"(Código não identificado nas referências)",MATCH($AE59,INDIRECT(ORÇAMENTO.BancoRef),0))))</f>
        <v>15</v>
      </c>
      <c r="AG59" s="428">
        <f ca="1">ROUND(IF(DESONERACAO="sim",REFERENCIA.Desonerado,REFERENCIA.NaoDesonerado),2)</f>
        <v>3.02</v>
      </c>
      <c r="AH59" s="429">
        <f t="shared" ca="1" si="15"/>
        <v>0.2283</v>
      </c>
      <c r="AJ59" s="431"/>
      <c r="AL59" s="439"/>
      <c r="AM59" s="336">
        <f t="shared" ca="1" si="19"/>
        <v>4693.45</v>
      </c>
      <c r="AN59" s="470">
        <f t="shared" ca="1" si="16"/>
        <v>3.71</v>
      </c>
    </row>
    <row r="60" spans="1:40" ht="13.8" x14ac:dyDescent="0.3">
      <c r="A60">
        <f t="shared" si="1"/>
        <v>2</v>
      </c>
      <c r="B60">
        <f t="shared" ca="1" si="2"/>
        <v>2</v>
      </c>
      <c r="C60">
        <f t="shared" ca="1" si="3"/>
        <v>2</v>
      </c>
      <c r="D60">
        <f t="shared" ca="1" si="4"/>
        <v>6</v>
      </c>
      <c r="E60">
        <f ca="1">IF($C60=1,OFFSET(E60,-1,0)+MAX(1,COUNTIF(QCI!$A$13:$A$24,OFFSET(ORÇAMENTO!E60,-1,0))),OFFSET(E60,-1,0))</f>
        <v>2</v>
      </c>
      <c r="F60">
        <f t="shared" ca="1" si="5"/>
        <v>2</v>
      </c>
      <c r="G60">
        <f t="shared" ca="1" si="6"/>
        <v>0</v>
      </c>
      <c r="H60">
        <f t="shared" ca="1" si="7"/>
        <v>0</v>
      </c>
      <c r="I60">
        <f t="shared" ca="1" si="8"/>
        <v>0</v>
      </c>
      <c r="J60">
        <f t="shared" ca="1" si="22"/>
        <v>33</v>
      </c>
      <c r="K60">
        <f ca="1">IF(OR($C60="S",$C60=0),0,MATCH(OFFSET($D60,0,$C60)+IF($C60&lt;&gt;1,1,COUNTIF(QCI!$A$13:$A$24,ORÇAMENTO!E60)),OFFSET($D60,1,$C60,ROW($C$165)-ROW($C60)),0))</f>
        <v>6</v>
      </c>
      <c r="L60" s="114" t="str">
        <f t="shared" ca="1" si="10"/>
        <v>F</v>
      </c>
      <c r="M60" s="115" t="s">
        <v>702</v>
      </c>
      <c r="N60" s="116" t="str">
        <f t="shared" ca="1" si="11"/>
        <v>Nível 2</v>
      </c>
      <c r="O60" s="117" t="str">
        <f t="shared" ca="1" si="12"/>
        <v>2.2.</v>
      </c>
      <c r="P60" s="118" t="s">
        <v>750</v>
      </c>
      <c r="Q60" s="119"/>
      <c r="R60" s="120" t="s">
        <v>1005</v>
      </c>
      <c r="S60" s="121" t="str">
        <f ca="1">REFERENCIA.Unidade</f>
        <v>-</v>
      </c>
      <c r="T60" s="122">
        <f ca="1">OFFSET(CÁLCULO!H$15,ROW($T60)-ROW(T$15),0)</f>
        <v>0</v>
      </c>
      <c r="U60" s="123"/>
      <c r="V60" s="124" t="s">
        <v>663</v>
      </c>
      <c r="W60" s="122">
        <f ca="1">IF($C60="S",ROUND(IF(TIPOORCAMENTO="Proposto",ORÇAMENTO.CustoUnitario*(1+$AH60),ORÇAMENTO.PrecoUnitarioLicitado),15-13*$AF$10),0)</f>
        <v>0</v>
      </c>
      <c r="X60" s="125" cm="1">
        <f t="array" aca="1" ref="X60" ca="1">IF($C60="S",IF(OR(Import.TipoArredondamento&lt;&gt;"TransfereGOV",ACOMPANHAMENTO="BM"),VTOTAL1,SUM(OFFSET(CÁLCULO!$AI$15,ROW($X60)-ROW($X$15),1):OFFSET(CÁLCULO!$BB$15,ROW($X60)-ROW($X$15),-1))),IF($C60=0,0,ROUND(SomaAgrup,15-13*$AF$11)))</f>
        <v>25925.55</v>
      </c>
      <c r="Y60" s="126" t="s">
        <v>751</v>
      </c>
      <c r="Z60" t="str">
        <f t="shared" ca="1" si="13"/>
        <v/>
      </c>
      <c r="AA60" s="127">
        <f ca="1">IF($C60="S",IF($Z60="CP",$X60,IF($Z60="RA",(($X60)*QCI!$AA$3),0)),SomaAgrup)</f>
        <v>7160.9960629243615</v>
      </c>
      <c r="AB60" s="128">
        <f t="shared" ca="1" si="14"/>
        <v>0</v>
      </c>
      <c r="AC60" s="565" t="e"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IF(AND(_xlfn.SINGLE(TIPOORCAMENTO)="Licitado",$AL60=0,$AN60&gt;0),"SEM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#NAME?</v>
      </c>
      <c r="AD60">
        <f ca="1">IF(C60&lt;=CRONO.NivelExibicao,MAX($AD$15:OFFSET(AD60,-1,0))+IF($C60&lt;&gt;1,1,MAX(1,COUNTIF(QCI!$A$13:$A$24,OFFSET($E60,-1,0)))),"")</f>
        <v>11</v>
      </c>
      <c r="AE60" s="7" t="b">
        <f ca="1">IF(AND($C60="S",ORÇAMENTO.CodBarra&lt;&gt;""),IF(ORÇAMENTO.Fonte="",ORÇAMENTO.CodBarra,CONCATENATE(ORÇAMENTO.Fonte," ",ORÇAMENTO.CodBarra)))</f>
        <v>0</v>
      </c>
      <c r="AF60" s="12" t="str">
        <f ca="1">IF(ISERROR(INDIRECT(ORÇAMENTO.BancoRef)),"(abra o arquivo 'Referência "&amp;Excel_BuiltIn_Database&amp;".xlsm)",IF(OR($C60&lt;&gt;"S",ORÇAMENTO.CodBarra=""),"(Sem Código)",IF(ISERROR(MATCH($AE60,INDIRECT(ORÇAMENTO.BancoRef),0)),"(Código não identificado nas referências)",MATCH($AE60,INDIRECT(ORÇAMENTO.BancoRef),0))))</f>
        <v>(Sem Código)</v>
      </c>
      <c r="AG60" s="428">
        <f ca="1">ROUND(IF(DESONERACAO="sim",REFERENCIA.Desonerado,REFERENCIA.NaoDesonerado),2)</f>
        <v>0</v>
      </c>
      <c r="AH60" s="429">
        <f t="shared" ca="1" si="15"/>
        <v>0.2283</v>
      </c>
      <c r="AJ60" s="431"/>
      <c r="AL60" s="439"/>
      <c r="AM60" s="336">
        <f t="shared" ca="1" si="19"/>
        <v>25925.55</v>
      </c>
      <c r="AN60" s="470">
        <f t="shared" ca="1" si="16"/>
        <v>0</v>
      </c>
    </row>
    <row r="61" spans="1:40" ht="13.8" x14ac:dyDescent="0.3">
      <c r="A61" t="str">
        <f t="shared" si="1"/>
        <v>S</v>
      </c>
      <c r="B61">
        <f t="shared" ca="1" si="2"/>
        <v>2</v>
      </c>
      <c r="C61" t="str">
        <f t="shared" ca="1" si="3"/>
        <v>S</v>
      </c>
      <c r="D61">
        <f t="shared" ca="1" si="4"/>
        <v>0</v>
      </c>
      <c r="E61">
        <f ca="1">IF($C61=1,OFFSET(E61,-1,0)+MAX(1,COUNTIF(QCI!$A$13:$A$24,OFFSET(ORÇAMENTO!E61,-1,0))),OFFSET(E61,-1,0))</f>
        <v>2</v>
      </c>
      <c r="F61">
        <f t="shared" ca="1" si="5"/>
        <v>2</v>
      </c>
      <c r="G61">
        <f t="shared" ca="1" si="6"/>
        <v>0</v>
      </c>
      <c r="H61">
        <f t="shared" ca="1" si="7"/>
        <v>0</v>
      </c>
      <c r="I61">
        <f t="shared" ca="1" si="8"/>
        <v>1</v>
      </c>
      <c r="J61">
        <f t="shared" ca="1" si="22"/>
        <v>0</v>
      </c>
      <c r="K61">
        <f ca="1">IF(OR($C61="S",$C61=0),0,MATCH(OFFSET($D61,0,$C61)+IF($C61&lt;&gt;1,1,COUNTIF(QCI!$A$13:$A$24,ORÇAMENTO!E61)),OFFSET($D61,1,$C61,ROW($C$165)-ROW($C61)),0))</f>
        <v>0</v>
      </c>
      <c r="L61" s="114" t="str">
        <f t="shared" ca="1" si="10"/>
        <v>F</v>
      </c>
      <c r="M61" s="115" t="s">
        <v>705</v>
      </c>
      <c r="N61" s="116" t="str">
        <f t="shared" ca="1" si="11"/>
        <v>Serviço</v>
      </c>
      <c r="O61" s="117" t="str">
        <f t="shared" ca="1" si="12"/>
        <v>2.2.1.</v>
      </c>
      <c r="P61" s="118" t="s">
        <v>956</v>
      </c>
      <c r="Q61" s="119" t="s">
        <v>1006</v>
      </c>
      <c r="R61" s="120" t="str">
        <f ca="1">IF($C61="S",REFERENCIA.Descricao,"(digite a descrição aqui)")</f>
        <v>Escavação mecânica com retroescavadeira em material de 1ª categoria</v>
      </c>
      <c r="S61" s="121" t="str">
        <f ca="1">REFERENCIA.Unidade</f>
        <v>m³</v>
      </c>
      <c r="T61" s="122">
        <f ca="1">OFFSET(CÁLCULO!H$15,ROW($T61)-ROW(T$15),0)</f>
        <v>34.4</v>
      </c>
      <c r="U61" s="123">
        <f ca="1">AG61</f>
        <v>7.38</v>
      </c>
      <c r="V61" s="124" t="s">
        <v>663</v>
      </c>
      <c r="W61" s="122">
        <f ca="1">IF($C61="S",ROUND(IF(TIPOORCAMENTO="Proposto",ORÇAMENTO.CustoUnitario*(1+$AH61),ORÇAMENTO.PrecoUnitarioLicitado),15-13*$AF$10),0)</f>
        <v>9.06</v>
      </c>
      <c r="X61" s="125" cm="1">
        <f t="array" aca="1" ref="X61" ca="1">IF($C61="S",IF(OR(Import.TipoArredondamento&lt;&gt;"TransfereGOV",ACOMPANHAMENTO="BM"),VTOTAL1,SUM(OFFSET(CÁLCULO!$AI$15,ROW($X61)-ROW($X$15),1):OFFSET(CÁLCULO!$BB$15,ROW($X61)-ROW($X$15),-1))),IF($C61=0,0,ROUND(SomaAgrup,15-13*$AF$11)))</f>
        <v>311.66000000000003</v>
      </c>
      <c r="Y61" s="126" t="s">
        <v>751</v>
      </c>
      <c r="Z61" t="str">
        <f t="shared" ca="1" si="13"/>
        <v>RA</v>
      </c>
      <c r="AA61" s="127">
        <f ca="1">IF($C61="S",IF($Z61="CP",$X61,IF($Z61="RA",(($X61)*QCI!$AA$3),0)),SomaAgrup)</f>
        <v>86.084809501476599</v>
      </c>
      <c r="AB61" s="128">
        <f t="shared" ca="1" si="14"/>
        <v>0</v>
      </c>
      <c r="AC61" s="565" t="e"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IF(AND(_xlfn.SINGLE(TIPOORCAMENTO)="Licitado",$AL61=0,$AN61&gt;0),"SEM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#NAME?</v>
      </c>
      <c r="AD61" t="str">
        <f ca="1">IF(C61&lt;=CRONO.NivelExibicao,MAX($AD$15:OFFSET(AD61,-1,0))+IF($C61&lt;&gt;1,1,MAX(1,COUNTIF(QCI!$A$13:$A$24,OFFSET($E61,-1,0)))),"")</f>
        <v/>
      </c>
      <c r="AE61" s="7" t="str">
        <f ca="1">IF(AND($C61="S",ORÇAMENTO.CodBarra&lt;&gt;""),IF(ORÇAMENTO.Fonte="",ORÇAMENTO.CodBarra,CONCATENATE(ORÇAMENTO.Fonte," ",ORÇAMENTO.CodBarra)))</f>
        <v>SICRO 5501706</v>
      </c>
      <c r="AF61" s="12">
        <f ca="1">IF(ISERROR(INDIRECT(ORÇAMENTO.BancoRef)),"(abra o arquivo 'Referência "&amp;Excel_BuiltIn_Database&amp;".xlsm)",IF(OR($C61&lt;&gt;"S",ORÇAMENTO.CodBarra=""),"(Sem Código)",IF(ISERROR(MATCH($AE61,INDIRECT(ORÇAMENTO.BancoRef),0)),"(Código não identificado nas referências)",MATCH($AE61,INDIRECT(ORÇAMENTO.BancoRef),0))))</f>
        <v>21440</v>
      </c>
      <c r="AG61" s="428">
        <f ca="1">ROUND(IF(DESONERACAO="sim",REFERENCIA.Desonerado,REFERENCIA.NaoDesonerado),2)</f>
        <v>7.38</v>
      </c>
      <c r="AH61" s="429">
        <f t="shared" ca="1" si="15"/>
        <v>0.2283</v>
      </c>
      <c r="AJ61" s="431"/>
      <c r="AL61" s="439"/>
      <c r="AM61" s="336">
        <f t="shared" ca="1" si="19"/>
        <v>311.66000000000003</v>
      </c>
      <c r="AN61" s="470">
        <f t="shared" ca="1" si="16"/>
        <v>9.06</v>
      </c>
    </row>
    <row r="62" spans="1:40" ht="26.4" x14ac:dyDescent="0.3">
      <c r="A62" t="str">
        <f t="shared" si="1"/>
        <v>S</v>
      </c>
      <c r="B62">
        <f t="shared" ca="1" si="2"/>
        <v>2</v>
      </c>
      <c r="C62" t="str">
        <f t="shared" ca="1" si="3"/>
        <v>S</v>
      </c>
      <c r="D62">
        <f t="shared" ca="1" si="4"/>
        <v>0</v>
      </c>
      <c r="E62">
        <f ca="1">IF($C62=1,OFFSET(E62,-1,0)+MAX(1,COUNTIF(QCI!$A$13:$A$24,OFFSET(ORÇAMENTO!E62,-1,0))),OFFSET(E62,-1,0))</f>
        <v>2</v>
      </c>
      <c r="F62">
        <f t="shared" ca="1" si="5"/>
        <v>2</v>
      </c>
      <c r="G62">
        <f t="shared" ca="1" si="6"/>
        <v>0</v>
      </c>
      <c r="H62">
        <f t="shared" ca="1" si="7"/>
        <v>0</v>
      </c>
      <c r="I62">
        <f t="shared" ca="1" si="8"/>
        <v>2</v>
      </c>
      <c r="J62">
        <f t="shared" ca="1" si="22"/>
        <v>0</v>
      </c>
      <c r="K62">
        <f ca="1">IF(OR($C62="S",$C62=0),0,MATCH(OFFSET($D62,0,$C62)+IF($C62&lt;&gt;1,1,COUNTIF(QCI!$A$13:$A$24,ORÇAMENTO!E62)),OFFSET($D62,1,$C62,ROW($C$165)-ROW($C62)),0))</f>
        <v>0</v>
      </c>
      <c r="L62" s="114" t="str">
        <f t="shared" ca="1" si="10"/>
        <v>F</v>
      </c>
      <c r="M62" s="115" t="s">
        <v>705</v>
      </c>
      <c r="N62" s="116" t="str">
        <f t="shared" ca="1" si="11"/>
        <v>Serviço</v>
      </c>
      <c r="O62" s="117" t="str">
        <f t="shared" ca="1" si="12"/>
        <v>2.2.2.</v>
      </c>
      <c r="P62" s="118" t="s">
        <v>956</v>
      </c>
      <c r="Q62" s="119" t="s">
        <v>1011</v>
      </c>
      <c r="R62" s="120" t="str">
        <f ca="1">IF($C62="S",REFERENCIA.Descricao,"(digite a descrição aqui)")</f>
        <v>Tubo de concreto PA1 comercial para drenagem - D = 0,50 m - fornecimento e instalação</v>
      </c>
      <c r="S62" s="121" t="str">
        <f ca="1">REFERENCIA.Unidade</f>
        <v>m</v>
      </c>
      <c r="T62" s="122">
        <f ca="1">OFFSET(CÁLCULO!H$15,ROW($T62)-ROW(T$15),0)</f>
        <v>43</v>
      </c>
      <c r="U62" s="123">
        <f ca="1">AG62</f>
        <v>235.8</v>
      </c>
      <c r="V62" s="124" t="s">
        <v>663</v>
      </c>
      <c r="W62" s="122">
        <f ca="1">IF($C62="S",ROUND(IF(TIPOORCAMENTO="Proposto",ORÇAMENTO.CustoUnitario*(1+$AH62),ORÇAMENTO.PrecoUnitarioLicitado),15-13*$AF$10),0)</f>
        <v>289.63</v>
      </c>
      <c r="X62" s="125" cm="1">
        <f t="array" aca="1" ref="X62" ca="1">IF($C62="S",IF(OR(Import.TipoArredondamento&lt;&gt;"TransfereGOV",ACOMPANHAMENTO="BM"),VTOTAL1,SUM(OFFSET(CÁLCULO!$AI$15,ROW($X62)-ROW($X$15),1):OFFSET(CÁLCULO!$BB$15,ROW($X62)-ROW($X$15),-1))),IF($C62=0,0,ROUND(SomaAgrup,15-13*$AF$11)))</f>
        <v>12454.09</v>
      </c>
      <c r="Y62" s="126" t="s">
        <v>751</v>
      </c>
      <c r="Z62" t="str">
        <f t="shared" ca="1" si="13"/>
        <v>RA</v>
      </c>
      <c r="AA62" s="127">
        <f ca="1">IF($C62="S",IF($Z62="CP",$X62,IF($Z62="RA",(($X62)*QCI!$AA$3),0)),SomaAgrup)</f>
        <v>3439.9921875256518</v>
      </c>
      <c r="AB62" s="128">
        <f t="shared" ca="1" si="14"/>
        <v>0</v>
      </c>
      <c r="AC62" s="565" t="e"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IF(AND(_xlfn.SINGLE(TIPOORCAMENTO)="Licitado",$AL62=0,$AN62&gt;0),"SEM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#NAME?</v>
      </c>
      <c r="AD62" t="str">
        <f ca="1">IF(C62&lt;=CRONO.NivelExibicao,MAX($AD$15:OFFSET(AD62,-1,0))+IF($C62&lt;&gt;1,1,MAX(1,COUNTIF(QCI!$A$13:$A$24,OFFSET($E62,-1,0)))),"")</f>
        <v/>
      </c>
      <c r="AE62" s="7" t="str">
        <f ca="1">IF(AND($C62="S",ORÇAMENTO.CodBarra&lt;&gt;""),IF(ORÇAMENTO.Fonte="",ORÇAMENTO.CodBarra,CONCATENATE(ORÇAMENTO.Fonte," ",ORÇAMENTO.CodBarra)))</f>
        <v>SICRO 2003869</v>
      </c>
      <c r="AF62" s="12">
        <f ca="1">IF(ISERROR(INDIRECT(ORÇAMENTO.BancoRef)),"(abra o arquivo 'Referência "&amp;Excel_BuiltIn_Database&amp;".xlsm)",IF(OR($C62&lt;&gt;"S",ORÇAMENTO.CodBarra=""),"(Sem Código)",IF(ISERROR(MATCH($AE62,INDIRECT(ORÇAMENTO.BancoRef),0)),"(Código não identificado nas referências)",MATCH($AE62,INDIRECT(ORÇAMENTO.BancoRef),0))))</f>
        <v>19292</v>
      </c>
      <c r="AG62" s="428">
        <f ca="1">ROUND(IF(DESONERACAO="sim",REFERENCIA.Desonerado,REFERENCIA.NaoDesonerado),2)</f>
        <v>235.8</v>
      </c>
      <c r="AH62" s="429">
        <f t="shared" ca="1" si="15"/>
        <v>0.2283</v>
      </c>
      <c r="AJ62" s="431"/>
      <c r="AL62" s="439"/>
      <c r="AM62" s="336">
        <f t="shared" ca="1" si="19"/>
        <v>12454.09</v>
      </c>
      <c r="AN62" s="470">
        <f t="shared" ca="1" si="16"/>
        <v>289.63</v>
      </c>
    </row>
    <row r="63" spans="1:40" ht="26.4" x14ac:dyDescent="0.3">
      <c r="A63" t="str">
        <f t="shared" si="1"/>
        <v>S</v>
      </c>
      <c r="B63">
        <f t="shared" ca="1" si="2"/>
        <v>2</v>
      </c>
      <c r="C63" t="str">
        <f t="shared" ca="1" si="3"/>
        <v>S</v>
      </c>
      <c r="D63">
        <f t="shared" ca="1" si="4"/>
        <v>0</v>
      </c>
      <c r="E63">
        <f ca="1">IF($C63=1,OFFSET(E63,-1,0)+MAX(1,COUNTIF(QCI!$A$13:$A$24,OFFSET(ORÇAMENTO!E63,-1,0))),OFFSET(E63,-1,0))</f>
        <v>2</v>
      </c>
      <c r="F63">
        <f t="shared" ca="1" si="5"/>
        <v>2</v>
      </c>
      <c r="G63">
        <f t="shared" ca="1" si="6"/>
        <v>0</v>
      </c>
      <c r="H63">
        <f t="shared" ca="1" si="7"/>
        <v>0</v>
      </c>
      <c r="I63">
        <f t="shared" ca="1" si="8"/>
        <v>3</v>
      </c>
      <c r="J63">
        <f t="shared" ca="1" si="22"/>
        <v>0</v>
      </c>
      <c r="K63">
        <f ca="1">IF(OR($C63="S",$C63=0),0,MATCH(OFFSET($D63,0,$C63)+IF($C63&lt;&gt;1,1,COUNTIF(QCI!$A$13:$A$24,ORÇAMENTO!E63)),OFFSET($D63,1,$C63,ROW($C$165)-ROW($C63)),0))</f>
        <v>0</v>
      </c>
      <c r="L63" s="114" t="str">
        <f t="shared" ca="1" si="10"/>
        <v>F</v>
      </c>
      <c r="M63" s="115" t="s">
        <v>705</v>
      </c>
      <c r="N63" s="116" t="str">
        <f t="shared" ca="1" si="11"/>
        <v>Serviço</v>
      </c>
      <c r="O63" s="117" t="str">
        <f t="shared" ca="1" si="12"/>
        <v>2.2.3.</v>
      </c>
      <c r="P63" s="118" t="s">
        <v>956</v>
      </c>
      <c r="Q63" s="119" t="s">
        <v>1033</v>
      </c>
      <c r="R63" s="120" t="str">
        <f ca="1">IF($C63="S",REFERENCIA.Descricao,"(digite a descrição aqui)")</f>
        <v>Base ou sub-base de brita graduada com brita comercial - 100% Proctor modificado</v>
      </c>
      <c r="S63" s="121" t="str">
        <f ca="1">REFERENCIA.Unidade</f>
        <v>m³</v>
      </c>
      <c r="T63" s="122">
        <f ca="1">OFFSET(CÁLCULO!H$15,ROW($T63)-ROW(T$15),0)</f>
        <v>22.24</v>
      </c>
      <c r="U63" s="123">
        <f ca="1">AG63</f>
        <v>237.49</v>
      </c>
      <c r="V63" s="124" t="s">
        <v>663</v>
      </c>
      <c r="W63" s="122">
        <f ca="1">IF($C63="S",ROUND(IF(TIPOORCAMENTO="Proposto",ORÇAMENTO.CustoUnitario*(1+$AH63),ORÇAMENTO.PrecoUnitarioLicitado),15-13*$AF$10),0)</f>
        <v>291.70999999999998</v>
      </c>
      <c r="X63" s="125" cm="1">
        <f t="array" aca="1" ref="X63" ca="1">IF($C63="S",IF(OR(Import.TipoArredondamento&lt;&gt;"TransfereGOV",ACOMPANHAMENTO="BM"),VTOTAL1,SUM(OFFSET(CÁLCULO!$AI$15,ROW($X63)-ROW($X$15),1):OFFSET(CÁLCULO!$BB$15,ROW($X63)-ROW($X$15),-1))),IF($C63=0,0,ROUND(SomaAgrup,15-13*$AF$11)))</f>
        <v>6487.63</v>
      </c>
      <c r="Y63" s="126" t="s">
        <v>751</v>
      </c>
      <c r="Z63" t="str">
        <f t="shared" ca="1" si="13"/>
        <v>RA</v>
      </c>
      <c r="AA63" s="127">
        <f ca="1">IF($C63="S",IF($Z63="CP",$X63,IF($Z63="RA",(($X63)*QCI!$AA$3),0)),SomaAgrup)</f>
        <v>1791.9732807099551</v>
      </c>
      <c r="AB63" s="128">
        <f t="shared" ca="1" si="14"/>
        <v>0</v>
      </c>
      <c r="AC63" s="565" t="e"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IF(AND(_xlfn.SINGLE(TIPOORCAMENTO)="Licitado",$AL63=0,$AN63&gt;0),"SEM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#NAME?</v>
      </c>
      <c r="AD63" t="str">
        <f ca="1">IF(C63&lt;=CRONO.NivelExibicao,MAX($AD$15:OFFSET(AD63,-1,0))+IF($C63&lt;&gt;1,1,MAX(1,COUNTIF(QCI!$A$13:$A$24,OFFSET($E63,-1,0)))),"")</f>
        <v/>
      </c>
      <c r="AE63" s="7" t="str">
        <f ca="1">IF(AND($C63="S",ORÇAMENTO.CodBarra&lt;&gt;""),IF(ORÇAMENTO.Fonte="",ORÇAMENTO.CodBarra,CONCATENATE(ORÇAMENTO.Fonte," ",ORÇAMENTO.CodBarra)))</f>
        <v>SICRO 4011276</v>
      </c>
      <c r="AF63" s="12">
        <f ca="1">IF(ISERROR(INDIRECT(ORÇAMENTO.BancoRef)),"(abra o arquivo 'Referência "&amp;Excel_BuiltIn_Database&amp;".xlsm)",IF(OR($C63&lt;&gt;"S",ORÇAMENTO.CodBarra=""),"(Sem Código)",IF(ISERROR(MATCH($AE63,INDIRECT(ORÇAMENTO.BancoRef),0)),"(Código não identificado nas referências)",MATCH($AE63,INDIRECT(ORÇAMENTO.BancoRef),0))))</f>
        <v>20331</v>
      </c>
      <c r="AG63" s="428">
        <f ca="1">ROUND(IF(DESONERACAO="sim",REFERENCIA.Desonerado,REFERENCIA.NaoDesonerado),2)</f>
        <v>237.49</v>
      </c>
      <c r="AH63" s="429">
        <f t="shared" ca="1" si="15"/>
        <v>0.2283</v>
      </c>
      <c r="AJ63" s="431"/>
      <c r="AL63" s="439"/>
      <c r="AM63" s="336">
        <f t="shared" ca="1" si="19"/>
        <v>6487.63</v>
      </c>
      <c r="AN63" s="470">
        <f t="shared" ca="1" si="16"/>
        <v>291.70999999999998</v>
      </c>
    </row>
    <row r="64" spans="1:40" ht="13.8" x14ac:dyDescent="0.3">
      <c r="A64" t="str">
        <f t="shared" si="1"/>
        <v>S</v>
      </c>
      <c r="B64">
        <f t="shared" ca="1" si="2"/>
        <v>2</v>
      </c>
      <c r="C64" t="str">
        <f t="shared" ca="1" si="3"/>
        <v>S</v>
      </c>
      <c r="D64">
        <f t="shared" ca="1" si="4"/>
        <v>0</v>
      </c>
      <c r="E64">
        <f ca="1">IF($C64=1,OFFSET(E64,-1,0)+MAX(1,COUNTIF(QCI!$A$13:$A$24,OFFSET(ORÇAMENTO!E64,-1,0))),OFFSET(E64,-1,0))</f>
        <v>2</v>
      </c>
      <c r="F64">
        <f t="shared" ca="1" si="5"/>
        <v>2</v>
      </c>
      <c r="G64">
        <f t="shared" ca="1" si="6"/>
        <v>0</v>
      </c>
      <c r="H64">
        <f t="shared" ca="1" si="7"/>
        <v>0</v>
      </c>
      <c r="I64">
        <f t="shared" ca="1" si="8"/>
        <v>4</v>
      </c>
      <c r="J64">
        <f t="shared" ca="1" si="22"/>
        <v>0</v>
      </c>
      <c r="K64">
        <f ca="1">IF(OR($C64="S",$C64=0),0,MATCH(OFFSET($D64,0,$C64)+IF($C64&lt;&gt;1,1,COUNTIF(QCI!$A$13:$A$24,ORÇAMENTO!E64)),OFFSET($D64,1,$C64,ROW($C$165)-ROW($C64)),0))</f>
        <v>0</v>
      </c>
      <c r="L64" s="114" t="str">
        <f t="shared" ca="1" si="10"/>
        <v>F</v>
      </c>
      <c r="M64" s="115" t="s">
        <v>705</v>
      </c>
      <c r="N64" s="116" t="str">
        <f t="shared" ca="1" si="11"/>
        <v>Serviço</v>
      </c>
      <c r="O64" s="117" t="str">
        <f t="shared" ca="1" si="12"/>
        <v>2.2.4.</v>
      </c>
      <c r="P64" s="118" t="s">
        <v>956</v>
      </c>
      <c r="Q64" s="119" t="s">
        <v>1022</v>
      </c>
      <c r="R64" s="120" t="str">
        <f ca="1">IF($C64="S",REFERENCIA.Descricao,"(digite a descrição aqui)")</f>
        <v>Transporte com caminhão basculante de 10 m³ - rodovia pavimentada</v>
      </c>
      <c r="S64" s="121" t="str">
        <f ca="1">REFERENCIA.Unidade</f>
        <v>tkm</v>
      </c>
      <c r="T64" s="122">
        <f ca="1">OFFSET(CÁLCULO!H$15,ROW($T64)-ROW(T$15),0)</f>
        <v>700.56</v>
      </c>
      <c r="U64" s="123">
        <f ca="1">AG64</f>
        <v>0.82</v>
      </c>
      <c r="V64" s="124" t="s">
        <v>663</v>
      </c>
      <c r="W64" s="122">
        <f ca="1">IF($C64="S",ROUND(IF(TIPOORCAMENTO="Proposto",ORÇAMENTO.CustoUnitario*(1+$AH64),ORÇAMENTO.PrecoUnitarioLicitado),15-13*$AF$10),0)</f>
        <v>1.01</v>
      </c>
      <c r="X64" s="125" cm="1">
        <f t="array" aca="1" ref="X64" ca="1">IF($C64="S",IF(OR(Import.TipoArredondamento&lt;&gt;"TransfereGOV",ACOMPANHAMENTO="BM"),VTOTAL1,SUM(OFFSET(CÁLCULO!$AI$15,ROW($X64)-ROW($X$15),1):OFFSET(CÁLCULO!$BB$15,ROW($X64)-ROW($X$15),-1))),IF($C64=0,0,ROUND(SomaAgrup,15-13*$AF$11)))</f>
        <v>707.57</v>
      </c>
      <c r="Y64" s="126" t="s">
        <v>751</v>
      </c>
      <c r="Z64" t="str">
        <f t="shared" ca="1" si="13"/>
        <v>RA</v>
      </c>
      <c r="AA64" s="127">
        <f ca="1">IF($C64="S",IF($Z64="CP",$X64,IF($Z64="RA",(($X64)*QCI!$AA$3),0)),SomaAgrup)</f>
        <v>195.44063613861195</v>
      </c>
      <c r="AB64" s="128">
        <f t="shared" ca="1" si="14"/>
        <v>0</v>
      </c>
      <c r="AC64" s="565" t="e"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IF(AND(_xlfn.SINGLE(TIPOORCAMENTO)="Licitado",$AL64=0,$AN64&gt;0),"SEM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#NAME?</v>
      </c>
      <c r="AD64" t="str">
        <f ca="1">IF(C64&lt;=CRONO.NivelExibicao,MAX($AD$15:OFFSET(AD64,-1,0))+IF($C64&lt;&gt;1,1,MAX(1,COUNTIF(QCI!$A$13:$A$24,OFFSET($E64,-1,0)))),"")</f>
        <v/>
      </c>
      <c r="AE64" s="7" t="str">
        <f ca="1">IF(AND($C64="S",ORÇAMENTO.CodBarra&lt;&gt;""),IF(ORÇAMENTO.Fonte="",ORÇAMENTO.CodBarra,CONCATENATE(ORÇAMENTO.Fonte," ",ORÇAMENTO.CodBarra)))</f>
        <v>SICRO 5914389</v>
      </c>
      <c r="AF64" s="12">
        <f ca="1">IF(ISERROR(INDIRECT(ORÇAMENTO.BancoRef)),"(abra o arquivo 'Referência "&amp;Excel_BuiltIn_Database&amp;".xlsm)",IF(OR($C64&lt;&gt;"S",ORÇAMENTO.CodBarra=""),"(Sem Código)",IF(ISERROR(MATCH($AE64,INDIRECT(ORÇAMENTO.BancoRef),0)),"(Código não identificado nas referências)",MATCH($AE64,INDIRECT(ORÇAMENTO.BancoRef),0))))</f>
        <v>21868</v>
      </c>
      <c r="AG64" s="428">
        <f ca="1">ROUND(IF(DESONERACAO="sim",REFERENCIA.Desonerado,REFERENCIA.NaoDesonerado),2)</f>
        <v>0.82</v>
      </c>
      <c r="AH64" s="429">
        <f t="shared" ca="1" si="15"/>
        <v>0.2283</v>
      </c>
      <c r="AJ64" s="431"/>
      <c r="AL64" s="439"/>
      <c r="AM64" s="336">
        <f t="shared" ca="1" si="19"/>
        <v>707.57</v>
      </c>
      <c r="AN64" s="470">
        <f t="shared" ca="1" si="16"/>
        <v>1.01</v>
      </c>
    </row>
    <row r="65" spans="1:40" ht="26.4" x14ac:dyDescent="0.3">
      <c r="A65" t="str">
        <f t="shared" si="1"/>
        <v>S</v>
      </c>
      <c r="B65">
        <f t="shared" ca="1" si="2"/>
        <v>2</v>
      </c>
      <c r="C65" t="str">
        <f t="shared" ca="1" si="3"/>
        <v>S</v>
      </c>
      <c r="D65">
        <f t="shared" ca="1" si="4"/>
        <v>0</v>
      </c>
      <c r="E65">
        <f ca="1">IF($C65=1,OFFSET(E65,-1,0)+MAX(1,COUNTIF(QCI!$A$13:$A$24,OFFSET(ORÇAMENTO!E65,-1,0))),OFFSET(E65,-1,0))</f>
        <v>2</v>
      </c>
      <c r="F65">
        <f t="shared" ca="1" si="5"/>
        <v>2</v>
      </c>
      <c r="G65">
        <f t="shared" ca="1" si="6"/>
        <v>0</v>
      </c>
      <c r="H65">
        <f t="shared" ca="1" si="7"/>
        <v>0</v>
      </c>
      <c r="I65">
        <f t="shared" ca="1" si="8"/>
        <v>5</v>
      </c>
      <c r="J65">
        <f t="shared" ca="1" si="22"/>
        <v>0</v>
      </c>
      <c r="K65">
        <f ca="1">IF(OR($C65="S",$C65=0),0,MATCH(OFFSET($D65,0,$C65)+IF($C65&lt;&gt;1,1,COUNTIF(QCI!$A$13:$A$24,ORÇAMENTO!E65)),OFFSET($D65,1,$C65,ROW($C$165)-ROW($C65)),0))</f>
        <v>0</v>
      </c>
      <c r="L65" s="114" t="str">
        <f t="shared" ca="1" si="10"/>
        <v>F</v>
      </c>
      <c r="M65" s="115" t="s">
        <v>705</v>
      </c>
      <c r="N65" s="116" t="str">
        <f t="shared" ca="1" si="11"/>
        <v>Serviço</v>
      </c>
      <c r="O65" s="117" t="str">
        <f t="shared" ca="1" si="12"/>
        <v>2.2.5.</v>
      </c>
      <c r="P65" s="118" t="s">
        <v>956</v>
      </c>
      <c r="Q65" s="119" t="s">
        <v>1040</v>
      </c>
      <c r="R65" s="120" t="str">
        <f ca="1">IF($C65="S",REFERENCIA.Descricao,"(digite a descrição aqui)")</f>
        <v>Boca de lobo combinada - chapéu e grelha simples - BLC 01 - areia e brita comerciais</v>
      </c>
      <c r="S65" s="121" t="str">
        <f ca="1">REFERENCIA.Unidade</f>
        <v>un</v>
      </c>
      <c r="T65" s="122">
        <f ca="1">OFFSET(CÁLCULO!H$15,ROW($T65)-ROW(T$15),0)</f>
        <v>2</v>
      </c>
      <c r="U65" s="123">
        <f ca="1">AG65</f>
        <v>2427.9899999999998</v>
      </c>
      <c r="V65" s="124" t="s">
        <v>663</v>
      </c>
      <c r="W65" s="122">
        <f ca="1">IF($C65="S",ROUND(IF(TIPOORCAMENTO="Proposto",ORÇAMENTO.CustoUnitario*(1+$AH65),ORÇAMENTO.PrecoUnitarioLicitado),15-13*$AF$10),0)</f>
        <v>2982.3</v>
      </c>
      <c r="X65" s="125" cm="1">
        <f t="array" aca="1" ref="X65" ca="1">IF($C65="S",IF(OR(Import.TipoArredondamento&lt;&gt;"TransfereGOV",ACOMPANHAMENTO="BM"),VTOTAL1,SUM(OFFSET(CÁLCULO!$AI$15,ROW($X65)-ROW($X$15),1):OFFSET(CÁLCULO!$BB$15,ROW($X65)-ROW($X$15),-1))),IF($C65=0,0,ROUND(SomaAgrup,15-13*$AF$11)))</f>
        <v>5964.6</v>
      </c>
      <c r="Y65" s="126" t="s">
        <v>751</v>
      </c>
      <c r="Z65" t="str">
        <f t="shared" ca="1" si="13"/>
        <v>RA</v>
      </c>
      <c r="AA65" s="127">
        <f ca="1">IF($C65="S",IF($Z65="CP",$X65,IF($Z65="RA",(($X65)*QCI!$AA$3),0)),SomaAgrup)</f>
        <v>1647.5051490486662</v>
      </c>
      <c r="AB65" s="128">
        <f t="shared" ca="1" si="14"/>
        <v>0</v>
      </c>
      <c r="AC65" s="565" t="e"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IF(AND(_xlfn.SINGLE(TIPOORCAMENTO)="Licitado",$AL65=0,$AN65&gt;0),"SEM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#NAME?</v>
      </c>
      <c r="AD65" t="str">
        <f ca="1">IF(C65&lt;=CRONO.NivelExibicao,MAX($AD$15:OFFSET(AD65,-1,0))+IF($C65&lt;&gt;1,1,MAX(1,COUNTIF(QCI!$A$13:$A$24,OFFSET($E65,-1,0)))),"")</f>
        <v/>
      </c>
      <c r="AE65" s="7" t="str">
        <f ca="1">IF(AND($C65="S",ORÇAMENTO.CodBarra&lt;&gt;""),IF(ORÇAMENTO.Fonte="",ORÇAMENTO.CodBarra,CONCATENATE(ORÇAMENTO.Fonte," ",ORÇAMENTO.CodBarra)))</f>
        <v>SICRO 2003622</v>
      </c>
      <c r="AF65" s="12">
        <f ca="1">IF(ISERROR(INDIRECT(ORÇAMENTO.BancoRef)),"(abra o arquivo 'Referência "&amp;Excel_BuiltIn_Database&amp;".xlsm)",IF(OR($C65&lt;&gt;"S",ORÇAMENTO.CodBarra=""),"(Sem Código)",IF(ISERROR(MATCH($AE65,INDIRECT(ORÇAMENTO.BancoRef),0)),"(Código não identificado nas referências)",MATCH($AE65,INDIRECT(ORÇAMENTO.BancoRef),0))))</f>
        <v>18593</v>
      </c>
      <c r="AG65" s="428">
        <f ca="1">ROUND(IF(DESONERACAO="sim",REFERENCIA.Desonerado,REFERENCIA.NaoDesonerado),2)</f>
        <v>2427.9899999999998</v>
      </c>
      <c r="AH65" s="429">
        <f t="shared" ca="1" si="15"/>
        <v>0.2283</v>
      </c>
      <c r="AJ65" s="431"/>
      <c r="AL65" s="439"/>
      <c r="AM65" s="336">
        <f t="shared" ca="1" si="19"/>
        <v>5964.6</v>
      </c>
      <c r="AN65" s="470">
        <f t="shared" ca="1" si="16"/>
        <v>2982.3</v>
      </c>
    </row>
    <row r="66" spans="1:40" ht="13.8" x14ac:dyDescent="0.3">
      <c r="A66">
        <f t="shared" si="1"/>
        <v>2</v>
      </c>
      <c r="B66">
        <f t="shared" ca="1" si="2"/>
        <v>2</v>
      </c>
      <c r="C66">
        <f t="shared" ca="1" si="3"/>
        <v>2</v>
      </c>
      <c r="D66">
        <f t="shared" ca="1" si="4"/>
        <v>8</v>
      </c>
      <c r="E66">
        <f ca="1">IF($C66=1,OFFSET(E66,-1,0)+MAX(1,COUNTIF(QCI!$A$13:$A$24,OFFSET(ORÇAMENTO!E66,-1,0))),OFFSET(E66,-1,0))</f>
        <v>2</v>
      </c>
      <c r="F66">
        <f t="shared" ca="1" si="5"/>
        <v>3</v>
      </c>
      <c r="G66">
        <f t="shared" ca="1" si="6"/>
        <v>0</v>
      </c>
      <c r="H66">
        <f t="shared" ca="1" si="7"/>
        <v>0</v>
      </c>
      <c r="I66">
        <f t="shared" ca="1" si="8"/>
        <v>0</v>
      </c>
      <c r="J66">
        <f t="shared" ca="1" si="22"/>
        <v>27</v>
      </c>
      <c r="K66">
        <f ca="1">IF(OR($C66="S",$C66=0),0,MATCH(OFFSET($D66,0,$C66)+IF($C66&lt;&gt;1,1,COUNTIF(QCI!$A$13:$A$24,ORÇAMENTO!E66)),OFFSET($D66,1,$C66,ROW($C$165)-ROW($C66)),0))</f>
        <v>8</v>
      </c>
      <c r="L66" s="114" t="str">
        <f t="shared" ca="1" si="10"/>
        <v>F</v>
      </c>
      <c r="M66" s="115" t="s">
        <v>702</v>
      </c>
      <c r="N66" s="116" t="str">
        <f t="shared" ca="1" si="11"/>
        <v>Nível 2</v>
      </c>
      <c r="O66" s="117" t="str">
        <f t="shared" ca="1" si="12"/>
        <v>2.3.</v>
      </c>
      <c r="P66" s="118" t="s">
        <v>750</v>
      </c>
      <c r="Q66" s="119"/>
      <c r="R66" s="120" t="s">
        <v>1044</v>
      </c>
      <c r="S66" s="121" t="str">
        <f ca="1">REFERENCIA.Unidade</f>
        <v>-</v>
      </c>
      <c r="T66" s="122">
        <f ca="1">OFFSET(CÁLCULO!H$15,ROW($T66)-ROW(T$15),0)</f>
        <v>0</v>
      </c>
      <c r="U66" s="123"/>
      <c r="V66" s="124" t="s">
        <v>663</v>
      </c>
      <c r="W66" s="122">
        <f ca="1">IF($C66="S",ROUND(IF(TIPOORCAMENTO="Proposto",ORÇAMENTO.CustoUnitario*(1+$AH66),ORÇAMENTO.PrecoUnitarioLicitado),15-13*$AF$10),0)</f>
        <v>0</v>
      </c>
      <c r="X66" s="125" cm="1">
        <f t="array" aca="1" ref="X66" ca="1">IF($C66="S",IF(OR(Import.TipoArredondamento&lt;&gt;"TransfereGOV",ACOMPANHAMENTO="BM"),VTOTAL1,SUM(OFFSET(CÁLCULO!$AI$15,ROW($X66)-ROW($X$15),1):OFFSET(CÁLCULO!$BB$15,ROW($X66)-ROW($X$15),-1))),IF($C66=0,0,ROUND(SomaAgrup,15-13*$AF$11)))</f>
        <v>92656.89</v>
      </c>
      <c r="Y66" s="126" t="s">
        <v>751</v>
      </c>
      <c r="Z66" t="str">
        <f t="shared" ca="1" si="13"/>
        <v/>
      </c>
      <c r="AA66" s="127">
        <f ca="1">IF($C66="S",IF($Z66="CP",$X66,IF($Z66="RA",(($X66)*QCI!$AA$3),0)),SomaAgrup)</f>
        <v>25593.116616342399</v>
      </c>
      <c r="AB66" s="128">
        <f t="shared" ca="1" si="14"/>
        <v>0</v>
      </c>
      <c r="AC66" s="565" t="e"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IF(AND(_xlfn.SINGLE(TIPOORCAMENTO)="Licitado",$AL66=0,$AN66&gt;0),"SEM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#NAME?</v>
      </c>
      <c r="AD66">
        <f ca="1">IF(C66&lt;=CRONO.NivelExibicao,MAX($AD$15:OFFSET(AD66,-1,0))+IF($C66&lt;&gt;1,1,MAX(1,COUNTIF(QCI!$A$13:$A$24,OFFSET($E66,-1,0)))),"")</f>
        <v>12</v>
      </c>
      <c r="AE66" s="7" t="b">
        <f ca="1">IF(AND($C66="S",ORÇAMENTO.CodBarra&lt;&gt;""),IF(ORÇAMENTO.Fonte="",ORÇAMENTO.CodBarra,CONCATENATE(ORÇAMENTO.Fonte," ",ORÇAMENTO.CodBarra)))</f>
        <v>0</v>
      </c>
      <c r="AF66" s="12" t="str">
        <f ca="1">IF(ISERROR(INDIRECT(ORÇAMENTO.BancoRef)),"(abra o arquivo 'Referência "&amp;Excel_BuiltIn_Database&amp;".xlsm)",IF(OR($C66&lt;&gt;"S",ORÇAMENTO.CodBarra=""),"(Sem Código)",IF(ISERROR(MATCH($AE66,INDIRECT(ORÇAMENTO.BancoRef),0)),"(Código não identificado nas referências)",MATCH($AE66,INDIRECT(ORÇAMENTO.BancoRef),0))))</f>
        <v>(Sem Código)</v>
      </c>
      <c r="AG66" s="428">
        <f ca="1">ROUND(IF(DESONERACAO="sim",REFERENCIA.Desonerado,REFERENCIA.NaoDesonerado),2)</f>
        <v>0</v>
      </c>
      <c r="AH66" s="429">
        <f t="shared" ca="1" si="15"/>
        <v>0.2283</v>
      </c>
      <c r="AJ66" s="431"/>
      <c r="AL66" s="439"/>
      <c r="AM66" s="336">
        <f t="shared" ca="1" si="19"/>
        <v>92656.89</v>
      </c>
      <c r="AN66" s="470">
        <f t="shared" ca="1" si="16"/>
        <v>0</v>
      </c>
    </row>
    <row r="67" spans="1:40" ht="13.8" x14ac:dyDescent="0.3">
      <c r="A67" t="str">
        <f t="shared" si="1"/>
        <v>S</v>
      </c>
      <c r="B67">
        <f t="shared" ca="1" si="2"/>
        <v>2</v>
      </c>
      <c r="C67" t="str">
        <f t="shared" ca="1" si="3"/>
        <v>S</v>
      </c>
      <c r="D67">
        <f t="shared" ca="1" si="4"/>
        <v>0</v>
      </c>
      <c r="E67">
        <f ca="1">IF($C67=1,OFFSET(E67,-1,0)+MAX(1,COUNTIF(QCI!$A$13:$A$24,OFFSET(ORÇAMENTO!E67,-1,0))),OFFSET(E67,-1,0))</f>
        <v>2</v>
      </c>
      <c r="F67">
        <f t="shared" ca="1" si="5"/>
        <v>3</v>
      </c>
      <c r="G67">
        <f t="shared" ca="1" si="6"/>
        <v>0</v>
      </c>
      <c r="H67">
        <f t="shared" ca="1" si="7"/>
        <v>0</v>
      </c>
      <c r="I67">
        <f t="shared" ca="1" si="8"/>
        <v>1</v>
      </c>
      <c r="J67">
        <f t="shared" ca="1" si="22"/>
        <v>0</v>
      </c>
      <c r="K67">
        <f ca="1">IF(OR($C67="S",$C67=0),0,MATCH(OFFSET($D67,0,$C67)+IF($C67&lt;&gt;1,1,COUNTIF(QCI!$A$13:$A$24,ORÇAMENTO!E67)),OFFSET($D67,1,$C67,ROW($C$165)-ROW($C67)),0))</f>
        <v>0</v>
      </c>
      <c r="L67" s="114" t="str">
        <f t="shared" ca="1" si="10"/>
        <v>F</v>
      </c>
      <c r="M67" s="115" t="s">
        <v>705</v>
      </c>
      <c r="N67" s="116" t="str">
        <f t="shared" ca="1" si="11"/>
        <v>Serviço</v>
      </c>
      <c r="O67" s="117" t="str">
        <f t="shared" ca="1" si="12"/>
        <v>2.3.1.</v>
      </c>
      <c r="P67" s="118" t="s">
        <v>956</v>
      </c>
      <c r="Q67" s="119" t="s">
        <v>1019</v>
      </c>
      <c r="R67" s="120" t="str">
        <f ca="1">IF($C67="S",REFERENCIA.Descricao,"(digite a descrição aqui)")</f>
        <v>Pintura de ligação</v>
      </c>
      <c r="S67" s="121" t="str">
        <f ca="1">REFERENCIA.Unidade</f>
        <v>m²</v>
      </c>
      <c r="T67" s="122">
        <f ca="1">OFFSET(CÁLCULO!H$15,ROW($T67)-ROW(T$15),0)</f>
        <v>1265.08</v>
      </c>
      <c r="U67" s="123">
        <f t="shared" ref="U67:U73" ca="1" si="23">AG67</f>
        <v>0.46</v>
      </c>
      <c r="V67" s="124" t="s">
        <v>663</v>
      </c>
      <c r="W67" s="122">
        <f ca="1">IF($C67="S",ROUND(IF(TIPOORCAMENTO="Proposto",ORÇAMENTO.CustoUnitario*(1+$AH67),ORÇAMENTO.PrecoUnitarioLicitado),15-13*$AF$10),0)</f>
        <v>0.56999999999999995</v>
      </c>
      <c r="X67" s="125" cm="1">
        <f t="array" aca="1" ref="X67" ca="1">IF($C67="S",IF(OR(Import.TipoArredondamento&lt;&gt;"TransfereGOV",ACOMPANHAMENTO="BM"),VTOTAL1,SUM(OFFSET(CÁLCULO!$AI$15,ROW($X67)-ROW($X$15),1):OFFSET(CÁLCULO!$BB$15,ROW($X67)-ROW($X$15),-1))),IF($C67=0,0,ROUND(SomaAgrup,15-13*$AF$11)))</f>
        <v>721.1</v>
      </c>
      <c r="Y67" s="126" t="s">
        <v>751</v>
      </c>
      <c r="Z67" t="str">
        <f t="shared" ca="1" si="13"/>
        <v>RA</v>
      </c>
      <c r="AA67" s="127">
        <f ca="1">IF($C67="S",IF($Z67="CP",$X67,IF($Z67="RA",(($X67)*QCI!$AA$3),0)),SomaAgrup)</f>
        <v>199.17780957297944</v>
      </c>
      <c r="AB67" s="128">
        <f t="shared" ca="1" si="14"/>
        <v>0</v>
      </c>
      <c r="AC67" s="565" t="e"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IF(AND(_xlfn.SINGLE(TIPOORCAMENTO)="Licitado",$AL67=0,$AN67&gt;0),"SEM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#NAME?</v>
      </c>
      <c r="AD67" t="str">
        <f ca="1">IF(C67&lt;=CRONO.NivelExibicao,MAX($AD$15:OFFSET(AD67,-1,0))+IF($C67&lt;&gt;1,1,MAX(1,COUNTIF(QCI!$A$13:$A$24,OFFSET($E67,-1,0)))),"")</f>
        <v/>
      </c>
      <c r="AE67" s="7" t="str">
        <f ca="1">IF(AND($C67="S",ORÇAMENTO.CodBarra&lt;&gt;""),IF(ORÇAMENTO.Fonte="",ORÇAMENTO.CodBarra,CONCATENATE(ORÇAMENTO.Fonte," ",ORÇAMENTO.CodBarra)))</f>
        <v>SICRO 4011353</v>
      </c>
      <c r="AF67" s="12">
        <f ca="1">IF(ISERROR(INDIRECT(ORÇAMENTO.BancoRef)),"(abra o arquivo 'Referência "&amp;Excel_BuiltIn_Database&amp;".xlsm)",IF(OR($C67&lt;&gt;"S",ORÇAMENTO.CodBarra=""),"(Sem Código)",IF(ISERROR(MATCH($AE67,INDIRECT(ORÇAMENTO.BancoRef),0)),"(Código não identificado nas referências)",MATCH($AE67,INDIRECT(ORÇAMENTO.BancoRef),0))))</f>
        <v>20424</v>
      </c>
      <c r="AG67" s="428">
        <f ca="1">ROUND(IF(DESONERACAO="sim",REFERENCIA.Desonerado,REFERENCIA.NaoDesonerado),2)</f>
        <v>0.46</v>
      </c>
      <c r="AH67" s="429">
        <f t="shared" ca="1" si="15"/>
        <v>0.2283</v>
      </c>
      <c r="AJ67" s="431"/>
      <c r="AL67" s="439"/>
      <c r="AM67" s="336">
        <f t="shared" ca="1" si="19"/>
        <v>721.1</v>
      </c>
      <c r="AN67" s="470">
        <f t="shared" ca="1" si="16"/>
        <v>0.56999999999999995</v>
      </c>
    </row>
    <row r="68" spans="1:40" ht="26.4" x14ac:dyDescent="0.3">
      <c r="A68" t="str">
        <f t="shared" si="1"/>
        <v>S</v>
      </c>
      <c r="B68">
        <f t="shared" ca="1" si="2"/>
        <v>2</v>
      </c>
      <c r="C68" t="str">
        <f t="shared" ca="1" si="3"/>
        <v>S</v>
      </c>
      <c r="D68">
        <f t="shared" ca="1" si="4"/>
        <v>0</v>
      </c>
      <c r="E68">
        <f ca="1">IF($C68=1,OFFSET(E68,-1,0)+MAX(1,COUNTIF(QCI!$A$13:$A$24,OFFSET(ORÇAMENTO!E68,-1,0))),OFFSET(E68,-1,0))</f>
        <v>2</v>
      </c>
      <c r="F68">
        <f t="shared" ca="1" si="5"/>
        <v>3</v>
      </c>
      <c r="G68">
        <f t="shared" ca="1" si="6"/>
        <v>0</v>
      </c>
      <c r="H68">
        <f t="shared" ca="1" si="7"/>
        <v>0</v>
      </c>
      <c r="I68">
        <f t="shared" ca="1" si="8"/>
        <v>2</v>
      </c>
      <c r="J68">
        <f t="shared" ca="1" si="22"/>
        <v>0</v>
      </c>
      <c r="K68">
        <f ca="1">IF(OR($C68="S",$C68=0),0,MATCH(OFFSET($D68,0,$C68)+IF($C68&lt;&gt;1,1,COUNTIF(QCI!$A$13:$A$24,ORÇAMENTO!E68)),OFFSET($D68,1,$C68,ROW($C$165)-ROW($C68)),0))</f>
        <v>0</v>
      </c>
      <c r="L68" s="114" t="str">
        <f t="shared" ca="1" si="10"/>
        <v>F</v>
      </c>
      <c r="M68" s="115" t="s">
        <v>705</v>
      </c>
      <c r="N68" s="116" t="str">
        <f t="shared" ca="1" si="11"/>
        <v>Serviço</v>
      </c>
      <c r="O68" s="117" t="str">
        <f t="shared" ca="1" si="12"/>
        <v>2.3.2.</v>
      </c>
      <c r="P68" s="118" t="s">
        <v>958</v>
      </c>
      <c r="Q68" s="119" t="s">
        <v>1020</v>
      </c>
      <c r="R68" s="120" t="str">
        <f ca="1">IF($C68="S",REFERENCIA.Descricao,"(digite a descrição aqui)")</f>
        <v>EMULSÃO ASFÁLTICA RR-1C COLETADO NA ANP, ACRESCIDO DE IMPOSTOS (ICMS, PIS, COFINS)</v>
      </c>
      <c r="S68" s="121" t="str">
        <f ca="1">REFERENCIA.Unidade</f>
        <v>KG</v>
      </c>
      <c r="T68" s="122">
        <f ca="1">OFFSET(CÁLCULO!H$15,ROW($T68)-ROW(T$15),0)</f>
        <v>569.29</v>
      </c>
      <c r="U68" s="123">
        <f t="shared" ca="1" si="23"/>
        <v>3.66</v>
      </c>
      <c r="V68" s="124" t="s">
        <v>697</v>
      </c>
      <c r="W68" s="122">
        <f ca="1">IF($C68="S",ROUND(IF(TIPOORCAMENTO="Proposto",ORÇAMENTO.CustoUnitario*(1+$AH68),ORÇAMENTO.PrecoUnitarioLicitado),15-13*$AF$10),0)</f>
        <v>4.21</v>
      </c>
      <c r="X68" s="125" cm="1">
        <f t="array" aca="1" ref="X68" ca="1">IF($C68="S",IF(OR(Import.TipoArredondamento&lt;&gt;"TransfereGOV",ACOMPANHAMENTO="BM"),VTOTAL1,SUM(OFFSET(CÁLCULO!$AI$15,ROW($X68)-ROW($X$15),1):OFFSET(CÁLCULO!$BB$15,ROW($X68)-ROW($X$15),-1))),IF($C68=0,0,ROUND(SomaAgrup,15-13*$AF$11)))</f>
        <v>2396.71</v>
      </c>
      <c r="Y68" s="126" t="s">
        <v>751</v>
      </c>
      <c r="Z68" t="str">
        <f t="shared" ca="1" si="13"/>
        <v>RA</v>
      </c>
      <c r="AA68" s="127">
        <f ca="1">IF($C68="S",IF($Z68="CP",$X68,IF($Z68="RA",(($X68)*QCI!$AA$3),0)),SomaAgrup)</f>
        <v>662.00450420420964</v>
      </c>
      <c r="AB68" s="128">
        <f t="shared" ca="1" si="14"/>
        <v>0</v>
      </c>
      <c r="AC68" s="565" t="e"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IF(AND(_xlfn.SINGLE(TIPOORCAMENTO)="Licitado",$AL68=0,$AN68&gt;0),"SEM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#NAME?</v>
      </c>
      <c r="AD68" t="str">
        <f ca="1">IF(C68&lt;=CRONO.NivelExibicao,MAX($AD$15:OFFSET(AD68,-1,0))+IF($C68&lt;&gt;1,1,MAX(1,COUNTIF(QCI!$A$13:$A$24,OFFSET($E68,-1,0)))),"")</f>
        <v/>
      </c>
      <c r="AE68" s="7" t="str">
        <f ca="1">IF(AND($C68="S",ORÇAMENTO.CodBarra&lt;&gt;""),IF(ORÇAMENTO.Fonte="",ORÇAMENTO.CodBarra,CONCATENATE(ORÇAMENTO.Fonte," ",ORÇAMENTO.CodBarra)))</f>
        <v>Cotação COT 02</v>
      </c>
      <c r="AF68" s="12">
        <f ca="1">IF(ISERROR(INDIRECT(ORÇAMENTO.BancoRef)),"(abra o arquivo 'Referência "&amp;Excel_BuiltIn_Database&amp;".xlsm)",IF(OR($C68&lt;&gt;"S",ORÇAMENTO.CodBarra=""),"(Sem Código)",IF(ISERROR(MATCH($AE68,INDIRECT(ORÇAMENTO.BancoRef),0)),"(Código não identificado nas referências)",MATCH($AE68,INDIRECT(ORÇAMENTO.BancoRef),0))))</f>
        <v>30</v>
      </c>
      <c r="AG68" s="428">
        <f ca="1">ROUND(IF(DESONERACAO="sim",REFERENCIA.Desonerado,REFERENCIA.NaoDesonerado),2)</f>
        <v>3.66</v>
      </c>
      <c r="AH68" s="429">
        <f t="shared" ca="1" si="15"/>
        <v>0.15</v>
      </c>
      <c r="AJ68" s="431"/>
      <c r="AL68" s="439"/>
      <c r="AM68" s="336">
        <f t="shared" ca="1" si="19"/>
        <v>2396.71</v>
      </c>
      <c r="AN68" s="470">
        <f t="shared" ca="1" si="16"/>
        <v>4.21</v>
      </c>
    </row>
    <row r="69" spans="1:40" ht="26.4" x14ac:dyDescent="0.3">
      <c r="A69" t="str">
        <f t="shared" si="1"/>
        <v>S</v>
      </c>
      <c r="B69">
        <f t="shared" ca="1" si="2"/>
        <v>2</v>
      </c>
      <c r="C69" t="str">
        <f t="shared" ca="1" si="3"/>
        <v>S</v>
      </c>
      <c r="D69">
        <f t="shared" ca="1" si="4"/>
        <v>0</v>
      </c>
      <c r="E69">
        <f ca="1">IF($C69=1,OFFSET(E69,-1,0)+MAX(1,COUNTIF(QCI!$A$13:$A$24,OFFSET(ORÇAMENTO!E69,-1,0))),OFFSET(E69,-1,0))</f>
        <v>2</v>
      </c>
      <c r="F69">
        <f t="shared" ca="1" si="5"/>
        <v>3</v>
      </c>
      <c r="G69">
        <f t="shared" ca="1" si="6"/>
        <v>0</v>
      </c>
      <c r="H69">
        <f t="shared" ca="1" si="7"/>
        <v>0</v>
      </c>
      <c r="I69">
        <f t="shared" ca="1" si="8"/>
        <v>3</v>
      </c>
      <c r="J69">
        <f t="shared" ca="1" si="22"/>
        <v>0</v>
      </c>
      <c r="K69">
        <f ca="1">IF(OR($C69="S",$C69=0),0,MATCH(OFFSET($D69,0,$C69)+IF($C69&lt;&gt;1,1,COUNTIF(QCI!$A$13:$A$24,ORÇAMENTO!E69)),OFFSET($D69,1,$C69,ROW($C$165)-ROW($C69)),0))</f>
        <v>0</v>
      </c>
      <c r="L69" s="114" t="str">
        <f t="shared" ca="1" si="10"/>
        <v>F</v>
      </c>
      <c r="M69" s="115" t="s">
        <v>705</v>
      </c>
      <c r="N69" s="116" t="str">
        <f t="shared" ca="1" si="11"/>
        <v>Serviço</v>
      </c>
      <c r="O69" s="117" t="str">
        <f t="shared" ca="1" si="12"/>
        <v>2.3.3.</v>
      </c>
      <c r="P69" s="118" t="s">
        <v>956</v>
      </c>
      <c r="Q69" s="119" t="s">
        <v>1015</v>
      </c>
      <c r="R69" s="120" t="str">
        <f ca="1">IF($C69="S",REFERENCIA.Descricao,"(digite a descrição aqui)")</f>
        <v>Transporte de material betuminoso com caminhão tanque distribuidor - rodovia pavimentada</v>
      </c>
      <c r="S69" s="121" t="str">
        <f ca="1">REFERENCIA.Unidade</f>
        <v>tkm</v>
      </c>
      <c r="T69" s="122">
        <f ca="1">OFFSET(CÁLCULO!H$15,ROW($T69)-ROW(T$15),0)</f>
        <v>191.85</v>
      </c>
      <c r="U69" s="123">
        <f t="shared" ca="1" si="23"/>
        <v>2.2200000000000002</v>
      </c>
      <c r="V69" s="124" t="s">
        <v>697</v>
      </c>
      <c r="W69" s="122">
        <f ca="1">IF($C69="S",ROUND(IF(TIPOORCAMENTO="Proposto",ORÇAMENTO.CustoUnitario*(1+$AH69),ORÇAMENTO.PrecoUnitarioLicitado),15-13*$AF$10),0)</f>
        <v>2.5499999999999998</v>
      </c>
      <c r="X69" s="125" cm="1">
        <f t="array" aca="1" ref="X69" ca="1">IF($C69="S",IF(OR(Import.TipoArredondamento&lt;&gt;"TransfereGOV",ACOMPANHAMENTO="BM"),VTOTAL1,SUM(OFFSET(CÁLCULO!$AI$15,ROW($X69)-ROW($X$15),1):OFFSET(CÁLCULO!$BB$15,ROW($X69)-ROW($X$15),-1))),IF($C69=0,0,ROUND(SomaAgrup,15-13*$AF$11)))</f>
        <v>489.22</v>
      </c>
      <c r="Y69" s="126" t="s">
        <v>751</v>
      </c>
      <c r="Z69" t="str">
        <f t="shared" ca="1" si="13"/>
        <v>RA</v>
      </c>
      <c r="AA69" s="127">
        <f ca="1">IF($C69="S",IF($Z69="CP",$X69,IF($Z69="RA",(($X69)*QCI!$AA$3),0)),SomaAgrup)</f>
        <v>135.12934128316877</v>
      </c>
      <c r="AB69" s="128">
        <f t="shared" ca="1" si="14"/>
        <v>0</v>
      </c>
      <c r="AC69" s="565" t="e"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IF(AND(_xlfn.SINGLE(TIPOORCAMENTO)="Licitado",$AL69=0,$AN69&gt;0),"SEM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#NAME?</v>
      </c>
      <c r="AD69" t="str">
        <f ca="1">IF(C69&lt;=CRONO.NivelExibicao,MAX($AD$15:OFFSET(AD69,-1,0))+IF($C69&lt;&gt;1,1,MAX(1,COUNTIF(QCI!$A$13:$A$24,OFFSET($E69,-1,0)))),"")</f>
        <v/>
      </c>
      <c r="AE69" s="7" t="str">
        <f ca="1">IF(AND($C69="S",ORÇAMENTO.CodBarra&lt;&gt;""),IF(ORÇAMENTO.Fonte="",ORÇAMENTO.CodBarra,CONCATENATE(ORÇAMENTO.Fonte," ",ORÇAMENTO.CodBarra)))</f>
        <v>SICRO 5914622</v>
      </c>
      <c r="AF69" s="12">
        <f ca="1">IF(ISERROR(INDIRECT(ORÇAMENTO.BancoRef)),"(abra o arquivo 'Referência "&amp;Excel_BuiltIn_Database&amp;".xlsm)",IF(OR($C69&lt;&gt;"S",ORÇAMENTO.CodBarra=""),"(Sem Código)",IF(ISERROR(MATCH($AE69,INDIRECT(ORÇAMENTO.BancoRef),0)),"(Código não identificado nas referências)",MATCH($AE69,INDIRECT(ORÇAMENTO.BancoRef),0))))</f>
        <v>21997</v>
      </c>
      <c r="AG69" s="428">
        <f ca="1">ROUND(IF(DESONERACAO="sim",REFERENCIA.Desonerado,REFERENCIA.NaoDesonerado),2)</f>
        <v>2.2200000000000002</v>
      </c>
      <c r="AH69" s="429">
        <f t="shared" ca="1" si="15"/>
        <v>0.15</v>
      </c>
      <c r="AJ69" s="431"/>
      <c r="AL69" s="439"/>
      <c r="AM69" s="336">
        <f t="shared" ca="1" si="19"/>
        <v>489.22</v>
      </c>
      <c r="AN69" s="470">
        <f t="shared" ca="1" si="16"/>
        <v>2.5499999999999998</v>
      </c>
    </row>
    <row r="70" spans="1:40" ht="13.8" x14ac:dyDescent="0.3">
      <c r="A70" t="str">
        <f t="shared" si="1"/>
        <v>S</v>
      </c>
      <c r="B70">
        <f t="shared" ca="1" si="2"/>
        <v>2</v>
      </c>
      <c r="C70" t="str">
        <f t="shared" ca="1" si="3"/>
        <v>S</v>
      </c>
      <c r="D70">
        <f t="shared" ca="1" si="4"/>
        <v>0</v>
      </c>
      <c r="E70">
        <f ca="1">IF($C70=1,OFFSET(E70,-1,0)+MAX(1,COUNTIF(QCI!$A$13:$A$24,OFFSET(ORÇAMENTO!E70,-1,0))),OFFSET(E70,-1,0))</f>
        <v>2</v>
      </c>
      <c r="F70">
        <f t="shared" ca="1" si="5"/>
        <v>3</v>
      </c>
      <c r="G70">
        <f t="shared" ca="1" si="6"/>
        <v>0</v>
      </c>
      <c r="H70">
        <f t="shared" ca="1" si="7"/>
        <v>0</v>
      </c>
      <c r="I70">
        <f t="shared" ca="1" si="8"/>
        <v>4</v>
      </c>
      <c r="J70">
        <f t="shared" ca="1" si="22"/>
        <v>0</v>
      </c>
      <c r="K70">
        <f ca="1">IF(OR($C70="S",$C70=0),0,MATCH(OFFSET($D70,0,$C70)+IF($C70&lt;&gt;1,1,COUNTIF(QCI!$A$13:$A$24,ORÇAMENTO!E70)),OFFSET($D70,1,$C70,ROW($C$165)-ROW($C70)),0))</f>
        <v>0</v>
      </c>
      <c r="L70" s="114" t="str">
        <f t="shared" ca="1" si="10"/>
        <v>F</v>
      </c>
      <c r="M70" s="115" t="s">
        <v>705</v>
      </c>
      <c r="N70" s="116" t="str">
        <f t="shared" ca="1" si="11"/>
        <v>Serviço</v>
      </c>
      <c r="O70" s="117" t="str">
        <f t="shared" ca="1" si="12"/>
        <v>2.3.4.</v>
      </c>
      <c r="P70" s="118" t="s">
        <v>956</v>
      </c>
      <c r="Q70" s="119" t="s">
        <v>1021</v>
      </c>
      <c r="R70" s="120" t="str">
        <f ca="1">IF($C70="S",REFERENCIA.Descricao,"(digite a descrição aqui)")</f>
        <v>Concreto asfáltico - faixa C-12,5 - areia extraída e brita produzida</v>
      </c>
      <c r="S70" s="121" t="str">
        <f ca="1">REFERENCIA.Unidade</f>
        <v>t</v>
      </c>
      <c r="T70" s="122">
        <f ca="1">OFFSET(CÁLCULO!H$15,ROW($T70)-ROW(T$15),0)</f>
        <v>158.76</v>
      </c>
      <c r="U70" s="123">
        <f t="shared" ca="1" si="23"/>
        <v>142.19</v>
      </c>
      <c r="V70" s="124" t="s">
        <v>663</v>
      </c>
      <c r="W70" s="122">
        <f ca="1">IF($C70="S",ROUND(IF(TIPOORCAMENTO="Proposto",ORÇAMENTO.CustoUnitario*(1+$AH70),ORÇAMENTO.PrecoUnitarioLicitado),15-13*$AF$10),0)</f>
        <v>174.65</v>
      </c>
      <c r="X70" s="125" cm="1">
        <f t="array" aca="1" ref="X70" ca="1">IF($C70="S",IF(OR(Import.TipoArredondamento&lt;&gt;"TransfereGOV",ACOMPANHAMENTO="BM"),VTOTAL1,SUM(OFFSET(CÁLCULO!$AI$15,ROW($X70)-ROW($X$15),1):OFFSET(CÁLCULO!$BB$15,ROW($X70)-ROW($X$15),-1))),IF($C70=0,0,ROUND(SomaAgrup,15-13*$AF$11)))</f>
        <v>27727.43</v>
      </c>
      <c r="Y70" s="126" t="s">
        <v>751</v>
      </c>
      <c r="Z70" t="str">
        <f t="shared" ca="1" si="13"/>
        <v>RA</v>
      </c>
      <c r="AA70" s="127">
        <f ca="1">IF($C70="S",IF($Z70="CP",$X70,IF($Z70="RA",(($X70)*QCI!$AA$3),0)),SomaAgrup)</f>
        <v>7658.700280804489</v>
      </c>
      <c r="AB70" s="128">
        <f t="shared" ca="1" si="14"/>
        <v>0</v>
      </c>
      <c r="AC70" s="565" t="e"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IF(AND(_xlfn.SINGLE(TIPOORCAMENTO)="Licitado",$AL70=0,$AN70&gt;0),"SEM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#NAME?</v>
      </c>
      <c r="AD70" t="str">
        <f ca="1">IF(C70&lt;=CRONO.NivelExibicao,MAX($AD$15:OFFSET(AD70,-1,0))+IF($C70&lt;&gt;1,1,MAX(1,COUNTIF(QCI!$A$13:$A$24,OFFSET($E70,-1,0)))),"")</f>
        <v/>
      </c>
      <c r="AE70" s="7" t="str">
        <f ca="1">IF(AND($C70="S",ORÇAMENTO.CodBarra&lt;&gt;""),IF(ORÇAMENTO.Fonte="",ORÇAMENTO.CodBarra,CONCATENATE(ORÇAMENTO.Fonte," ",ORÇAMENTO.CodBarra)))</f>
        <v>SICRO 4011462</v>
      </c>
      <c r="AF70" s="12">
        <f ca="1">IF(ISERROR(INDIRECT(ORÇAMENTO.BancoRef)),"(abra o arquivo 'Referência "&amp;Excel_BuiltIn_Database&amp;".xlsm)",IF(OR($C70&lt;&gt;"S",ORÇAMENTO.CodBarra=""),"(Sem Código)",IF(ISERROR(MATCH($AE70,INDIRECT(ORÇAMENTO.BancoRef),0)),"(Código não identificado nas referências)",MATCH($AE70,INDIRECT(ORÇAMENTO.BancoRef),0))))</f>
        <v>20360</v>
      </c>
      <c r="AG70" s="428">
        <f ca="1">ROUND(IF(DESONERACAO="sim",REFERENCIA.Desonerado,REFERENCIA.NaoDesonerado),2)</f>
        <v>142.19</v>
      </c>
      <c r="AH70" s="429">
        <f t="shared" ca="1" si="15"/>
        <v>0.2283</v>
      </c>
      <c r="AJ70" s="431"/>
      <c r="AL70" s="439"/>
      <c r="AM70" s="336">
        <f t="shared" ca="1" si="19"/>
        <v>27727.43</v>
      </c>
      <c r="AN70" s="470">
        <f t="shared" ca="1" si="16"/>
        <v>174.65</v>
      </c>
    </row>
    <row r="71" spans="1:40" ht="13.8" x14ac:dyDescent="0.3">
      <c r="A71" t="str">
        <f t="shared" si="1"/>
        <v>S</v>
      </c>
      <c r="B71">
        <f t="shared" ca="1" si="2"/>
        <v>2</v>
      </c>
      <c r="C71" t="str">
        <f t="shared" ca="1" si="3"/>
        <v>S</v>
      </c>
      <c r="D71">
        <f t="shared" ca="1" si="4"/>
        <v>0</v>
      </c>
      <c r="E71">
        <f ca="1">IF($C71=1,OFFSET(E71,-1,0)+MAX(1,COUNTIF(QCI!$A$13:$A$24,OFFSET(ORÇAMENTO!E71,-1,0))),OFFSET(E71,-1,0))</f>
        <v>2</v>
      </c>
      <c r="F71">
        <f t="shared" ca="1" si="5"/>
        <v>3</v>
      </c>
      <c r="G71">
        <f t="shared" ca="1" si="6"/>
        <v>0</v>
      </c>
      <c r="H71">
        <f t="shared" ca="1" si="7"/>
        <v>0</v>
      </c>
      <c r="I71">
        <f t="shared" ca="1" si="8"/>
        <v>5</v>
      </c>
      <c r="J71">
        <f t="shared" ca="1" si="22"/>
        <v>0</v>
      </c>
      <c r="K71">
        <f ca="1">IF(OR($C71="S",$C71=0),0,MATCH(OFFSET($D71,0,$C71)+IF($C71&lt;&gt;1,1,COUNTIF(QCI!$A$13:$A$24,ORÇAMENTO!E71)),OFFSET($D71,1,$C71,ROW($C$165)-ROW($C71)),0))</f>
        <v>0</v>
      </c>
      <c r="L71" s="114" t="str">
        <f t="shared" ca="1" si="10"/>
        <v>F</v>
      </c>
      <c r="M71" s="115" t="s">
        <v>705</v>
      </c>
      <c r="N71" s="116" t="str">
        <f t="shared" ca="1" si="11"/>
        <v>Serviço</v>
      </c>
      <c r="O71" s="117" t="str">
        <f t="shared" ca="1" si="12"/>
        <v>2.3.5.</v>
      </c>
      <c r="P71" s="118" t="s">
        <v>956</v>
      </c>
      <c r="Q71" s="119" t="s">
        <v>1022</v>
      </c>
      <c r="R71" s="120" t="str">
        <f ca="1">IF($C71="S",REFERENCIA.Descricao,"(digite a descrição aqui)")</f>
        <v>Transporte com caminhão basculante de 10 m³ - rodovia pavimentada</v>
      </c>
      <c r="S71" s="121" t="str">
        <f ca="1">REFERENCIA.Unidade</f>
        <v>tkm</v>
      </c>
      <c r="T71" s="122">
        <f ca="1">OFFSET(CÁLCULO!H$15,ROW($T71)-ROW(T$15),0)</f>
        <v>3333.96</v>
      </c>
      <c r="U71" s="123">
        <f t="shared" ca="1" si="23"/>
        <v>0.82</v>
      </c>
      <c r="V71" s="124" t="s">
        <v>663</v>
      </c>
      <c r="W71" s="122">
        <f ca="1">IF($C71="S",ROUND(IF(TIPOORCAMENTO="Proposto",ORÇAMENTO.CustoUnitario*(1+$AH71),ORÇAMENTO.PrecoUnitarioLicitado),15-13*$AF$10),0)</f>
        <v>1.01</v>
      </c>
      <c r="X71" s="125" cm="1">
        <f t="array" aca="1" ref="X71" ca="1">IF($C71="S",IF(OR(Import.TipoArredondamento&lt;&gt;"TransfereGOV",ACOMPANHAMENTO="BM"),VTOTAL1,SUM(OFFSET(CÁLCULO!$AI$15,ROW($X71)-ROW($X$15),1):OFFSET(CÁLCULO!$BB$15,ROW($X71)-ROW($X$15),-1))),IF($C71=0,0,ROUND(SomaAgrup,15-13*$AF$11)))</f>
        <v>3367.3</v>
      </c>
      <c r="Y71" s="126" t="s">
        <v>751</v>
      </c>
      <c r="Z71" t="str">
        <f t="shared" ca="1" si="13"/>
        <v>RA</v>
      </c>
      <c r="AA71" s="127">
        <f ca="1">IF($C71="S",IF($Z71="CP",$X71,IF($Z71="RA",(($X71)*QCI!$AA$3),0)),SomaAgrup)</f>
        <v>930.09490802259563</v>
      </c>
      <c r="AB71" s="128">
        <f t="shared" ca="1" si="14"/>
        <v>0</v>
      </c>
      <c r="AC71" s="565" t="e"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IF(AND(_xlfn.SINGLE(TIPOORCAMENTO)="Licitado",$AL71=0,$AN71&gt;0),"SEM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#NAME?</v>
      </c>
      <c r="AD71" t="str">
        <f ca="1">IF(C71&lt;=CRONO.NivelExibicao,MAX($AD$15:OFFSET(AD71,-1,0))+IF($C71&lt;&gt;1,1,MAX(1,COUNTIF(QCI!$A$13:$A$24,OFFSET($E71,-1,0)))),"")</f>
        <v/>
      </c>
      <c r="AE71" s="7" t="str">
        <f ca="1">IF(AND($C71="S",ORÇAMENTO.CodBarra&lt;&gt;""),IF(ORÇAMENTO.Fonte="",ORÇAMENTO.CodBarra,CONCATENATE(ORÇAMENTO.Fonte," ",ORÇAMENTO.CodBarra)))</f>
        <v>SICRO 5914389</v>
      </c>
      <c r="AF71" s="12">
        <f ca="1">IF(ISERROR(INDIRECT(ORÇAMENTO.BancoRef)),"(abra o arquivo 'Referência "&amp;Excel_BuiltIn_Database&amp;".xlsm)",IF(OR($C71&lt;&gt;"S",ORÇAMENTO.CodBarra=""),"(Sem Código)",IF(ISERROR(MATCH($AE71,INDIRECT(ORÇAMENTO.BancoRef),0)),"(Código não identificado nas referências)",MATCH($AE71,INDIRECT(ORÇAMENTO.BancoRef),0))))</f>
        <v>21868</v>
      </c>
      <c r="AG71" s="428">
        <f ca="1">ROUND(IF(DESONERACAO="sim",REFERENCIA.Desonerado,REFERENCIA.NaoDesonerado),2)</f>
        <v>0.82</v>
      </c>
      <c r="AH71" s="429">
        <f t="shared" ca="1" si="15"/>
        <v>0.2283</v>
      </c>
      <c r="AJ71" s="431"/>
      <c r="AL71" s="439"/>
      <c r="AM71" s="336">
        <f t="shared" ca="1" si="19"/>
        <v>3367.3</v>
      </c>
      <c r="AN71" s="470">
        <f t="shared" ca="1" si="16"/>
        <v>1.01</v>
      </c>
    </row>
    <row r="72" spans="1:40" ht="26.4" x14ac:dyDescent="0.3">
      <c r="A72" t="str">
        <f t="shared" si="1"/>
        <v>S</v>
      </c>
      <c r="B72">
        <f t="shared" ca="1" si="2"/>
        <v>2</v>
      </c>
      <c r="C72" t="str">
        <f t="shared" ca="1" si="3"/>
        <v>S</v>
      </c>
      <c r="D72">
        <f t="shared" ca="1" si="4"/>
        <v>0</v>
      </c>
      <c r="E72">
        <f ca="1">IF($C72=1,OFFSET(E72,-1,0)+MAX(1,COUNTIF(QCI!$A$13:$A$24,OFFSET(ORÇAMENTO!E72,-1,0))),OFFSET(E72,-1,0))</f>
        <v>2</v>
      </c>
      <c r="F72">
        <f t="shared" ca="1" si="5"/>
        <v>3</v>
      </c>
      <c r="G72">
        <f t="shared" ca="1" si="6"/>
        <v>0</v>
      </c>
      <c r="H72">
        <f t="shared" ca="1" si="7"/>
        <v>0</v>
      </c>
      <c r="I72">
        <f t="shared" ca="1" si="8"/>
        <v>6</v>
      </c>
      <c r="J72">
        <f t="shared" ca="1" si="22"/>
        <v>0</v>
      </c>
      <c r="K72">
        <f ca="1">IF(OR($C72="S",$C72=0),0,MATCH(OFFSET($D72,0,$C72)+IF($C72&lt;&gt;1,1,COUNTIF(QCI!$A$13:$A$24,ORÇAMENTO!E72)),OFFSET($D72,1,$C72,ROW($C$165)-ROW($C72)),0))</f>
        <v>0</v>
      </c>
      <c r="L72" s="114" t="str">
        <f t="shared" ca="1" si="10"/>
        <v>F</v>
      </c>
      <c r="M72" s="115" t="s">
        <v>705</v>
      </c>
      <c r="N72" s="116" t="str">
        <f t="shared" ca="1" si="11"/>
        <v>Serviço</v>
      </c>
      <c r="O72" s="117" t="str">
        <f t="shared" ca="1" si="12"/>
        <v>2.3.6.</v>
      </c>
      <c r="P72" s="118" t="s">
        <v>958</v>
      </c>
      <c r="Q72" s="119" t="s">
        <v>1023</v>
      </c>
      <c r="R72" s="120" t="str">
        <f ca="1">IF($C72="S",REFERENCIA.Descricao,"(digite a descrição aqui)")</f>
        <v>CIMENTO ASFÁLTICO CAP 50-70, COLETADO NA ANP, ACRESCIDO DE IMPOSTOS (ICMS, PIS, CONFINS)</v>
      </c>
      <c r="S72" s="121" t="str">
        <f ca="1">REFERENCIA.Unidade</f>
        <v>KG</v>
      </c>
      <c r="T72" s="122">
        <f ca="1">OFFSET(CÁLCULO!H$15,ROW($T72)-ROW(T$15),0)</f>
        <v>8986.2000000000007</v>
      </c>
      <c r="U72" s="123">
        <f t="shared" ca="1" si="23"/>
        <v>4.8600000000000003</v>
      </c>
      <c r="V72" s="124" t="s">
        <v>697</v>
      </c>
      <c r="W72" s="122">
        <f ca="1">IF($C72="S",ROUND(IF(TIPOORCAMENTO="Proposto",ORÇAMENTO.CustoUnitario*(1+$AH72),ORÇAMENTO.PrecoUnitarioLicitado),15-13*$AF$10),0)</f>
        <v>5.59</v>
      </c>
      <c r="X72" s="125" cm="1">
        <f t="array" aca="1" ref="X72" ca="1">IF($C72="S",IF(OR(Import.TipoArredondamento&lt;&gt;"TransfereGOV",ACOMPANHAMENTO="BM"),VTOTAL1,SUM(OFFSET(CÁLCULO!$AI$15,ROW($X72)-ROW($X$15),1):OFFSET(CÁLCULO!$BB$15,ROW($X72)-ROW($X$15),-1))),IF($C72=0,0,ROUND(SomaAgrup,15-13*$AF$11)))</f>
        <v>50232.86</v>
      </c>
      <c r="Y72" s="126" t="s">
        <v>751</v>
      </c>
      <c r="Z72" t="str">
        <f t="shared" ca="1" si="13"/>
        <v>RA</v>
      </c>
      <c r="AA72" s="127">
        <f ca="1">IF($C72="S",IF($Z72="CP",$X72,IF($Z72="RA",(($X72)*QCI!$AA$3),0)),SomaAgrup)</f>
        <v>13875.011819978001</v>
      </c>
      <c r="AB72" s="128">
        <f t="shared" ca="1" si="14"/>
        <v>0</v>
      </c>
      <c r="AC72" s="565" t="e"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IF(AND(_xlfn.SINGLE(TIPOORCAMENTO)="Licitado",$AL72=0,$AN72&gt;0),"SEM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#NAME?</v>
      </c>
      <c r="AD72" t="str">
        <f ca="1">IF(C72&lt;=CRONO.NivelExibicao,MAX($AD$15:OFFSET(AD72,-1,0))+IF($C72&lt;&gt;1,1,MAX(1,COUNTIF(QCI!$A$13:$A$24,OFFSET($E72,-1,0)))),"")</f>
        <v/>
      </c>
      <c r="AE72" s="7" t="str">
        <f ca="1">IF(AND($C72="S",ORÇAMENTO.CodBarra&lt;&gt;""),IF(ORÇAMENTO.Fonte="",ORÇAMENTO.CodBarra,CONCATENATE(ORÇAMENTO.Fonte," ",ORÇAMENTO.CodBarra)))</f>
        <v>Cotação COT 03</v>
      </c>
      <c r="AF72" s="12">
        <f ca="1">IF(ISERROR(INDIRECT(ORÇAMENTO.BancoRef)),"(abra o arquivo 'Referência "&amp;Excel_BuiltIn_Database&amp;".xlsm)",IF(OR($C72&lt;&gt;"S",ORÇAMENTO.CodBarra=""),"(Sem Código)",IF(ISERROR(MATCH($AE72,INDIRECT(ORÇAMENTO.BancoRef),0)),"(Código não identificado nas referências)",MATCH($AE72,INDIRECT(ORÇAMENTO.BancoRef),0))))</f>
        <v>31</v>
      </c>
      <c r="AG72" s="428">
        <f ca="1">ROUND(IF(DESONERACAO="sim",REFERENCIA.Desonerado,REFERENCIA.NaoDesonerado),2)</f>
        <v>4.8600000000000003</v>
      </c>
      <c r="AH72" s="429">
        <f t="shared" ca="1" si="15"/>
        <v>0.15</v>
      </c>
      <c r="AJ72" s="431"/>
      <c r="AL72" s="439"/>
      <c r="AM72" s="336">
        <f t="shared" ca="1" si="19"/>
        <v>50232.86</v>
      </c>
      <c r="AN72" s="470">
        <f t="shared" ca="1" si="16"/>
        <v>5.59</v>
      </c>
    </row>
    <row r="73" spans="1:40" ht="26.4" x14ac:dyDescent="0.3">
      <c r="A73" t="str">
        <f t="shared" si="1"/>
        <v>S</v>
      </c>
      <c r="B73">
        <f t="shared" ca="1" si="2"/>
        <v>2</v>
      </c>
      <c r="C73" t="str">
        <f t="shared" ca="1" si="3"/>
        <v>S</v>
      </c>
      <c r="D73">
        <f t="shared" ca="1" si="4"/>
        <v>0</v>
      </c>
      <c r="E73">
        <f ca="1">IF($C73=1,OFFSET(E73,-1,0)+MAX(1,COUNTIF(QCI!$A$13:$A$24,OFFSET(ORÇAMENTO!E73,-1,0))),OFFSET(E73,-1,0))</f>
        <v>2</v>
      </c>
      <c r="F73">
        <f t="shared" ca="1" si="5"/>
        <v>3</v>
      </c>
      <c r="G73">
        <f t="shared" ca="1" si="6"/>
        <v>0</v>
      </c>
      <c r="H73">
        <f t="shared" ca="1" si="7"/>
        <v>0</v>
      </c>
      <c r="I73">
        <f t="shared" ca="1" si="8"/>
        <v>7</v>
      </c>
      <c r="J73">
        <f t="shared" ca="1" si="22"/>
        <v>0</v>
      </c>
      <c r="K73">
        <f ca="1">IF(OR($C73="S",$C73=0),0,MATCH(OFFSET($D73,0,$C73)+IF($C73&lt;&gt;1,1,COUNTIF(QCI!$A$13:$A$24,ORÇAMENTO!E73)),OFFSET($D73,1,$C73,ROW($C$165)-ROW($C73)),0))</f>
        <v>0</v>
      </c>
      <c r="L73" s="114" t="str">
        <f t="shared" ca="1" si="10"/>
        <v>F</v>
      </c>
      <c r="M73" s="115" t="s">
        <v>705</v>
      </c>
      <c r="N73" s="116" t="str">
        <f t="shared" ca="1" si="11"/>
        <v>Serviço</v>
      </c>
      <c r="O73" s="117" t="str">
        <f t="shared" ca="1" si="12"/>
        <v>2.3.7.</v>
      </c>
      <c r="P73" s="118" t="s">
        <v>956</v>
      </c>
      <c r="Q73" s="119" t="s">
        <v>1015</v>
      </c>
      <c r="R73" s="120" t="str">
        <f ca="1">IF($C73="S",REFERENCIA.Descricao,"(digite a descrição aqui)")</f>
        <v>Transporte de material betuminoso com caminhão tanque distribuidor - rodovia pavimentada</v>
      </c>
      <c r="S73" s="121" t="str">
        <f ca="1">REFERENCIA.Unidade</f>
        <v>tkm</v>
      </c>
      <c r="T73" s="122">
        <f ca="1">OFFSET(CÁLCULO!H$15,ROW($T73)-ROW(T$15),0)</f>
        <v>3028.34</v>
      </c>
      <c r="U73" s="123">
        <f t="shared" ca="1" si="23"/>
        <v>2.2200000000000002</v>
      </c>
      <c r="V73" s="124" t="s">
        <v>697</v>
      </c>
      <c r="W73" s="122">
        <f ca="1">IF($C73="S",ROUND(IF(TIPOORCAMENTO="Proposto",ORÇAMENTO.CustoUnitario*(1+$AH73),ORÇAMENTO.PrecoUnitarioLicitado),15-13*$AF$10),0)</f>
        <v>2.5499999999999998</v>
      </c>
      <c r="X73" s="125" cm="1">
        <f t="array" aca="1" ref="X73" ca="1">IF($C73="S",IF(OR(Import.TipoArredondamento&lt;&gt;"TransfereGOV",ACOMPANHAMENTO="BM"),VTOTAL1,SUM(OFFSET(CÁLCULO!$AI$15,ROW($X73)-ROW($X$15),1):OFFSET(CÁLCULO!$BB$15,ROW($X73)-ROW($X$15),-1))),IF($C73=0,0,ROUND(SomaAgrup,15-13*$AF$11)))</f>
        <v>7722.27</v>
      </c>
      <c r="Y73" s="126" t="s">
        <v>751</v>
      </c>
      <c r="Z73" t="str">
        <f t="shared" ca="1" si="13"/>
        <v>RA</v>
      </c>
      <c r="AA73" s="127">
        <f ca="1">IF($C73="S",IF($Z73="CP",$X73,IF($Z73="RA",(($X73)*QCI!$AA$3),0)),SomaAgrup)</f>
        <v>2132.9979524769547</v>
      </c>
      <c r="AB73" s="128">
        <f t="shared" ca="1" si="14"/>
        <v>0</v>
      </c>
      <c r="AC73" s="565" t="e"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IF(AND(_xlfn.SINGLE(TIPOORCAMENTO)="Licitado",$AL73=0,$AN73&gt;0),"SEM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#NAME?</v>
      </c>
      <c r="AD73" t="str">
        <f ca="1">IF(C73&lt;=CRONO.NivelExibicao,MAX($AD$15:OFFSET(AD73,-1,0))+IF($C73&lt;&gt;1,1,MAX(1,COUNTIF(QCI!$A$13:$A$24,OFFSET($E73,-1,0)))),"")</f>
        <v/>
      </c>
      <c r="AE73" s="7" t="str">
        <f ca="1">IF(AND($C73="S",ORÇAMENTO.CodBarra&lt;&gt;""),IF(ORÇAMENTO.Fonte="",ORÇAMENTO.CodBarra,CONCATENATE(ORÇAMENTO.Fonte," ",ORÇAMENTO.CodBarra)))</f>
        <v>SICRO 5914622</v>
      </c>
      <c r="AF73" s="12">
        <f ca="1">IF(ISERROR(INDIRECT(ORÇAMENTO.BancoRef)),"(abra o arquivo 'Referência "&amp;Excel_BuiltIn_Database&amp;".xlsm)",IF(OR($C73&lt;&gt;"S",ORÇAMENTO.CodBarra=""),"(Sem Código)",IF(ISERROR(MATCH($AE73,INDIRECT(ORÇAMENTO.BancoRef),0)),"(Código não identificado nas referências)",MATCH($AE73,INDIRECT(ORÇAMENTO.BancoRef),0))))</f>
        <v>21997</v>
      </c>
      <c r="AG73" s="428">
        <f ca="1">ROUND(IF(DESONERACAO="sim",REFERENCIA.Desonerado,REFERENCIA.NaoDesonerado),2)</f>
        <v>2.2200000000000002</v>
      </c>
      <c r="AH73" s="429">
        <f t="shared" ca="1" si="15"/>
        <v>0.15</v>
      </c>
      <c r="AJ73" s="431"/>
      <c r="AL73" s="439"/>
      <c r="AM73" s="336">
        <f t="shared" ca="1" si="19"/>
        <v>7722.27</v>
      </c>
      <c r="AN73" s="470">
        <f t="shared" ca="1" si="16"/>
        <v>2.5499999999999998</v>
      </c>
    </row>
    <row r="74" spans="1:40" ht="13.8" x14ac:dyDescent="0.3">
      <c r="A74">
        <f t="shared" si="1"/>
        <v>2</v>
      </c>
      <c r="B74">
        <f t="shared" ca="1" si="2"/>
        <v>2</v>
      </c>
      <c r="C74">
        <f t="shared" ca="1" si="3"/>
        <v>2</v>
      </c>
      <c r="D74">
        <f t="shared" ca="1" si="4"/>
        <v>8</v>
      </c>
      <c r="E74">
        <f ca="1">IF($C74=1,OFFSET(E74,-1,0)+MAX(1,COUNTIF(QCI!$A$13:$A$24,OFFSET(ORÇAMENTO!E74,-1,0))),OFFSET(E74,-1,0))</f>
        <v>2</v>
      </c>
      <c r="F74">
        <f t="shared" ca="1" si="5"/>
        <v>4</v>
      </c>
      <c r="G74">
        <f t="shared" ca="1" si="6"/>
        <v>0</v>
      </c>
      <c r="H74">
        <f t="shared" ca="1" si="7"/>
        <v>0</v>
      </c>
      <c r="I74">
        <f t="shared" ca="1" si="8"/>
        <v>0</v>
      </c>
      <c r="J74">
        <f t="shared" ca="1" si="22"/>
        <v>19</v>
      </c>
      <c r="K74">
        <f ca="1">IF(OR($C74="S",$C74=0),0,MATCH(OFFSET($D74,0,$C74)+IF($C74&lt;&gt;1,1,COUNTIF(QCI!$A$13:$A$24,ORÇAMENTO!E74)),OFFSET($D74,1,$C74,ROW($C$165)-ROW($C74)),0))</f>
        <v>8</v>
      </c>
      <c r="L74" s="114" t="str">
        <f t="shared" ca="1" si="10"/>
        <v>F</v>
      </c>
      <c r="M74" s="115" t="s">
        <v>702</v>
      </c>
      <c r="N74" s="116" t="str">
        <f t="shared" ca="1" si="11"/>
        <v>Nível 2</v>
      </c>
      <c r="O74" s="117" t="str">
        <f t="shared" ca="1" si="12"/>
        <v>2.4.</v>
      </c>
      <c r="P74" s="118" t="s">
        <v>750</v>
      </c>
      <c r="Q74" s="119"/>
      <c r="R74" s="120" t="s">
        <v>1053</v>
      </c>
      <c r="S74" s="121" t="str">
        <f ca="1">REFERENCIA.Unidade</f>
        <v>-</v>
      </c>
      <c r="T74" s="122">
        <f ca="1">OFFSET(CÁLCULO!H$15,ROW($T74)-ROW(T$15),0)</f>
        <v>0</v>
      </c>
      <c r="U74" s="123"/>
      <c r="V74" s="124" t="s">
        <v>663</v>
      </c>
      <c r="W74" s="122">
        <f ca="1">IF($C74="S",ROUND(IF(TIPOORCAMENTO="Proposto",ORÇAMENTO.CustoUnitario*(1+$AH74),ORÇAMENTO.PrecoUnitarioLicitado),15-13*$AF$10),0)</f>
        <v>0</v>
      </c>
      <c r="X74" s="125" cm="1">
        <f t="array" aca="1" ref="X74" ca="1">IF($C74="S",IF(OR(Import.TipoArredondamento&lt;&gt;"TransfereGOV",ACOMPANHAMENTO="BM"),VTOTAL1,SUM(OFFSET(CÁLCULO!$AI$15,ROW($X74)-ROW($X$15),1):OFFSET(CÁLCULO!$BB$15,ROW($X74)-ROW($X$15),-1))),IF($C74=0,0,ROUND(SomaAgrup,15-13*$AF$11)))</f>
        <v>5117.83</v>
      </c>
      <c r="Y74" s="126" t="s">
        <v>751</v>
      </c>
      <c r="Z74" t="str">
        <f t="shared" ca="1" si="13"/>
        <v/>
      </c>
      <c r="AA74" s="127">
        <f ca="1">IF($C74="S",IF($Z74="CP",$X74,IF($Z74="RA",(($X74)*QCI!$AA$3),0)),SomaAgrup)</f>
        <v>1413.6155445387344</v>
      </c>
      <c r="AB74" s="128">
        <f t="shared" ca="1" si="14"/>
        <v>0</v>
      </c>
      <c r="AC74" s="565" t="e"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IF(AND(_xlfn.SINGLE(TIPOORCAMENTO)="Licitado",$AL74=0,$AN74&gt;0),"SEM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#NAME?</v>
      </c>
      <c r="AD74">
        <f ca="1">IF(C74&lt;=CRONO.NivelExibicao,MAX($AD$15:OFFSET(AD74,-1,0))+IF($C74&lt;&gt;1,1,MAX(1,COUNTIF(QCI!$A$13:$A$24,OFFSET($E74,-1,0)))),"")</f>
        <v>13</v>
      </c>
      <c r="AE74" s="7" t="b">
        <f ca="1">IF(AND($C74="S",ORÇAMENTO.CodBarra&lt;&gt;""),IF(ORÇAMENTO.Fonte="",ORÇAMENTO.CodBarra,CONCATENATE(ORÇAMENTO.Fonte," ",ORÇAMENTO.CodBarra)))</f>
        <v>0</v>
      </c>
      <c r="AF74" s="12" t="str">
        <f ca="1">IF(ISERROR(INDIRECT(ORÇAMENTO.BancoRef)),"(abra o arquivo 'Referência "&amp;Excel_BuiltIn_Database&amp;".xlsm)",IF(OR($C74&lt;&gt;"S",ORÇAMENTO.CodBarra=""),"(Sem Código)",IF(ISERROR(MATCH($AE74,INDIRECT(ORÇAMENTO.BancoRef),0)),"(Código não identificado nas referências)",MATCH($AE74,INDIRECT(ORÇAMENTO.BancoRef),0))))</f>
        <v>(Sem Código)</v>
      </c>
      <c r="AG74" s="428">
        <f ca="1">ROUND(IF(DESONERACAO="sim",REFERENCIA.Desonerado,REFERENCIA.NaoDesonerado),2)</f>
        <v>0</v>
      </c>
      <c r="AH74" s="429">
        <f t="shared" ca="1" si="15"/>
        <v>0.2283</v>
      </c>
      <c r="AJ74" s="431"/>
      <c r="AL74" s="439"/>
      <c r="AM74" s="336">
        <f t="shared" ca="1" si="19"/>
        <v>5117.83</v>
      </c>
      <c r="AN74" s="470">
        <f t="shared" ca="1" si="16"/>
        <v>0</v>
      </c>
    </row>
    <row r="75" spans="1:40" ht="13.8" x14ac:dyDescent="0.3">
      <c r="A75" t="str">
        <f t="shared" si="1"/>
        <v>S</v>
      </c>
      <c r="B75">
        <f t="shared" ca="1" si="2"/>
        <v>2</v>
      </c>
      <c r="C75" t="str">
        <f t="shared" ca="1" si="3"/>
        <v>S</v>
      </c>
      <c r="D75">
        <f t="shared" ca="1" si="4"/>
        <v>0</v>
      </c>
      <c r="E75">
        <f ca="1">IF($C75=1,OFFSET(E75,-1,0)+MAX(1,COUNTIF(QCI!$A$13:$A$24,OFFSET(ORÇAMENTO!E75,-1,0))),OFFSET(E75,-1,0))</f>
        <v>2</v>
      </c>
      <c r="F75">
        <f t="shared" ca="1" si="5"/>
        <v>4</v>
      </c>
      <c r="G75">
        <f t="shared" ca="1" si="6"/>
        <v>0</v>
      </c>
      <c r="H75">
        <f t="shared" ca="1" si="7"/>
        <v>0</v>
      </c>
      <c r="I75">
        <f t="shared" ca="1" si="8"/>
        <v>1</v>
      </c>
      <c r="J75">
        <f t="shared" ca="1" si="22"/>
        <v>0</v>
      </c>
      <c r="K75">
        <f ca="1">IF(OR($C75="S",$C75=0),0,MATCH(OFFSET($D75,0,$C75)+IF($C75&lt;&gt;1,1,COUNTIF(QCI!$A$13:$A$24,ORÇAMENTO!E75)),OFFSET($D75,1,$C75,ROW($C$165)-ROW($C75)),0))</f>
        <v>0</v>
      </c>
      <c r="L75" s="114" t="str">
        <f t="shared" ca="1" si="10"/>
        <v>F</v>
      </c>
      <c r="M75" s="115" t="s">
        <v>705</v>
      </c>
      <c r="N75" s="116" t="str">
        <f t="shared" ca="1" si="11"/>
        <v>Serviço</v>
      </c>
      <c r="O75" s="117" t="str">
        <f t="shared" ca="1" si="12"/>
        <v>2.4.1.</v>
      </c>
      <c r="P75" s="118" t="s">
        <v>956</v>
      </c>
      <c r="Q75" s="119" t="s">
        <v>1019</v>
      </c>
      <c r="R75" s="120" t="str">
        <f ca="1">IF($C75="S",REFERENCIA.Descricao,"(digite a descrição aqui)")</f>
        <v>Pintura de ligação</v>
      </c>
      <c r="S75" s="121" t="str">
        <f ca="1">REFERENCIA.Unidade</f>
        <v>m²</v>
      </c>
      <c r="T75" s="122">
        <f ca="1">OFFSET(CÁLCULO!H$15,ROW($T75)-ROW(T$15),0)</f>
        <v>52.91</v>
      </c>
      <c r="U75" s="123">
        <f t="shared" ref="U75:U81" ca="1" si="24">AG75</f>
        <v>0.46</v>
      </c>
      <c r="V75" s="124" t="s">
        <v>663</v>
      </c>
      <c r="W75" s="122">
        <f ca="1">IF($C75="S",ROUND(IF(TIPOORCAMENTO="Proposto",ORÇAMENTO.CustoUnitario*(1+$AH75),ORÇAMENTO.PrecoUnitarioLicitado),15-13*$AF$10),0)</f>
        <v>0.56999999999999995</v>
      </c>
      <c r="X75" s="125" cm="1">
        <f t="array" aca="1" ref="X75" ca="1">IF($C75="S",IF(OR(Import.TipoArredondamento&lt;&gt;"TransfereGOV",ACOMPANHAMENTO="BM"),VTOTAL1,SUM(OFFSET(CÁLCULO!$AI$15,ROW($X75)-ROW($X$15),1):OFFSET(CÁLCULO!$BB$15,ROW($X75)-ROW($X$15),-1))),IF($C75=0,0,ROUND(SomaAgrup,15-13*$AF$11)))</f>
        <v>30.16</v>
      </c>
      <c r="Y75" s="126" t="s">
        <v>751</v>
      </c>
      <c r="Z75" t="str">
        <f t="shared" ca="1" si="13"/>
        <v>RA</v>
      </c>
      <c r="AA75" s="127">
        <f ca="1">IF($C75="S",IF($Z75="CP",$X75,IF($Z75="RA",(($X75)*QCI!$AA$3),0)),SomaAgrup)</f>
        <v>8.3306098137859657</v>
      </c>
      <c r="AB75" s="128">
        <f t="shared" ca="1" si="14"/>
        <v>0</v>
      </c>
      <c r="AC75" s="565" t="e"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IF(AND(_xlfn.SINGLE(TIPOORCAMENTO)="Licitado",$AL75=0,$AN75&gt;0),"SEM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#NAME?</v>
      </c>
      <c r="AD75" t="str">
        <f ca="1">IF(C75&lt;=CRONO.NivelExibicao,MAX($AD$15:OFFSET(AD75,-1,0))+IF($C75&lt;&gt;1,1,MAX(1,COUNTIF(QCI!$A$13:$A$24,OFFSET($E75,-1,0)))),"")</f>
        <v/>
      </c>
      <c r="AE75" s="7" t="str">
        <f ca="1">IF(AND($C75="S",ORÇAMENTO.CodBarra&lt;&gt;""),IF(ORÇAMENTO.Fonte="",ORÇAMENTO.CodBarra,CONCATENATE(ORÇAMENTO.Fonte," ",ORÇAMENTO.CodBarra)))</f>
        <v>SICRO 4011353</v>
      </c>
      <c r="AF75" s="12">
        <f ca="1">IF(ISERROR(INDIRECT(ORÇAMENTO.BancoRef)),"(abra o arquivo 'Referência "&amp;Excel_BuiltIn_Database&amp;".xlsm)",IF(OR($C75&lt;&gt;"S",ORÇAMENTO.CodBarra=""),"(Sem Código)",IF(ISERROR(MATCH($AE75,INDIRECT(ORÇAMENTO.BancoRef),0)),"(Código não identificado nas referências)",MATCH($AE75,INDIRECT(ORÇAMENTO.BancoRef),0))))</f>
        <v>20424</v>
      </c>
      <c r="AG75" s="428">
        <f ca="1">ROUND(IF(DESONERACAO="sim",REFERENCIA.Desonerado,REFERENCIA.NaoDesonerado),2)</f>
        <v>0.46</v>
      </c>
      <c r="AH75" s="429">
        <f t="shared" ca="1" si="15"/>
        <v>0.2283</v>
      </c>
      <c r="AJ75" s="431"/>
      <c r="AL75" s="439"/>
      <c r="AM75" s="336">
        <f t="shared" ca="1" si="19"/>
        <v>30.16</v>
      </c>
      <c r="AN75" s="470">
        <f t="shared" ca="1" si="16"/>
        <v>0.56999999999999995</v>
      </c>
    </row>
    <row r="76" spans="1:40" ht="26.4" x14ac:dyDescent="0.3">
      <c r="A76" t="str">
        <f t="shared" si="1"/>
        <v>S</v>
      </c>
      <c r="B76">
        <f t="shared" ca="1" si="2"/>
        <v>2</v>
      </c>
      <c r="C76" t="str">
        <f t="shared" ca="1" si="3"/>
        <v>S</v>
      </c>
      <c r="D76">
        <f t="shared" ca="1" si="4"/>
        <v>0</v>
      </c>
      <c r="E76">
        <f ca="1">IF($C76=1,OFFSET(E76,-1,0)+MAX(1,COUNTIF(QCI!$A$13:$A$24,OFFSET(ORÇAMENTO!E76,-1,0))),OFFSET(E76,-1,0))</f>
        <v>2</v>
      </c>
      <c r="F76">
        <f t="shared" ca="1" si="5"/>
        <v>4</v>
      </c>
      <c r="G76">
        <f t="shared" ca="1" si="6"/>
        <v>0</v>
      </c>
      <c r="H76">
        <f t="shared" ca="1" si="7"/>
        <v>0</v>
      </c>
      <c r="I76">
        <f t="shared" ca="1" si="8"/>
        <v>2</v>
      </c>
      <c r="J76">
        <f t="shared" ca="1" si="22"/>
        <v>0</v>
      </c>
      <c r="K76">
        <f ca="1">IF(OR($C76="S",$C76=0),0,MATCH(OFFSET($D76,0,$C76)+IF($C76&lt;&gt;1,1,COUNTIF(QCI!$A$13:$A$24,ORÇAMENTO!E76)),OFFSET($D76,1,$C76,ROW($C$165)-ROW($C76)),0))</f>
        <v>0</v>
      </c>
      <c r="L76" s="114" t="str">
        <f t="shared" ca="1" si="10"/>
        <v>F</v>
      </c>
      <c r="M76" s="115" t="s">
        <v>705</v>
      </c>
      <c r="N76" s="116" t="str">
        <f t="shared" ca="1" si="11"/>
        <v>Serviço</v>
      </c>
      <c r="O76" s="117" t="str">
        <f t="shared" ca="1" si="12"/>
        <v>2.4.2.</v>
      </c>
      <c r="P76" s="118" t="s">
        <v>958</v>
      </c>
      <c r="Q76" s="119" t="s">
        <v>1020</v>
      </c>
      <c r="R76" s="120" t="str">
        <f ca="1">IF($C76="S",REFERENCIA.Descricao,"(digite a descrição aqui)")</f>
        <v>EMULSÃO ASFÁLTICA RR-1C COLETADO NA ANP, ACRESCIDO DE IMPOSTOS (ICMS, PIS, COFINS)</v>
      </c>
      <c r="S76" s="121" t="str">
        <f ca="1">REFERENCIA.Unidade</f>
        <v>KG</v>
      </c>
      <c r="T76" s="122">
        <f ca="1">OFFSET(CÁLCULO!H$15,ROW($T76)-ROW(T$15),0)</f>
        <v>23.81</v>
      </c>
      <c r="U76" s="123">
        <f t="shared" ca="1" si="24"/>
        <v>3.66</v>
      </c>
      <c r="V76" s="124" t="s">
        <v>697</v>
      </c>
      <c r="W76" s="122">
        <f ca="1">IF($C76="S",ROUND(IF(TIPOORCAMENTO="Proposto",ORÇAMENTO.CustoUnitario*(1+$AH76),ORÇAMENTO.PrecoUnitarioLicitado),15-13*$AF$10),0)</f>
        <v>4.21</v>
      </c>
      <c r="X76" s="125" cm="1">
        <f t="array" aca="1" ref="X76" ca="1">IF($C76="S",IF(OR(Import.TipoArredondamento&lt;&gt;"TransfereGOV",ACOMPANHAMENTO="BM"),VTOTAL1,SUM(OFFSET(CÁLCULO!$AI$15,ROW($X76)-ROW($X$15),1):OFFSET(CÁLCULO!$BB$15,ROW($X76)-ROW($X$15),-1))),IF($C76=0,0,ROUND(SomaAgrup,15-13*$AF$11)))</f>
        <v>100.24</v>
      </c>
      <c r="Y76" s="126" t="s">
        <v>751</v>
      </c>
      <c r="Z76" t="str">
        <f t="shared" ca="1" si="13"/>
        <v>RA</v>
      </c>
      <c r="AA76" s="127">
        <f ca="1">IF($C76="S",IF($Z76="CP",$X76,IF($Z76="RA",(($X76)*QCI!$AA$3),0)),SomaAgrup)</f>
        <v>27.68767664900216</v>
      </c>
      <c r="AB76" s="128">
        <f t="shared" ca="1" si="14"/>
        <v>0</v>
      </c>
      <c r="AC76" s="565" t="e"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IF(AND(_xlfn.SINGLE(TIPOORCAMENTO)="Licitado",$AL76=0,$AN76&gt;0),"SEM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#NAME?</v>
      </c>
      <c r="AD76" t="str">
        <f ca="1">IF(C76&lt;=CRONO.NivelExibicao,MAX($AD$15:OFFSET(AD76,-1,0))+IF($C76&lt;&gt;1,1,MAX(1,COUNTIF(QCI!$A$13:$A$24,OFFSET($E76,-1,0)))),"")</f>
        <v/>
      </c>
      <c r="AE76" s="7" t="str">
        <f ca="1">IF(AND($C76="S",ORÇAMENTO.CodBarra&lt;&gt;""),IF(ORÇAMENTO.Fonte="",ORÇAMENTO.CodBarra,CONCATENATE(ORÇAMENTO.Fonte," ",ORÇAMENTO.CodBarra)))</f>
        <v>Cotação COT 02</v>
      </c>
      <c r="AF76" s="12">
        <f ca="1">IF(ISERROR(INDIRECT(ORÇAMENTO.BancoRef)),"(abra o arquivo 'Referência "&amp;Excel_BuiltIn_Database&amp;".xlsm)",IF(OR($C76&lt;&gt;"S",ORÇAMENTO.CodBarra=""),"(Sem Código)",IF(ISERROR(MATCH($AE76,INDIRECT(ORÇAMENTO.BancoRef),0)),"(Código não identificado nas referências)",MATCH($AE76,INDIRECT(ORÇAMENTO.BancoRef),0))))</f>
        <v>30</v>
      </c>
      <c r="AG76" s="428">
        <f ca="1">ROUND(IF(DESONERACAO="sim",REFERENCIA.Desonerado,REFERENCIA.NaoDesonerado),2)</f>
        <v>3.66</v>
      </c>
      <c r="AH76" s="429">
        <f t="shared" ca="1" si="15"/>
        <v>0.15</v>
      </c>
      <c r="AJ76" s="431"/>
      <c r="AL76" s="439"/>
      <c r="AM76" s="336">
        <f t="shared" ca="1" si="19"/>
        <v>100.24</v>
      </c>
      <c r="AN76" s="470">
        <f t="shared" ca="1" si="16"/>
        <v>4.21</v>
      </c>
    </row>
    <row r="77" spans="1:40" ht="26.4" x14ac:dyDescent="0.3">
      <c r="A77" t="str">
        <f t="shared" si="1"/>
        <v>S</v>
      </c>
      <c r="B77">
        <f t="shared" ca="1" si="2"/>
        <v>2</v>
      </c>
      <c r="C77" t="str">
        <f t="shared" ca="1" si="3"/>
        <v>S</v>
      </c>
      <c r="D77">
        <f t="shared" ca="1" si="4"/>
        <v>0</v>
      </c>
      <c r="E77">
        <f ca="1">IF($C77=1,OFFSET(E77,-1,0)+MAX(1,COUNTIF(QCI!$A$13:$A$24,OFFSET(ORÇAMENTO!E77,-1,0))),OFFSET(E77,-1,0))</f>
        <v>2</v>
      </c>
      <c r="F77">
        <f t="shared" ca="1" si="5"/>
        <v>4</v>
      </c>
      <c r="G77">
        <f t="shared" ca="1" si="6"/>
        <v>0</v>
      </c>
      <c r="H77">
        <f t="shared" ca="1" si="7"/>
        <v>0</v>
      </c>
      <c r="I77">
        <f t="shared" ca="1" si="8"/>
        <v>3</v>
      </c>
      <c r="J77">
        <f t="shared" ca="1" si="22"/>
        <v>0</v>
      </c>
      <c r="K77">
        <f ca="1">IF(OR($C77="S",$C77=0),0,MATCH(OFFSET($D77,0,$C77)+IF($C77&lt;&gt;1,1,COUNTIF(QCI!$A$13:$A$24,ORÇAMENTO!E77)),OFFSET($D77,1,$C77,ROW($C$165)-ROW($C77)),0))</f>
        <v>0</v>
      </c>
      <c r="L77" s="114" t="str">
        <f t="shared" ca="1" si="10"/>
        <v>F</v>
      </c>
      <c r="M77" s="115" t="s">
        <v>705</v>
      </c>
      <c r="N77" s="116" t="str">
        <f t="shared" ca="1" si="11"/>
        <v>Serviço</v>
      </c>
      <c r="O77" s="117" t="str">
        <f t="shared" ca="1" si="12"/>
        <v>2.4.3.</v>
      </c>
      <c r="P77" s="118" t="s">
        <v>956</v>
      </c>
      <c r="Q77" s="119" t="s">
        <v>1015</v>
      </c>
      <c r="R77" s="120" t="str">
        <f ca="1">IF($C77="S",REFERENCIA.Descricao,"(digite a descrição aqui)")</f>
        <v>Transporte de material betuminoso com caminhão tanque distribuidor - rodovia pavimentada</v>
      </c>
      <c r="S77" s="121" t="str">
        <f ca="1">REFERENCIA.Unidade</f>
        <v>tkm</v>
      </c>
      <c r="T77" s="122">
        <f ca="1">OFFSET(CÁLCULO!H$15,ROW($T77)-ROW(T$15),0)</f>
        <v>8.02</v>
      </c>
      <c r="U77" s="123">
        <f t="shared" ca="1" si="24"/>
        <v>2.2200000000000002</v>
      </c>
      <c r="V77" s="124" t="s">
        <v>697</v>
      </c>
      <c r="W77" s="122">
        <f ca="1">IF($C77="S",ROUND(IF(TIPOORCAMENTO="Proposto",ORÇAMENTO.CustoUnitario*(1+$AH77),ORÇAMENTO.PrecoUnitarioLicitado),15-13*$AF$10),0)</f>
        <v>2.5499999999999998</v>
      </c>
      <c r="X77" s="125" cm="1">
        <f t="array" aca="1" ref="X77" ca="1">IF($C77="S",IF(OR(Import.TipoArredondamento&lt;&gt;"TransfereGOV",ACOMPANHAMENTO="BM"),VTOTAL1,SUM(OFFSET(CÁLCULO!$AI$15,ROW($X77)-ROW($X$15),1):OFFSET(CÁLCULO!$BB$15,ROW($X77)-ROW($X$15),-1))),IF($C77=0,0,ROUND(SomaAgrup,15-13*$AF$11)))</f>
        <v>20.45</v>
      </c>
      <c r="Y77" s="126" t="s">
        <v>751</v>
      </c>
      <c r="Z77" t="str">
        <f t="shared" ca="1" si="13"/>
        <v>RA</v>
      </c>
      <c r="AA77" s="127">
        <f ca="1">IF($C77="S",IF($Z77="CP",$X77,IF($Z77="RA",(($X77)*QCI!$AA$3),0)),SomaAgrup)</f>
        <v>5.6485732988038126</v>
      </c>
      <c r="AB77" s="128">
        <f t="shared" ca="1" si="14"/>
        <v>0</v>
      </c>
      <c r="AC77" s="565" t="e"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IF(AND(_xlfn.SINGLE(TIPOORCAMENTO)="Licitado",$AL77=0,$AN77&gt;0),"SEM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#NAME?</v>
      </c>
      <c r="AD77" t="str">
        <f ca="1">IF(C77&lt;=CRONO.NivelExibicao,MAX($AD$15:OFFSET(AD77,-1,0))+IF($C77&lt;&gt;1,1,MAX(1,COUNTIF(QCI!$A$13:$A$24,OFFSET($E77,-1,0)))),"")</f>
        <v/>
      </c>
      <c r="AE77" s="7" t="str">
        <f ca="1">IF(AND($C77="S",ORÇAMENTO.CodBarra&lt;&gt;""),IF(ORÇAMENTO.Fonte="",ORÇAMENTO.CodBarra,CONCATENATE(ORÇAMENTO.Fonte," ",ORÇAMENTO.CodBarra)))</f>
        <v>SICRO 5914622</v>
      </c>
      <c r="AF77" s="12">
        <f ca="1">IF(ISERROR(INDIRECT(ORÇAMENTO.BancoRef)),"(abra o arquivo 'Referência "&amp;Excel_BuiltIn_Database&amp;".xlsm)",IF(OR($C77&lt;&gt;"S",ORÇAMENTO.CodBarra=""),"(Sem Código)",IF(ISERROR(MATCH($AE77,INDIRECT(ORÇAMENTO.BancoRef),0)),"(Código não identificado nas referências)",MATCH($AE77,INDIRECT(ORÇAMENTO.BancoRef),0))))</f>
        <v>21997</v>
      </c>
      <c r="AG77" s="428">
        <f ca="1">ROUND(IF(DESONERACAO="sim",REFERENCIA.Desonerado,REFERENCIA.NaoDesonerado),2)</f>
        <v>2.2200000000000002</v>
      </c>
      <c r="AH77" s="429">
        <f t="shared" ca="1" si="15"/>
        <v>0.15</v>
      </c>
      <c r="AJ77" s="431"/>
      <c r="AL77" s="439"/>
      <c r="AM77" s="336">
        <f t="shared" ca="1" si="19"/>
        <v>20.45</v>
      </c>
      <c r="AN77" s="470">
        <f t="shared" ca="1" si="16"/>
        <v>2.5499999999999998</v>
      </c>
    </row>
    <row r="78" spans="1:40" ht="13.8" x14ac:dyDescent="0.3">
      <c r="A78" t="str">
        <f t="shared" si="1"/>
        <v>S</v>
      </c>
      <c r="B78">
        <f t="shared" ca="1" si="2"/>
        <v>2</v>
      </c>
      <c r="C78" t="str">
        <f t="shared" ca="1" si="3"/>
        <v>S</v>
      </c>
      <c r="D78">
        <f t="shared" ca="1" si="4"/>
        <v>0</v>
      </c>
      <c r="E78">
        <f ca="1">IF($C78=1,OFFSET(E78,-1,0)+MAX(1,COUNTIF(QCI!$A$13:$A$24,OFFSET(ORÇAMENTO!E78,-1,0))),OFFSET(E78,-1,0))</f>
        <v>2</v>
      </c>
      <c r="F78">
        <f t="shared" ca="1" si="5"/>
        <v>4</v>
      </c>
      <c r="G78">
        <f t="shared" ca="1" si="6"/>
        <v>0</v>
      </c>
      <c r="H78">
        <f t="shared" ca="1" si="7"/>
        <v>0</v>
      </c>
      <c r="I78">
        <f t="shared" ca="1" si="8"/>
        <v>4</v>
      </c>
      <c r="J78">
        <f t="shared" ca="1" si="22"/>
        <v>0</v>
      </c>
      <c r="K78">
        <f ca="1">IF(OR($C78="S",$C78=0),0,MATCH(OFFSET($D78,0,$C78)+IF($C78&lt;&gt;1,1,COUNTIF(QCI!$A$13:$A$24,ORÇAMENTO!E78)),OFFSET($D78,1,$C78,ROW($C$165)-ROW($C78)),0))</f>
        <v>0</v>
      </c>
      <c r="L78" s="114" t="str">
        <f t="shared" ca="1" si="10"/>
        <v>F</v>
      </c>
      <c r="M78" s="115" t="s">
        <v>705</v>
      </c>
      <c r="N78" s="116" t="str">
        <f t="shared" ca="1" si="11"/>
        <v>Serviço</v>
      </c>
      <c r="O78" s="117" t="str">
        <f t="shared" ca="1" si="12"/>
        <v>2.4.4.</v>
      </c>
      <c r="P78" s="118" t="s">
        <v>956</v>
      </c>
      <c r="Q78" s="119" t="s">
        <v>1021</v>
      </c>
      <c r="R78" s="120" t="str">
        <f ca="1">IF($C78="S",REFERENCIA.Descricao,"(digite a descrição aqui)")</f>
        <v>Concreto asfáltico - faixa C-12,5 - areia extraída e brita produzida</v>
      </c>
      <c r="S78" s="121" t="str">
        <f ca="1">REFERENCIA.Unidade</f>
        <v>t</v>
      </c>
      <c r="T78" s="122">
        <f ca="1">OFFSET(CÁLCULO!H$15,ROW($T78)-ROW(T$15),0)</f>
        <v>8.85</v>
      </c>
      <c r="U78" s="123">
        <f t="shared" ca="1" si="24"/>
        <v>142.19</v>
      </c>
      <c r="V78" s="124" t="s">
        <v>663</v>
      </c>
      <c r="W78" s="122">
        <f ca="1">IF($C78="S",ROUND(IF(TIPOORCAMENTO="Proposto",ORÇAMENTO.CustoUnitario*(1+$AH78),ORÇAMENTO.PrecoUnitarioLicitado),15-13*$AF$10),0)</f>
        <v>174.65</v>
      </c>
      <c r="X78" s="125" cm="1">
        <f t="array" aca="1" ref="X78" ca="1">IF($C78="S",IF(OR(Import.TipoArredondamento&lt;&gt;"TransfereGOV",ACOMPANHAMENTO="BM"),VTOTAL1,SUM(OFFSET(CÁLCULO!$AI$15,ROW($X78)-ROW($X$15),1):OFFSET(CÁLCULO!$BB$15,ROW($X78)-ROW($X$15),-1))),IF($C78=0,0,ROUND(SomaAgrup,15-13*$AF$11)))</f>
        <v>1545.65</v>
      </c>
      <c r="Y78" s="126" t="s">
        <v>751</v>
      </c>
      <c r="Z78" t="str">
        <f t="shared" ca="1" si="13"/>
        <v>RA</v>
      </c>
      <c r="AA78" s="127">
        <f ca="1">IF($C78="S",IF($Z78="CP",$X78,IF($Z78="RA",(($X78)*QCI!$AA$3),0)),SomaAgrup)</f>
        <v>426.92994226386867</v>
      </c>
      <c r="AB78" s="128">
        <f t="shared" ca="1" si="14"/>
        <v>0</v>
      </c>
      <c r="AC78" s="565" t="e"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IF(AND(_xlfn.SINGLE(TIPOORCAMENTO)="Licitado",$AL78=0,$AN78&gt;0),"SEM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#NAME?</v>
      </c>
      <c r="AD78" t="str">
        <f ca="1">IF(C78&lt;=CRONO.NivelExibicao,MAX($AD$15:OFFSET(AD78,-1,0))+IF($C78&lt;&gt;1,1,MAX(1,COUNTIF(QCI!$A$13:$A$24,OFFSET($E78,-1,0)))),"")</f>
        <v/>
      </c>
      <c r="AE78" s="7" t="str">
        <f ca="1">IF(AND($C78="S",ORÇAMENTO.CodBarra&lt;&gt;""),IF(ORÇAMENTO.Fonte="",ORÇAMENTO.CodBarra,CONCATENATE(ORÇAMENTO.Fonte," ",ORÇAMENTO.CodBarra)))</f>
        <v>SICRO 4011462</v>
      </c>
      <c r="AF78" s="12">
        <f ca="1">IF(ISERROR(INDIRECT(ORÇAMENTO.BancoRef)),"(abra o arquivo 'Referência "&amp;Excel_BuiltIn_Database&amp;".xlsm)",IF(OR($C78&lt;&gt;"S",ORÇAMENTO.CodBarra=""),"(Sem Código)",IF(ISERROR(MATCH($AE78,INDIRECT(ORÇAMENTO.BancoRef),0)),"(Código não identificado nas referências)",MATCH($AE78,INDIRECT(ORÇAMENTO.BancoRef),0))))</f>
        <v>20360</v>
      </c>
      <c r="AG78" s="428">
        <f ca="1">ROUND(IF(DESONERACAO="sim",REFERENCIA.Desonerado,REFERENCIA.NaoDesonerado),2)</f>
        <v>142.19</v>
      </c>
      <c r="AH78" s="429">
        <f t="shared" ca="1" si="15"/>
        <v>0.2283</v>
      </c>
      <c r="AJ78" s="431"/>
      <c r="AL78" s="439"/>
      <c r="AM78" s="336">
        <f t="shared" ca="1" si="19"/>
        <v>1545.65</v>
      </c>
      <c r="AN78" s="470">
        <f t="shared" ca="1" si="16"/>
        <v>174.65</v>
      </c>
    </row>
    <row r="79" spans="1:40" ht="13.8" x14ac:dyDescent="0.3">
      <c r="A79" t="str">
        <f>CHOOSE(1+LOG(1+2*(ORÇAMENTO.Nivel="Meta")+4*(ORÇAMENTO.Nivel="Nível 2")+8*(ORÇAMENTO.Nivel="Nível 3")+16*(ORÇAMENTO.Nivel="Nível 4")+32*(ORÇAMENTO.Nivel="Serviço"),2),0,1,2,3,4,"S")</f>
        <v>S</v>
      </c>
      <c r="B79">
        <f ca="1">IF(OR(C79="s",C79=0),OFFSET(B79,-1,0),C79)</f>
        <v>2</v>
      </c>
      <c r="C79" t="str">
        <f ca="1">IF(OFFSET(C79,-1,0)="L",1,IF(OFFSET(C79,-1,0)=1,2,IF(OR(A79="s",A79=0),"S",IF(AND(OFFSET(C79,-1,0)=2,A79=4),3,IF(AND(OR(OFFSET(C79,-1,0)="s",OFFSET(C79,-1,0)=0),A79&lt;&gt;"s",A79&gt;OFFSET(B79,-1,0)),OFFSET(B79,-1,0),A79)))))</f>
        <v>S</v>
      </c>
      <c r="D79">
        <f ca="1">IF(OR(C79="S",C79=0),0,IF(ISERROR(K79),J79,SMALL(J79:K79,1)))</f>
        <v>0</v>
      </c>
      <c r="E79">
        <f ca="1">IF($C79=1,OFFSET(E79,-1,0)+MAX(1,COUNTIF(QCI!$A$13:$A$24,OFFSET(ORÇAMENTO!E79,-1,0))),OFFSET(E79,-1,0))</f>
        <v>2</v>
      </c>
      <c r="F79">
        <f ca="1">IF($C79=1,0,IF($C79=2,OFFSET(F79,-1,0)+1,OFFSET(F79,-1,0)))</f>
        <v>4</v>
      </c>
      <c r="G79">
        <f ca="1">IF(AND($C79&lt;=2,$C79&lt;&gt;0),0,IF($C79=3,OFFSET(G79,-1,0)+1,OFFSET(G79,-1,0)))</f>
        <v>0</v>
      </c>
      <c r="H79">
        <f ca="1">IF(AND($C79&lt;=3,$C79&lt;&gt;0),0,IF($C79=4,OFFSET(H79,-1,0)+1,OFFSET(H79,-1,0)))</f>
        <v>0</v>
      </c>
      <c r="I79">
        <f ca="1">IF(AND($C79&lt;=4,$C79&lt;&gt;0),0,IF(AND($C79="S",$X79&gt;0),OFFSET(I79,-1,0)+1,OFFSET(I79,-1,0)))</f>
        <v>5</v>
      </c>
      <c r="J79">
        <f t="shared" ca="1" si="22"/>
        <v>0</v>
      </c>
      <c r="K79">
        <f ca="1">IF(OR($C79="S",$C79=0),0,MATCH(OFFSET($D79,0,$C79)+IF($C79&lt;&gt;1,1,COUNTIF(QCI!$A$13:$A$24,ORÇAMENTO!E79)),OFFSET($D79,1,$C79,ROW($C$165)-ROW($C79)),0))</f>
        <v>0</v>
      </c>
      <c r="L79" s="114" t="str">
        <f ca="1">IF(OR($X79&gt;0,$C79=1,$C79=2,$C79=3,$C79=4),"F","")</f>
        <v>F</v>
      </c>
      <c r="M79" s="115" t="s">
        <v>705</v>
      </c>
      <c r="N79" s="116" t="str">
        <f ca="1">CHOOSE(1+LOG(1+2*(C79=1)+4*(C79=2)+8*(C79=3)+16*(C79=4)+32*(C79="S"),2),"","Meta","Nível 2","Nível 3","Nível 4","Serviço")</f>
        <v>Serviço</v>
      </c>
      <c r="O79" s="117" t="str">
        <f ca="1">IF(OR($C79=0,$L79=""),"-",CONCATENATE(E79&amp;".",IF(AND($A$5&gt;=2,$C79&gt;=2),F79&amp;".",""),IF(AND($A$5&gt;=3,$C79&gt;=3),G79&amp;".",""),IF(AND($A$5&gt;=4,$C79&gt;=4),H79&amp;".",""),IF($C79="S",I79&amp;".","")))</f>
        <v>2.4.5.</v>
      </c>
      <c r="P79" s="118" t="s">
        <v>956</v>
      </c>
      <c r="Q79" s="119" t="s">
        <v>1022</v>
      </c>
      <c r="R79" s="120" t="str">
        <f ca="1">IF($C79="S",REFERENCIA.Descricao,"(digite a descrição aqui)")</f>
        <v>Transporte com caminhão basculante de 10 m³ - rodovia pavimentada</v>
      </c>
      <c r="S79" s="121" t="str">
        <f ca="1">REFERENCIA.Unidade</f>
        <v>tkm</v>
      </c>
      <c r="T79" s="122">
        <f ca="1">OFFSET(CÁLCULO!H$15,ROW($T79)-ROW(T$15),0)</f>
        <v>185.85</v>
      </c>
      <c r="U79" s="123">
        <f t="shared" ca="1" si="24"/>
        <v>0.82</v>
      </c>
      <c r="V79" s="124" t="s">
        <v>663</v>
      </c>
      <c r="W79" s="122">
        <f ca="1">IF($C79="S",ROUND(IF(TIPOORCAMENTO="Proposto",ORÇAMENTO.CustoUnitario*(1+$AH79),ORÇAMENTO.PrecoUnitarioLicitado),15-13*$AF$10),0)</f>
        <v>1.01</v>
      </c>
      <c r="X79" s="125" cm="1">
        <f t="array" aca="1" ref="X79" ca="1">IF($C79="S",IF(OR(Import.TipoArredondamento&lt;&gt;"TransfereGOV",ACOMPANHAMENTO="BM"),VTOTAL1,SUM(OFFSET(CÁLCULO!$AI$15,ROW($X79)-ROW($X$15),1):OFFSET(CÁLCULO!$BB$15,ROW($X79)-ROW($X$15),-1))),IF($C79=0,0,ROUND(SomaAgrup,15-13*$AF$11)))</f>
        <v>187.71</v>
      </c>
      <c r="Y79" s="126" t="s">
        <v>751</v>
      </c>
      <c r="Z79" t="str">
        <f ca="1">IF(AND($C79="S",$X79&gt;0),IF(ISBLANK($Y79),"RA",LEFT($Y79,2)),"")</f>
        <v>RA</v>
      </c>
      <c r="AA79" s="127">
        <f ca="1">IF($C79="S",IF($Z79="CP",$X79,IF($Z79="RA",(($X79)*QCI!$AA$3),0)),SomaAgrup)</f>
        <v>51.84810239210092</v>
      </c>
      <c r="AB79" s="128">
        <f ca="1">IF($C79="S",IF($Z79="OU",ROUND($X79,2),0),SomaAgrup)</f>
        <v>0</v>
      </c>
      <c r="AC79" s="565" t="e"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IF(AND(_xlfn.SINGLE(TIPOORCAMENTO)="Licitado",$AL79=0,$AN79&gt;0),"SEM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#NAME?</v>
      </c>
      <c r="AD79" t="str">
        <f ca="1">IF(C79&lt;=CRONO.NivelExibicao,MAX($AD$15:OFFSET(AD79,-1,0))+IF($C79&lt;&gt;1,1,MAX(1,COUNTIF(QCI!$A$13:$A$24,OFFSET($E79,-1,0)))),"")</f>
        <v/>
      </c>
      <c r="AE79" s="7" t="str">
        <f ca="1">IF(AND($C79="S",ORÇAMENTO.CodBarra&lt;&gt;""),IF(ORÇAMENTO.Fonte="",ORÇAMENTO.CodBarra,CONCATENATE(ORÇAMENTO.Fonte," ",ORÇAMENTO.CodBarra)))</f>
        <v>SICRO 5914389</v>
      </c>
      <c r="AF79" s="12">
        <f ca="1">IF(ISERROR(INDIRECT(ORÇAMENTO.BancoRef)),"(abra o arquivo 'Referência "&amp;Excel_BuiltIn_Database&amp;".xlsm)",IF(OR($C79&lt;&gt;"S",ORÇAMENTO.CodBarra=""),"(Sem Código)",IF(ISERROR(MATCH($AE79,INDIRECT(ORÇAMENTO.BancoRef),0)),"(Código não identificado nas referências)",MATCH($AE79,INDIRECT(ORÇAMENTO.BancoRef),0))))</f>
        <v>21868</v>
      </c>
      <c r="AG79" s="428">
        <f ca="1">ROUND(IF(DESONERACAO="sim",REFERENCIA.Desonerado,REFERENCIA.NaoDesonerado),2)</f>
        <v>0.82</v>
      </c>
      <c r="AH79" s="429">
        <f ca="1">ROUND(IF(ISNUMBER(ORÇAMENTO.OpcaoBDI),ORÇAMENTO.OpcaoBDI,IF(LEFT(ORÇAMENTO.OpcaoBDI,3)="BDI",HLOOKUP(ORÇAMENTO.OpcaoBDI,$F$4:$H$5,2,FALSE),0)),15-11*$AF$9)</f>
        <v>0.2283</v>
      </c>
      <c r="AJ79" s="431"/>
      <c r="AL79" s="439"/>
      <c r="AM79" s="336">
        <f t="shared" ca="1" si="19"/>
        <v>187.71</v>
      </c>
      <c r="AN79" s="470">
        <f ca="1">ROUND(ORÇAMENTO.CustoUnitario*(1+$AH79),2)</f>
        <v>1.01</v>
      </c>
    </row>
    <row r="80" spans="1:40" ht="26.4" x14ac:dyDescent="0.3">
      <c r="A80" t="str">
        <f t="shared" si="1"/>
        <v>S</v>
      </c>
      <c r="B80">
        <f t="shared" ca="1" si="2"/>
        <v>2</v>
      </c>
      <c r="C80" t="str">
        <f t="shared" ca="1" si="3"/>
        <v>S</v>
      </c>
      <c r="D80">
        <f t="shared" ca="1" si="4"/>
        <v>0</v>
      </c>
      <c r="E80">
        <f ca="1">IF($C80=1,OFFSET(E80,-1,0)+MAX(1,COUNTIF(QCI!$A$13:$A$24,OFFSET(ORÇAMENTO!E80,-1,0))),OFFSET(E80,-1,0))</f>
        <v>2</v>
      </c>
      <c r="F80">
        <f t="shared" ca="1" si="5"/>
        <v>4</v>
      </c>
      <c r="G80">
        <f t="shared" ca="1" si="6"/>
        <v>0</v>
      </c>
      <c r="H80">
        <f t="shared" ca="1" si="7"/>
        <v>0</v>
      </c>
      <c r="I80">
        <f t="shared" ca="1" si="8"/>
        <v>6</v>
      </c>
      <c r="J80">
        <f t="shared" ref="J80:J111" ca="1" si="25">IF(OR($C80="S",$C80=0),0,MATCH(0,OFFSET($D80,1,$C80,ROW($C$165)-ROW($C80)),0))</f>
        <v>0</v>
      </c>
      <c r="K80">
        <f ca="1">IF(OR($C80="S",$C80=0),0,MATCH(OFFSET($D80,0,$C80)+IF($C80&lt;&gt;1,1,COUNTIF(QCI!$A$13:$A$24,ORÇAMENTO!E80)),OFFSET($D80,1,$C80,ROW($C$165)-ROW($C80)),0))</f>
        <v>0</v>
      </c>
      <c r="L80" s="114" t="str">
        <f t="shared" ca="1" si="10"/>
        <v>F</v>
      </c>
      <c r="M80" s="115" t="s">
        <v>705</v>
      </c>
      <c r="N80" s="116" t="str">
        <f t="shared" ca="1" si="11"/>
        <v>Serviço</v>
      </c>
      <c r="O80" s="117" t="str">
        <f t="shared" ca="1" si="12"/>
        <v>2.4.6.</v>
      </c>
      <c r="P80" s="118" t="s">
        <v>958</v>
      </c>
      <c r="Q80" s="119" t="s">
        <v>1023</v>
      </c>
      <c r="R80" s="120" t="str">
        <f ca="1">IF($C80="S",REFERENCIA.Descricao,"(digite a descrição aqui)")</f>
        <v>CIMENTO ASFÁLTICO CAP 50-70, COLETADO NA ANP, ACRESCIDO DE IMPOSTOS (ICMS, PIS, CONFINS)</v>
      </c>
      <c r="S80" s="121" t="str">
        <f ca="1">REFERENCIA.Unidade</f>
        <v>KG</v>
      </c>
      <c r="T80" s="122">
        <f ca="1">OFFSET(CÁLCULO!H$15,ROW($T80)-ROW(T$15),0)</f>
        <v>501.39</v>
      </c>
      <c r="U80" s="123">
        <f t="shared" ca="1" si="24"/>
        <v>4.8600000000000003</v>
      </c>
      <c r="V80" s="124" t="s">
        <v>697</v>
      </c>
      <c r="W80" s="122">
        <f ca="1">IF($C80="S",ROUND(IF(TIPOORCAMENTO="Proposto",ORÇAMENTO.CustoUnitario*(1+$AH80),ORÇAMENTO.PrecoUnitarioLicitado),15-13*$AF$10),0)</f>
        <v>5.59</v>
      </c>
      <c r="X80" s="125" cm="1">
        <f t="array" aca="1" ref="X80" ca="1">IF($C80="S",IF(OR(Import.TipoArredondamento&lt;&gt;"TransfereGOV",ACOMPANHAMENTO="BM"),VTOTAL1,SUM(OFFSET(CÁLCULO!$AI$15,ROW($X80)-ROW($X$15),1):OFFSET(CÁLCULO!$BB$15,ROW($X80)-ROW($X$15),-1))),IF($C80=0,0,ROUND(SomaAgrup,15-13*$AF$11)))</f>
        <v>2802.77</v>
      </c>
      <c r="Y80" s="126" t="s">
        <v>751</v>
      </c>
      <c r="Z80" t="str">
        <f t="shared" ca="1" si="13"/>
        <v>RA</v>
      </c>
      <c r="AA80" s="127">
        <f ca="1">IF($C80="S",IF($Z80="CP",$X80,IF($Z80="RA",(($X80)*QCI!$AA$3),0)),SomaAgrup)</f>
        <v>774.16390145175365</v>
      </c>
      <c r="AB80" s="128">
        <f t="shared" ca="1" si="14"/>
        <v>0</v>
      </c>
      <c r="AC80" s="565" t="e"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IF(AND(_xlfn.SINGLE(TIPOORCAMENTO)="Licitado",$AL80=0,$AN80&gt;0),"SEM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#NAME?</v>
      </c>
      <c r="AD80" t="str">
        <f ca="1">IF(C80&lt;=CRONO.NivelExibicao,MAX($AD$15:OFFSET(AD80,-1,0))+IF($C80&lt;&gt;1,1,MAX(1,COUNTIF(QCI!$A$13:$A$24,OFFSET($E80,-1,0)))),"")</f>
        <v/>
      </c>
      <c r="AE80" s="7" t="str">
        <f ca="1">IF(AND($C80="S",ORÇAMENTO.CodBarra&lt;&gt;""),IF(ORÇAMENTO.Fonte="",ORÇAMENTO.CodBarra,CONCATENATE(ORÇAMENTO.Fonte," ",ORÇAMENTO.CodBarra)))</f>
        <v>Cotação COT 03</v>
      </c>
      <c r="AF80" s="12">
        <f ca="1">IF(ISERROR(INDIRECT(ORÇAMENTO.BancoRef)),"(abra o arquivo 'Referência "&amp;Excel_BuiltIn_Database&amp;".xlsm)",IF(OR($C80&lt;&gt;"S",ORÇAMENTO.CodBarra=""),"(Sem Código)",IF(ISERROR(MATCH($AE80,INDIRECT(ORÇAMENTO.BancoRef),0)),"(Código não identificado nas referências)",MATCH($AE80,INDIRECT(ORÇAMENTO.BancoRef),0))))</f>
        <v>31</v>
      </c>
      <c r="AG80" s="428">
        <f ca="1">ROUND(IF(DESONERACAO="sim",REFERENCIA.Desonerado,REFERENCIA.NaoDesonerado),2)</f>
        <v>4.8600000000000003</v>
      </c>
      <c r="AH80" s="429">
        <f t="shared" ca="1" si="15"/>
        <v>0.15</v>
      </c>
      <c r="AJ80" s="431"/>
      <c r="AL80" s="439"/>
      <c r="AM80" s="336">
        <f t="shared" ca="1" si="19"/>
        <v>2802.77</v>
      </c>
      <c r="AN80" s="470">
        <f t="shared" ca="1" si="16"/>
        <v>5.59</v>
      </c>
    </row>
    <row r="81" spans="1:40" ht="26.4" x14ac:dyDescent="0.3">
      <c r="A81" t="str">
        <f t="shared" si="1"/>
        <v>S</v>
      </c>
      <c r="B81">
        <f t="shared" ca="1" si="2"/>
        <v>2</v>
      </c>
      <c r="C81" t="str">
        <f t="shared" ca="1" si="3"/>
        <v>S</v>
      </c>
      <c r="D81">
        <f t="shared" ca="1" si="4"/>
        <v>0</v>
      </c>
      <c r="E81">
        <f ca="1">IF($C81=1,OFFSET(E81,-1,0)+MAX(1,COUNTIF(QCI!$A$13:$A$24,OFFSET(ORÇAMENTO!E81,-1,0))),OFFSET(E81,-1,0))</f>
        <v>2</v>
      </c>
      <c r="F81">
        <f t="shared" ca="1" si="5"/>
        <v>4</v>
      </c>
      <c r="G81">
        <f t="shared" ca="1" si="6"/>
        <v>0</v>
      </c>
      <c r="H81">
        <f t="shared" ca="1" si="7"/>
        <v>0</v>
      </c>
      <c r="I81">
        <f t="shared" ca="1" si="8"/>
        <v>7</v>
      </c>
      <c r="J81">
        <f t="shared" ca="1" si="25"/>
        <v>0</v>
      </c>
      <c r="K81">
        <f ca="1">IF(OR($C81="S",$C81=0),0,MATCH(OFFSET($D81,0,$C81)+IF($C81&lt;&gt;1,1,COUNTIF(QCI!$A$13:$A$24,ORÇAMENTO!E81)),OFFSET($D81,1,$C81,ROW($C$165)-ROW($C81)),0))</f>
        <v>0</v>
      </c>
      <c r="L81" s="114" t="str">
        <f t="shared" ca="1" si="10"/>
        <v>F</v>
      </c>
      <c r="M81" s="115" t="s">
        <v>705</v>
      </c>
      <c r="N81" s="116" t="str">
        <f t="shared" ca="1" si="11"/>
        <v>Serviço</v>
      </c>
      <c r="O81" s="117" t="str">
        <f t="shared" ca="1" si="12"/>
        <v>2.4.7.</v>
      </c>
      <c r="P81" s="118" t="s">
        <v>956</v>
      </c>
      <c r="Q81" s="119" t="s">
        <v>1015</v>
      </c>
      <c r="R81" s="120" t="str">
        <f ca="1">IF($C81="S",REFERENCIA.Descricao,"(digite a descrição aqui)")</f>
        <v>Transporte de material betuminoso com caminhão tanque distribuidor - rodovia pavimentada</v>
      </c>
      <c r="S81" s="121" t="str">
        <f ca="1">REFERENCIA.Unidade</f>
        <v>tkm</v>
      </c>
      <c r="T81" s="122">
        <f ca="1">OFFSET(CÁLCULO!H$15,ROW($T81)-ROW(T$15),0)</f>
        <v>168.96</v>
      </c>
      <c r="U81" s="123">
        <f t="shared" ca="1" si="24"/>
        <v>2.2200000000000002</v>
      </c>
      <c r="V81" s="124" t="s">
        <v>697</v>
      </c>
      <c r="W81" s="122">
        <f ca="1">IF($C81="S",ROUND(IF(TIPOORCAMENTO="Proposto",ORÇAMENTO.CustoUnitario*(1+$AH81),ORÇAMENTO.PrecoUnitarioLicitado),15-13*$AF$10),0)</f>
        <v>2.5499999999999998</v>
      </c>
      <c r="X81" s="125" cm="1">
        <f t="array" aca="1" ref="X81" ca="1">IF($C81="S",IF(OR(Import.TipoArredondamento&lt;&gt;"TransfereGOV",ACOMPANHAMENTO="BM"),VTOTAL1,SUM(OFFSET(CÁLCULO!$AI$15,ROW($X81)-ROW($X$15),1):OFFSET(CÁLCULO!$BB$15,ROW($X81)-ROW($X$15),-1))),IF($C81=0,0,ROUND(SomaAgrup,15-13*$AF$11)))</f>
        <v>430.85</v>
      </c>
      <c r="Y81" s="126" t="s">
        <v>751</v>
      </c>
      <c r="Z81" t="str">
        <f t="shared" ca="1" si="13"/>
        <v>RA</v>
      </c>
      <c r="AA81" s="127">
        <f ca="1">IF($C81="S",IF($Z81="CP",$X81,IF($Z81="RA",(($X81)*QCI!$AA$3),0)),SomaAgrup)</f>
        <v>119.00673866941921</v>
      </c>
      <c r="AB81" s="128">
        <f t="shared" ca="1" si="14"/>
        <v>0</v>
      </c>
      <c r="AC81" s="565" t="e"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IF(AND(_xlfn.SINGLE(TIPOORCAMENTO)="Licitado",$AL81=0,$AN81&gt;0),"SEM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#NAME?</v>
      </c>
      <c r="AD81" t="str">
        <f ca="1">IF(C81&lt;=CRONO.NivelExibicao,MAX($AD$15:OFFSET(AD81,-1,0))+IF($C81&lt;&gt;1,1,MAX(1,COUNTIF(QCI!$A$13:$A$24,OFFSET($E81,-1,0)))),"")</f>
        <v/>
      </c>
      <c r="AE81" s="7" t="str">
        <f ca="1">IF(AND($C81="S",ORÇAMENTO.CodBarra&lt;&gt;""),IF(ORÇAMENTO.Fonte="",ORÇAMENTO.CodBarra,CONCATENATE(ORÇAMENTO.Fonte," ",ORÇAMENTO.CodBarra)))</f>
        <v>SICRO 5914622</v>
      </c>
      <c r="AF81" s="12">
        <f ca="1">IF(ISERROR(INDIRECT(ORÇAMENTO.BancoRef)),"(abra o arquivo 'Referência "&amp;Excel_BuiltIn_Database&amp;".xlsm)",IF(OR($C81&lt;&gt;"S",ORÇAMENTO.CodBarra=""),"(Sem Código)",IF(ISERROR(MATCH($AE81,INDIRECT(ORÇAMENTO.BancoRef),0)),"(Código não identificado nas referências)",MATCH($AE81,INDIRECT(ORÇAMENTO.BancoRef),0))))</f>
        <v>21997</v>
      </c>
      <c r="AG81" s="428">
        <f ca="1">ROUND(IF(DESONERACAO="sim",REFERENCIA.Desonerado,REFERENCIA.NaoDesonerado),2)</f>
        <v>2.2200000000000002</v>
      </c>
      <c r="AH81" s="429">
        <f t="shared" ca="1" si="15"/>
        <v>0.15</v>
      </c>
      <c r="AJ81" s="431"/>
      <c r="AL81" s="439"/>
      <c r="AM81" s="336">
        <f t="shared" ca="1" si="19"/>
        <v>430.85</v>
      </c>
      <c r="AN81" s="470">
        <f t="shared" ca="1" si="16"/>
        <v>2.5499999999999998</v>
      </c>
    </row>
    <row r="82" spans="1:40" ht="13.8" x14ac:dyDescent="0.3">
      <c r="A82">
        <f t="shared" si="1"/>
        <v>2</v>
      </c>
      <c r="B82">
        <f t="shared" ca="1" si="2"/>
        <v>2</v>
      </c>
      <c r="C82">
        <f t="shared" ca="1" si="3"/>
        <v>2</v>
      </c>
      <c r="D82">
        <f t="shared" ca="1" si="4"/>
        <v>6</v>
      </c>
      <c r="E82">
        <f ca="1">IF($C82=1,OFFSET(E82,-1,0)+MAX(1,COUNTIF(QCI!$A$13:$A$24,OFFSET(ORÇAMENTO!E82,-1,0))),OFFSET(E82,-1,0))</f>
        <v>2</v>
      </c>
      <c r="F82">
        <f t="shared" ca="1" si="5"/>
        <v>5</v>
      </c>
      <c r="G82">
        <f t="shared" ca="1" si="6"/>
        <v>0</v>
      </c>
      <c r="H82">
        <f t="shared" ca="1" si="7"/>
        <v>0</v>
      </c>
      <c r="I82">
        <f t="shared" ca="1" si="8"/>
        <v>0</v>
      </c>
      <c r="J82">
        <f t="shared" ca="1" si="25"/>
        <v>11</v>
      </c>
      <c r="K82">
        <f ca="1">IF(OR($C82="S",$C82=0),0,MATCH(OFFSET($D82,0,$C82)+IF($C82&lt;&gt;1,1,COUNTIF(QCI!$A$13:$A$24,ORÇAMENTO!E82)),OFFSET($D82,1,$C82,ROW($C$165)-ROW($C82)),0))</f>
        <v>6</v>
      </c>
      <c r="L82" s="114" t="str">
        <f t="shared" ca="1" si="10"/>
        <v>F</v>
      </c>
      <c r="M82" s="115" t="s">
        <v>702</v>
      </c>
      <c r="N82" s="116" t="str">
        <f t="shared" ca="1" si="11"/>
        <v>Nível 2</v>
      </c>
      <c r="O82" s="117" t="str">
        <f t="shared" ca="1" si="12"/>
        <v>2.5.</v>
      </c>
      <c r="P82" s="118" t="s">
        <v>956</v>
      </c>
      <c r="Q82" s="119"/>
      <c r="R82" s="120" t="s">
        <v>1024</v>
      </c>
      <c r="S82" s="121" t="str">
        <f ca="1">REFERENCIA.Unidade</f>
        <v>-</v>
      </c>
      <c r="T82" s="122">
        <f ca="1">OFFSET(CÁLCULO!H$15,ROW($T82)-ROW(T$15),0)</f>
        <v>0</v>
      </c>
      <c r="U82" s="123"/>
      <c r="V82" s="124" t="s">
        <v>663</v>
      </c>
      <c r="W82" s="122">
        <f ca="1">IF($C82="S",ROUND(IF(TIPOORCAMENTO="Proposto",ORÇAMENTO.CustoUnitario*(1+$AH82),ORÇAMENTO.PrecoUnitarioLicitado),15-13*$AF$10),0)</f>
        <v>0</v>
      </c>
      <c r="X82" s="125" cm="1">
        <f t="array" aca="1" ref="X82" ca="1">IF($C82="S",IF(OR(Import.TipoArredondamento&lt;&gt;"TransfereGOV",ACOMPANHAMENTO="BM"),VTOTAL1,SUM(OFFSET(CÁLCULO!$AI$15,ROW($X82)-ROW($X$15),1):OFFSET(CÁLCULO!$BB$15,ROW($X82)-ROW($X$15),-1))),IF($C82=0,0,ROUND(SomaAgrup,15-13*$AF$11)))</f>
        <v>9352.3700000000008</v>
      </c>
      <c r="Y82" s="126" t="s">
        <v>751</v>
      </c>
      <c r="Z82" t="str">
        <f t="shared" ca="1" si="13"/>
        <v/>
      </c>
      <c r="AA82" s="127">
        <f ca="1">IF($C82="S",IF($Z82="CP",$X82,IF($Z82="RA",(($X82)*QCI!$AA$3),0)),SomaAgrup)</f>
        <v>2583.2541546471302</v>
      </c>
      <c r="AB82" s="128">
        <f t="shared" ca="1" si="14"/>
        <v>0</v>
      </c>
      <c r="AC82" s="565" t="e"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IF(AND(_xlfn.SINGLE(TIPOORCAMENTO)="Licitado",$AL82=0,$AN82&gt;0),"SEM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#NAME?</v>
      </c>
      <c r="AD82">
        <f ca="1">IF(C82&lt;=CRONO.NivelExibicao,MAX($AD$15:OFFSET(AD82,-1,0))+IF($C82&lt;&gt;1,1,MAX(1,COUNTIF(QCI!$A$13:$A$24,OFFSET($E82,-1,0)))),"")</f>
        <v>14</v>
      </c>
      <c r="AE82" s="7" t="b">
        <f ca="1">IF(AND($C82="S",ORÇAMENTO.CodBarra&lt;&gt;""),IF(ORÇAMENTO.Fonte="",ORÇAMENTO.CodBarra,CONCATENATE(ORÇAMENTO.Fonte," ",ORÇAMENTO.CodBarra)))</f>
        <v>0</v>
      </c>
      <c r="AF82" s="12" t="str">
        <f ca="1">IF(ISERROR(INDIRECT(ORÇAMENTO.BancoRef)),"(abra o arquivo 'Referência "&amp;Excel_BuiltIn_Database&amp;".xlsm)",IF(OR($C82&lt;&gt;"S",ORÇAMENTO.CodBarra=""),"(Sem Código)",IF(ISERROR(MATCH($AE82,INDIRECT(ORÇAMENTO.BancoRef),0)),"(Código não identificado nas referências)",MATCH($AE82,INDIRECT(ORÇAMENTO.BancoRef),0))))</f>
        <v>(Sem Código)</v>
      </c>
      <c r="AG82" s="428">
        <f ca="1">ROUND(IF(DESONERACAO="sim",REFERENCIA.Desonerado,REFERENCIA.NaoDesonerado),2)</f>
        <v>0</v>
      </c>
      <c r="AH82" s="429">
        <f t="shared" ca="1" si="15"/>
        <v>0.2283</v>
      </c>
      <c r="AJ82" s="431"/>
      <c r="AL82" s="439"/>
      <c r="AM82" s="336">
        <f t="shared" ca="1" si="19"/>
        <v>9352.3700000000008</v>
      </c>
      <c r="AN82" s="470">
        <f t="shared" ca="1" si="16"/>
        <v>0</v>
      </c>
    </row>
    <row r="83" spans="1:40" ht="39.6" x14ac:dyDescent="0.3">
      <c r="A83" t="str">
        <f t="shared" si="1"/>
        <v>S</v>
      </c>
      <c r="B83">
        <f t="shared" ca="1" si="2"/>
        <v>2</v>
      </c>
      <c r="C83" t="str">
        <f t="shared" ca="1" si="3"/>
        <v>S</v>
      </c>
      <c r="D83">
        <f t="shared" ca="1" si="4"/>
        <v>0</v>
      </c>
      <c r="E83">
        <f ca="1">IF($C83=1,OFFSET(E83,-1,0)+MAX(1,COUNTIF(QCI!$A$13:$A$24,OFFSET(ORÇAMENTO!E83,-1,0))),OFFSET(E83,-1,0))</f>
        <v>2</v>
      </c>
      <c r="F83">
        <f t="shared" ca="1" si="5"/>
        <v>5</v>
      </c>
      <c r="G83">
        <f t="shared" ca="1" si="6"/>
        <v>0</v>
      </c>
      <c r="H83">
        <f t="shared" ca="1" si="7"/>
        <v>0</v>
      </c>
      <c r="I83">
        <f t="shared" ca="1" si="8"/>
        <v>1</v>
      </c>
      <c r="J83">
        <f t="shared" ca="1" si="25"/>
        <v>0</v>
      </c>
      <c r="K83">
        <f ca="1">IF(OR($C83="S",$C83=0),0,MATCH(OFFSET($D83,0,$C83)+IF($C83&lt;&gt;1,1,COUNTIF(QCI!$A$13:$A$24,ORÇAMENTO!E83)),OFFSET($D83,1,$C83,ROW($C$165)-ROW($C83)),0))</f>
        <v>0</v>
      </c>
      <c r="L83" s="114" t="str">
        <f t="shared" ca="1" si="10"/>
        <v>F</v>
      </c>
      <c r="M83" s="115" t="s">
        <v>705</v>
      </c>
      <c r="N83" s="116" t="str">
        <f t="shared" ca="1" si="11"/>
        <v>Serviço</v>
      </c>
      <c r="O83" s="117" t="str">
        <f t="shared" ca="1" si="12"/>
        <v>2.5.1.</v>
      </c>
      <c r="P83" s="118" t="s">
        <v>957</v>
      </c>
      <c r="Q83" s="119" t="s">
        <v>1054</v>
      </c>
      <c r="R83" s="120" t="str">
        <f ca="1">IF($C83="S",REFERENCIA.Descricao,"(digite a descrição aqui)")</f>
        <v xml:space="preserve">PINTURA DE EIXO VIÁRIO SOBRE ASFLATO COM TINTA RETRORREFLETIVA A BASE DE RESINA ACRÍLICA COM MICROESFERAS DE VIDRO, E= 10CM </v>
      </c>
      <c r="S83" s="121" t="str">
        <f ca="1">REFERENCIA.Unidade</f>
        <v>M</v>
      </c>
      <c r="T83" s="122">
        <f ca="1">OFFSET(CÁLCULO!H$15,ROW($T83)-ROW(T$15),0)</f>
        <v>122.76</v>
      </c>
      <c r="U83" s="123">
        <f ca="1">AG83</f>
        <v>5.19</v>
      </c>
      <c r="V83" s="124" t="s">
        <v>663</v>
      </c>
      <c r="W83" s="122">
        <f ca="1">IF($C83="S",ROUND(IF(TIPOORCAMENTO="Proposto",ORÇAMENTO.CustoUnitario*(1+$AH83),ORÇAMENTO.PrecoUnitarioLicitado),15-13*$AF$10),0)</f>
        <v>6.37</v>
      </c>
      <c r="X83" s="125" cm="1">
        <f t="array" aca="1" ref="X83" ca="1">IF($C83="S",IF(OR(Import.TipoArredondamento&lt;&gt;"TransfereGOV",ACOMPANHAMENTO="BM"),VTOTAL1,SUM(OFFSET(CÁLCULO!$AI$15,ROW($X83)-ROW($X$15),1):OFFSET(CÁLCULO!$BB$15,ROW($X83)-ROW($X$15),-1))),IF($C83=0,0,ROUND(SomaAgrup,15-13*$AF$11)))</f>
        <v>781.98</v>
      </c>
      <c r="Y83" s="126" t="s">
        <v>751</v>
      </c>
      <c r="Z83" t="str">
        <f t="shared" ca="1" si="13"/>
        <v>RA</v>
      </c>
      <c r="AA83" s="127">
        <f ca="1">IF($C83="S",IF($Z83="CP",$X83,IF($Z83="RA",(($X83)*QCI!$AA$3),0)),SomaAgrup)</f>
        <v>215.99370895836702</v>
      </c>
      <c r="AB83" s="128">
        <f t="shared" ca="1" si="14"/>
        <v>0</v>
      </c>
      <c r="AC83" s="565" t="e"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IF(AND(_xlfn.SINGLE(TIPOORCAMENTO)="Licitado",$AL83=0,$AN83&gt;0),"SEM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#NAME?</v>
      </c>
      <c r="AD83" t="str">
        <f ca="1">IF(C83&lt;=CRONO.NivelExibicao,MAX($AD$15:OFFSET(AD83,-1,0))+IF($C83&lt;&gt;1,1,MAX(1,COUNTIF(QCI!$A$13:$A$24,OFFSET($E83,-1,0)))),"")</f>
        <v/>
      </c>
      <c r="AE83" s="7" t="str">
        <f ca="1">IF(AND($C83="S",ORÇAMENTO.CodBarra&lt;&gt;""),IF(ORÇAMENTO.Fonte="",ORÇAMENTO.CodBarra,CONCATENATE(ORÇAMENTO.Fonte," ",ORÇAMENTO.CodBarra)))</f>
        <v>Composição COMP 25</v>
      </c>
      <c r="AF83" s="12">
        <f ca="1">IF(ISERROR(INDIRECT(ORÇAMENTO.BancoRef)),"(abra o arquivo 'Referência "&amp;Excel_BuiltIn_Database&amp;".xlsm)",IF(OR($C83&lt;&gt;"S",ORÇAMENTO.CodBarra=""),"(Sem Código)",IF(ISERROR(MATCH($AE83,INDIRECT(ORÇAMENTO.BancoRef),0)),"(Código não identificado nas referências)",MATCH($AE83,INDIRECT(ORÇAMENTO.BancoRef),0))))</f>
        <v>27</v>
      </c>
      <c r="AG83" s="428">
        <f ca="1">ROUND(IF(DESONERACAO="sim",REFERENCIA.Desonerado,REFERENCIA.NaoDesonerado),2)</f>
        <v>5.19</v>
      </c>
      <c r="AH83" s="429">
        <f t="shared" ca="1" si="15"/>
        <v>0.2283</v>
      </c>
      <c r="AJ83" s="431"/>
      <c r="AL83" s="439"/>
      <c r="AM83" s="336">
        <f t="shared" ca="1" si="19"/>
        <v>781.98</v>
      </c>
      <c r="AN83" s="470">
        <f t="shared" ca="1" si="16"/>
        <v>6.37</v>
      </c>
    </row>
    <row r="84" spans="1:40" ht="39.6" x14ac:dyDescent="0.3">
      <c r="A84" t="str">
        <f t="shared" si="1"/>
        <v>S</v>
      </c>
      <c r="B84">
        <f t="shared" ca="1" si="2"/>
        <v>2</v>
      </c>
      <c r="C84" t="str">
        <f t="shared" ca="1" si="3"/>
        <v>S</v>
      </c>
      <c r="D84">
        <f t="shared" ca="1" si="4"/>
        <v>0</v>
      </c>
      <c r="E84">
        <f ca="1">IF($C84=1,OFFSET(E84,-1,0)+MAX(1,COUNTIF(QCI!$A$13:$A$24,OFFSET(ORÇAMENTO!E84,-1,0))),OFFSET(E84,-1,0))</f>
        <v>2</v>
      </c>
      <c r="F84">
        <f t="shared" ca="1" si="5"/>
        <v>5</v>
      </c>
      <c r="G84">
        <f t="shared" ca="1" si="6"/>
        <v>0</v>
      </c>
      <c r="H84">
        <f t="shared" ca="1" si="7"/>
        <v>0</v>
      </c>
      <c r="I84">
        <f t="shared" ca="1" si="8"/>
        <v>2</v>
      </c>
      <c r="J84">
        <f t="shared" ca="1" si="25"/>
        <v>0</v>
      </c>
      <c r="K84">
        <f ca="1">IF(OR($C84="S",$C84=0),0,MATCH(OFFSET($D84,0,$C84)+IF($C84&lt;&gt;1,1,COUNTIF(QCI!$A$13:$A$24,ORÇAMENTO!E84)),OFFSET($D84,1,$C84,ROW($C$165)-ROW($C84)),0))</f>
        <v>0</v>
      </c>
      <c r="L84" s="114" t="str">
        <f t="shared" ca="1" si="10"/>
        <v>F</v>
      </c>
      <c r="M84" s="115" t="s">
        <v>705</v>
      </c>
      <c r="N84" s="116" t="str">
        <f t="shared" ca="1" si="11"/>
        <v>Serviço</v>
      </c>
      <c r="O84" s="117" t="str">
        <f t="shared" ca="1" si="12"/>
        <v>2.5.2.</v>
      </c>
      <c r="P84" s="118" t="s">
        <v>957</v>
      </c>
      <c r="Q84" s="119" t="s">
        <v>1048</v>
      </c>
      <c r="R84" s="120" t="str">
        <f ca="1">IF($C84="S",REFERENCIA.Descricao,"(digite a descrição aqui)")</f>
        <v>PINTURA DE FAIXA DE PEDESTRE OU ZEBRADA, TINTA RETROREFLETIVA A BASE DE RESINA ACRÍLICA COMMICROESFERAS DE VIDRO, E= 30CM</v>
      </c>
      <c r="S84" s="121" t="str">
        <f ca="1">REFERENCIA.Unidade</f>
        <v>M2</v>
      </c>
      <c r="T84" s="122">
        <f ca="1">OFFSET(CÁLCULO!H$15,ROW($T84)-ROW(T$15),0)</f>
        <v>19</v>
      </c>
      <c r="U84" s="123">
        <f ca="1">AG84</f>
        <v>39.51</v>
      </c>
      <c r="V84" s="124" t="s">
        <v>663</v>
      </c>
      <c r="W84" s="122">
        <f ca="1">IF($C84="S",ROUND(IF(TIPOORCAMENTO="Proposto",ORÇAMENTO.CustoUnitario*(1+$AH84),ORÇAMENTO.PrecoUnitarioLicitado),15-13*$AF$10),0)</f>
        <v>48.53</v>
      </c>
      <c r="X84" s="125" cm="1">
        <f t="array" aca="1" ref="X84" ca="1">IF($C84="S",IF(OR(Import.TipoArredondamento&lt;&gt;"TransfereGOV",ACOMPANHAMENTO="BM"),VTOTAL1,SUM(OFFSET(CÁLCULO!$AI$15,ROW($X84)-ROW($X$15),1):OFFSET(CÁLCULO!$BB$15,ROW($X84)-ROW($X$15),-1))),IF($C84=0,0,ROUND(SomaAgrup,15-13*$AF$11)))</f>
        <v>922.07</v>
      </c>
      <c r="Y84" s="126" t="s">
        <v>751</v>
      </c>
      <c r="Z84" t="str">
        <f t="shared" ca="1" si="13"/>
        <v>RA</v>
      </c>
      <c r="AA84" s="127">
        <f ca="1">IF($C84="S",IF($Z84="CP",$X84,IF($Z84="RA",(($X84)*QCI!$AA$3),0)),SomaAgrup)</f>
        <v>254.68850765907246</v>
      </c>
      <c r="AB84" s="128">
        <f t="shared" ca="1" si="14"/>
        <v>0</v>
      </c>
      <c r="AC84" s="565" t="e"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IF(AND(_xlfn.SINGLE(TIPOORCAMENTO)="Licitado",$AL84=0,$AN84&gt;0),"SEM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#NAME?</v>
      </c>
      <c r="AD84" t="str">
        <f ca="1">IF(C84&lt;=CRONO.NivelExibicao,MAX($AD$15:OFFSET(AD84,-1,0))+IF($C84&lt;&gt;1,1,MAX(1,COUNTIF(QCI!$A$13:$A$24,OFFSET($E84,-1,0)))),"")</f>
        <v/>
      </c>
      <c r="AE84" s="7" t="str">
        <f ca="1">IF(AND($C84="S",ORÇAMENTO.CodBarra&lt;&gt;""),IF(ORÇAMENTO.Fonte="",ORÇAMENTO.CodBarra,CONCATENATE(ORÇAMENTO.Fonte," ",ORÇAMENTO.CodBarra)))</f>
        <v>Composição COMP 24</v>
      </c>
      <c r="AF84" s="12">
        <f ca="1">IF(ISERROR(INDIRECT(ORÇAMENTO.BancoRef)),"(abra o arquivo 'Referência "&amp;Excel_BuiltIn_Database&amp;".xlsm)",IF(OR($C84&lt;&gt;"S",ORÇAMENTO.CodBarra=""),"(Sem Código)",IF(ISERROR(MATCH($AE84,INDIRECT(ORÇAMENTO.BancoRef),0)),"(Código não identificado nas referências)",MATCH($AE84,INDIRECT(ORÇAMENTO.BancoRef),0))))</f>
        <v>26</v>
      </c>
      <c r="AG84" s="428">
        <f ca="1">ROUND(IF(DESONERACAO="sim",REFERENCIA.Desonerado,REFERENCIA.NaoDesonerado),2)</f>
        <v>39.51</v>
      </c>
      <c r="AH84" s="429">
        <f t="shared" ca="1" si="15"/>
        <v>0.2283</v>
      </c>
      <c r="AJ84" s="431"/>
      <c r="AL84" s="439"/>
      <c r="AM84" s="336">
        <f t="shared" ca="1" si="19"/>
        <v>922.07</v>
      </c>
      <c r="AN84" s="470">
        <f t="shared" ca="1" si="16"/>
        <v>48.53</v>
      </c>
    </row>
    <row r="85" spans="1:40" ht="13.8" x14ac:dyDescent="0.3">
      <c r="A85" t="str">
        <f t="shared" si="1"/>
        <v>S</v>
      </c>
      <c r="B85">
        <f t="shared" ca="1" si="2"/>
        <v>2</v>
      </c>
      <c r="C85" t="str">
        <f t="shared" ca="1" si="3"/>
        <v>S</v>
      </c>
      <c r="D85">
        <f t="shared" ca="1" si="4"/>
        <v>0</v>
      </c>
      <c r="E85">
        <f ca="1">IF($C85=1,OFFSET(E85,-1,0)+MAX(1,COUNTIF(QCI!$A$13:$A$24,OFFSET(ORÇAMENTO!E85,-1,0))),OFFSET(E85,-1,0))</f>
        <v>2</v>
      </c>
      <c r="F85">
        <f t="shared" ca="1" si="5"/>
        <v>5</v>
      </c>
      <c r="G85">
        <f t="shared" ca="1" si="6"/>
        <v>0</v>
      </c>
      <c r="H85">
        <f t="shared" ca="1" si="7"/>
        <v>0</v>
      </c>
      <c r="I85">
        <f t="shared" ca="1" si="8"/>
        <v>3</v>
      </c>
      <c r="J85">
        <f t="shared" ca="1" si="25"/>
        <v>0</v>
      </c>
      <c r="K85">
        <f ca="1">IF(OR($C85="S",$C85=0),0,MATCH(OFFSET($D85,0,$C85)+IF($C85&lt;&gt;1,1,COUNTIF(QCI!$A$13:$A$24,ORÇAMENTO!E85)),OFFSET($D85,1,$C85,ROW($C$165)-ROW($C85)),0))</f>
        <v>0</v>
      </c>
      <c r="L85" s="114" t="str">
        <f t="shared" ca="1" si="10"/>
        <v>F</v>
      </c>
      <c r="M85" s="115" t="s">
        <v>705</v>
      </c>
      <c r="N85" s="116" t="str">
        <f t="shared" ca="1" si="11"/>
        <v>Serviço</v>
      </c>
      <c r="O85" s="117" t="str">
        <f t="shared" ca="1" si="12"/>
        <v>2.5.3.</v>
      </c>
      <c r="P85" s="118" t="s">
        <v>957</v>
      </c>
      <c r="Q85" s="119" t="s">
        <v>1055</v>
      </c>
      <c r="R85" s="120" t="str">
        <f ca="1">IF($C85="S",REFERENCIA.Descricao,"(digite a descrição aqui)")</f>
        <v>PLACA DE ADVERTÊNCIA QUADRADA LADO 0,60M</v>
      </c>
      <c r="S85" s="121" t="str">
        <f ca="1">REFERENCIA.Unidade</f>
        <v>UN</v>
      </c>
      <c r="T85" s="122">
        <f ca="1">OFFSET(CÁLCULO!H$15,ROW($T85)-ROW(T$15),0)</f>
        <v>6</v>
      </c>
      <c r="U85" s="123">
        <f ca="1">AG85</f>
        <v>784.59</v>
      </c>
      <c r="V85" s="124" t="s">
        <v>663</v>
      </c>
      <c r="W85" s="122">
        <f ca="1">IF($C85="S",ROUND(IF(TIPOORCAMENTO="Proposto",ORÇAMENTO.CustoUnitario*(1+$AH85),ORÇAMENTO.PrecoUnitarioLicitado),15-13*$AF$10),0)</f>
        <v>963.71</v>
      </c>
      <c r="X85" s="125" cm="1">
        <f t="array" aca="1" ref="X85" ca="1">IF($C85="S",IF(OR(Import.TipoArredondamento&lt;&gt;"TransfereGOV",ACOMPANHAMENTO="BM"),VTOTAL1,SUM(OFFSET(CÁLCULO!$AI$15,ROW($X85)-ROW($X$15),1):OFFSET(CÁLCULO!$BB$15,ROW($X85)-ROW($X$15),-1))),IF($C85=0,0,ROUND(SomaAgrup,15-13*$AF$11)))</f>
        <v>5782.26</v>
      </c>
      <c r="Y85" s="126" t="s">
        <v>751</v>
      </c>
      <c r="Z85" t="str">
        <f t="shared" ca="1" si="13"/>
        <v>RA</v>
      </c>
      <c r="AA85" s="127">
        <f ca="1">IF($C85="S",IF($Z85="CP",$X85,IF($Z85="RA",(($X85)*QCI!$AA$3),0)),SomaAgrup)</f>
        <v>1597.1403150484762</v>
      </c>
      <c r="AB85" s="128">
        <f t="shared" ca="1" si="14"/>
        <v>0</v>
      </c>
      <c r="AC85" s="565" t="e"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IF(AND(_xlfn.SINGLE(TIPOORCAMENTO)="Licitado",$AL85=0,$AN85&gt;0),"SEM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#NAME?</v>
      </c>
      <c r="AD85" t="str">
        <f ca="1">IF(C85&lt;=CRONO.NivelExibicao,MAX($AD$15:OFFSET(AD85,-1,0))+IF($C85&lt;&gt;1,1,MAX(1,COUNTIF(QCI!$A$13:$A$24,OFFSET($E85,-1,0)))),"")</f>
        <v/>
      </c>
      <c r="AE85" s="7" t="str">
        <f ca="1">IF(AND($C85="S",ORÇAMENTO.CodBarra&lt;&gt;""),IF(ORÇAMENTO.Fonte="",ORÇAMENTO.CodBarra,CONCATENATE(ORÇAMENTO.Fonte," ",ORÇAMENTO.CodBarra)))</f>
        <v>Composição COMP 16</v>
      </c>
      <c r="AF85" s="12">
        <f ca="1">IF(ISERROR(INDIRECT(ORÇAMENTO.BancoRef)),"(abra o arquivo 'Referência "&amp;Excel_BuiltIn_Database&amp;".xlsm)",IF(OR($C85&lt;&gt;"S",ORÇAMENTO.CodBarra=""),"(Sem Código)",IF(ISERROR(MATCH($AE85,INDIRECT(ORÇAMENTO.BancoRef),0)),"(Código não identificado nas referências)",MATCH($AE85,INDIRECT(ORÇAMENTO.BancoRef),0))))</f>
        <v>18</v>
      </c>
      <c r="AG85" s="428">
        <f ca="1">ROUND(IF(DESONERACAO="sim",REFERENCIA.Desonerado,REFERENCIA.NaoDesonerado),2)</f>
        <v>784.59</v>
      </c>
      <c r="AH85" s="429">
        <f t="shared" ca="1" si="15"/>
        <v>0.2283</v>
      </c>
      <c r="AJ85" s="431"/>
      <c r="AL85" s="439"/>
      <c r="AM85" s="336">
        <f t="shared" ca="1" si="19"/>
        <v>5782.26</v>
      </c>
      <c r="AN85" s="470">
        <f t="shared" ca="1" si="16"/>
        <v>963.71</v>
      </c>
    </row>
    <row r="86" spans="1:40" ht="13.8" x14ac:dyDescent="0.3">
      <c r="A86" t="str">
        <f t="shared" si="1"/>
        <v>S</v>
      </c>
      <c r="B86">
        <f t="shared" ca="1" si="2"/>
        <v>2</v>
      </c>
      <c r="C86" t="str">
        <f t="shared" ca="1" si="3"/>
        <v>S</v>
      </c>
      <c r="D86">
        <f t="shared" ca="1" si="4"/>
        <v>0</v>
      </c>
      <c r="E86">
        <f ca="1">IF($C86=1,OFFSET(E86,-1,0)+MAX(1,COUNTIF(QCI!$A$13:$A$24,OFFSET(ORÇAMENTO!E86,-1,0))),OFFSET(E86,-1,0))</f>
        <v>2</v>
      </c>
      <c r="F86">
        <f t="shared" ca="1" si="5"/>
        <v>5</v>
      </c>
      <c r="G86">
        <f t="shared" ca="1" si="6"/>
        <v>0</v>
      </c>
      <c r="H86">
        <f t="shared" ca="1" si="7"/>
        <v>0</v>
      </c>
      <c r="I86">
        <f t="shared" ca="1" si="8"/>
        <v>4</v>
      </c>
      <c r="J86">
        <f t="shared" ca="1" si="25"/>
        <v>0</v>
      </c>
      <c r="K86">
        <f ca="1">IF(OR($C86="S",$C86=0),0,MATCH(OFFSET($D86,0,$C86)+IF($C86&lt;&gt;1,1,COUNTIF(QCI!$A$13:$A$24,ORÇAMENTO!E86)),OFFSET($D86,1,$C86,ROW($C$165)-ROW($C86)),0))</f>
        <v>0</v>
      </c>
      <c r="L86" s="114" t="str">
        <f t="shared" ca="1" si="10"/>
        <v>F</v>
      </c>
      <c r="M86" s="115" t="s">
        <v>705</v>
      </c>
      <c r="N86" s="116" t="str">
        <f t="shared" ca="1" si="11"/>
        <v>Serviço</v>
      </c>
      <c r="O86" s="117" t="str">
        <f t="shared" ca="1" si="12"/>
        <v>2.5.4.</v>
      </c>
      <c r="P86" s="118" t="s">
        <v>957</v>
      </c>
      <c r="Q86" s="119" t="s">
        <v>1056</v>
      </c>
      <c r="R86" s="120" t="str">
        <f ca="1">IF($C86="S",REFERENCIA.Descricao,"(digite a descrição aqui)")</f>
        <v>PLACA DE REGULAMENTAÇÃO REDONDA D=0,60M - R19</v>
      </c>
      <c r="S86" s="121" t="str">
        <f ca="1">REFERENCIA.Unidade</f>
        <v>UN</v>
      </c>
      <c r="T86" s="122">
        <f ca="1">OFFSET(CÁLCULO!H$15,ROW($T86)-ROW(T$15),0)</f>
        <v>1</v>
      </c>
      <c r="U86" s="123">
        <f ca="1">AG86</f>
        <v>784.56</v>
      </c>
      <c r="V86" s="124" t="s">
        <v>663</v>
      </c>
      <c r="W86" s="122">
        <f ca="1">IF($C86="S",ROUND(IF(TIPOORCAMENTO="Proposto",ORÇAMENTO.CustoUnitario*(1+$AH86),ORÇAMENTO.PrecoUnitarioLicitado),15-13*$AF$10),0)</f>
        <v>963.68</v>
      </c>
      <c r="X86" s="125" cm="1">
        <f t="array" aca="1" ref="X86" ca="1">IF($C86="S",IF(OR(Import.TipoArredondamento&lt;&gt;"TransfereGOV",ACOMPANHAMENTO="BM"),VTOTAL1,SUM(OFFSET(CÁLCULO!$AI$15,ROW($X86)-ROW($X$15),1):OFFSET(CÁLCULO!$BB$15,ROW($X86)-ROW($X$15),-1))),IF($C86=0,0,ROUND(SomaAgrup,15-13*$AF$11)))</f>
        <v>963.68</v>
      </c>
      <c r="Y86" s="126" t="s">
        <v>751</v>
      </c>
      <c r="Z86" t="str">
        <f t="shared" ca="1" si="13"/>
        <v>RA</v>
      </c>
      <c r="AA86" s="127">
        <f ca="1">IF($C86="S",IF($Z86="CP",$X86,IF($Z86="RA",(($X86)*QCI!$AA$3),0)),SomaAgrup)</f>
        <v>266.18176609248206</v>
      </c>
      <c r="AB86" s="128">
        <f t="shared" ca="1" si="14"/>
        <v>0</v>
      </c>
      <c r="AC86" s="565" t="e"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IF(AND(_xlfn.SINGLE(TIPOORCAMENTO)="Licitado",$AL86=0,$AN86&gt;0),"SEM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#NAME?</v>
      </c>
      <c r="AD86" t="str">
        <f ca="1">IF(C86&lt;=CRONO.NivelExibicao,MAX($AD$15:OFFSET(AD86,-1,0))+IF($C86&lt;&gt;1,1,MAX(1,COUNTIF(QCI!$A$13:$A$24,OFFSET($E86,-1,0)))),"")</f>
        <v/>
      </c>
      <c r="AE86" s="7" t="str">
        <f ca="1">IF(AND($C86="S",ORÇAMENTO.CodBarra&lt;&gt;""),IF(ORÇAMENTO.Fonte="",ORÇAMENTO.CodBarra,CONCATENATE(ORÇAMENTO.Fonte," ",ORÇAMENTO.CodBarra)))</f>
        <v>Composição COMP 15</v>
      </c>
      <c r="AF86" s="12">
        <f ca="1">IF(ISERROR(INDIRECT(ORÇAMENTO.BancoRef)),"(abra o arquivo 'Referência "&amp;Excel_BuiltIn_Database&amp;".xlsm)",IF(OR($C86&lt;&gt;"S",ORÇAMENTO.CodBarra=""),"(Sem Código)",IF(ISERROR(MATCH($AE86,INDIRECT(ORÇAMENTO.BancoRef),0)),"(Código não identificado nas referências)",MATCH($AE86,INDIRECT(ORÇAMENTO.BancoRef),0))))</f>
        <v>17</v>
      </c>
      <c r="AG86" s="428">
        <f ca="1">ROUND(IF(DESONERACAO="sim",REFERENCIA.Desonerado,REFERENCIA.NaoDesonerado),2)</f>
        <v>784.56</v>
      </c>
      <c r="AH86" s="429">
        <f t="shared" ca="1" si="15"/>
        <v>0.2283</v>
      </c>
      <c r="AJ86" s="431"/>
      <c r="AL86" s="439"/>
      <c r="AM86" s="336">
        <f t="shared" ca="1" si="19"/>
        <v>963.68</v>
      </c>
      <c r="AN86" s="470">
        <f t="shared" ca="1" si="16"/>
        <v>963.68</v>
      </c>
    </row>
    <row r="87" spans="1:40" ht="13.8" x14ac:dyDescent="0.3">
      <c r="A87" t="str">
        <f t="shared" si="1"/>
        <v>S</v>
      </c>
      <c r="B87">
        <f t="shared" ca="1" si="2"/>
        <v>2</v>
      </c>
      <c r="C87" t="str">
        <f t="shared" ca="1" si="3"/>
        <v>S</v>
      </c>
      <c r="D87">
        <f t="shared" ca="1" si="4"/>
        <v>0</v>
      </c>
      <c r="E87">
        <f ca="1">IF($C87=1,OFFSET(E87,-1,0)+MAX(1,COUNTIF(QCI!$A$13:$A$24,OFFSET(ORÇAMENTO!E87,-1,0))),OFFSET(E87,-1,0))</f>
        <v>2</v>
      </c>
      <c r="F87">
        <f t="shared" ca="1" si="5"/>
        <v>5</v>
      </c>
      <c r="G87">
        <f t="shared" ca="1" si="6"/>
        <v>0</v>
      </c>
      <c r="H87">
        <f t="shared" ca="1" si="7"/>
        <v>0</v>
      </c>
      <c r="I87">
        <f t="shared" ca="1" si="8"/>
        <v>5</v>
      </c>
      <c r="J87">
        <f t="shared" ca="1" si="25"/>
        <v>0</v>
      </c>
      <c r="K87">
        <f ca="1">IF(OR($C87="S",$C87=0),0,MATCH(OFFSET($D87,0,$C87)+IF($C87&lt;&gt;1,1,COUNTIF(QCI!$A$13:$A$24,ORÇAMENTO!E87)),OFFSET($D87,1,$C87,ROW($C$165)-ROW($C87)),0))</f>
        <v>0</v>
      </c>
      <c r="L87" s="114" t="str">
        <f t="shared" ca="1" si="10"/>
        <v>F</v>
      </c>
      <c r="M87" s="115" t="s">
        <v>705</v>
      </c>
      <c r="N87" s="116" t="str">
        <f t="shared" ca="1" si="11"/>
        <v>Serviço</v>
      </c>
      <c r="O87" s="117" t="str">
        <f t="shared" ca="1" si="12"/>
        <v>2.5.5.</v>
      </c>
      <c r="P87" s="118" t="s">
        <v>957</v>
      </c>
      <c r="Q87" s="119" t="s">
        <v>1049</v>
      </c>
      <c r="R87" s="120" t="str">
        <f ca="1">IF($C87="S",REFERENCIA.Descricao,"(digite a descrição aqui)")</f>
        <v>PLACA DE REGULAMENTAÇÃO OCTOGONAL LADO 0,25M</v>
      </c>
      <c r="S87" s="121" t="str">
        <f ca="1">REFERENCIA.Unidade</f>
        <v>UN</v>
      </c>
      <c r="T87" s="122">
        <f ca="1">OFFSET(CÁLCULO!H$15,ROW($T87)-ROW(T$15),0)</f>
        <v>1</v>
      </c>
      <c r="U87" s="123">
        <f ca="1">AG87</f>
        <v>734.66</v>
      </c>
      <c r="V87" s="124" t="s">
        <v>663</v>
      </c>
      <c r="W87" s="122">
        <f ca="1">IF($C87="S",ROUND(IF(TIPOORCAMENTO="Proposto",ORÇAMENTO.CustoUnitario*(1+$AH87),ORÇAMENTO.PrecoUnitarioLicitado),15-13*$AF$10),0)</f>
        <v>902.38</v>
      </c>
      <c r="X87" s="125" cm="1">
        <f t="array" aca="1" ref="X87" ca="1">IF($C87="S",IF(OR(Import.TipoArredondamento&lt;&gt;"TransfereGOV",ACOMPANHAMENTO="BM"),VTOTAL1,SUM(OFFSET(CÁLCULO!$AI$15,ROW($X87)-ROW($X$15),1):OFFSET(CÁLCULO!$BB$15,ROW($X87)-ROW($X$15),-1))),IF($C87=0,0,ROUND(SomaAgrup,15-13*$AF$11)))</f>
        <v>902.38</v>
      </c>
      <c r="Y87" s="126" t="s">
        <v>751</v>
      </c>
      <c r="Z87" t="str">
        <f t="shared" ca="1" si="13"/>
        <v>RA</v>
      </c>
      <c r="AA87" s="127">
        <f ca="1">IF($C87="S",IF($Z87="CP",$X87,IF($Z87="RA",(($X87)*QCI!$AA$3),0)),SomaAgrup)</f>
        <v>249.24985688873275</v>
      </c>
      <c r="AB87" s="128">
        <f t="shared" ca="1" si="14"/>
        <v>0</v>
      </c>
      <c r="AC87" s="565" t="e"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IF(AND(_xlfn.SINGLE(TIPOORCAMENTO)="Licitado",$AL87=0,$AN87&gt;0),"SEM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#NAME?</v>
      </c>
      <c r="AD87" t="str">
        <f ca="1">IF(C87&lt;=CRONO.NivelExibicao,MAX($AD$15:OFFSET(AD87,-1,0))+IF($C87&lt;&gt;1,1,MAX(1,COUNTIF(QCI!$A$13:$A$24,OFFSET($E87,-1,0)))),"")</f>
        <v/>
      </c>
      <c r="AE87" s="7" t="str">
        <f ca="1">IF(AND($C87="S",ORÇAMENTO.CodBarra&lt;&gt;""),IF(ORÇAMENTO.Fonte="",ORÇAMENTO.CodBarra,CONCATENATE(ORÇAMENTO.Fonte," ",ORÇAMENTO.CodBarra)))</f>
        <v>Composição COMP 18</v>
      </c>
      <c r="AF87" s="12">
        <f ca="1">IF(ISERROR(INDIRECT(ORÇAMENTO.BancoRef)),"(abra o arquivo 'Referência "&amp;Excel_BuiltIn_Database&amp;".xlsm)",IF(OR($C87&lt;&gt;"S",ORÇAMENTO.CodBarra=""),"(Sem Código)",IF(ISERROR(MATCH($AE87,INDIRECT(ORÇAMENTO.BancoRef),0)),"(Código não identificado nas referências)",MATCH($AE87,INDIRECT(ORÇAMENTO.BancoRef),0))))</f>
        <v>20</v>
      </c>
      <c r="AG87" s="428">
        <f ca="1">ROUND(IF(DESONERACAO="sim",REFERENCIA.Desonerado,REFERENCIA.NaoDesonerado),2)</f>
        <v>734.66</v>
      </c>
      <c r="AH87" s="429">
        <f t="shared" ca="1" si="15"/>
        <v>0.2283</v>
      </c>
      <c r="AJ87" s="431"/>
      <c r="AL87" s="439"/>
      <c r="AM87" s="336">
        <f t="shared" ca="1" si="19"/>
        <v>902.38</v>
      </c>
      <c r="AN87" s="470">
        <f t="shared" ca="1" si="16"/>
        <v>902.38</v>
      </c>
    </row>
    <row r="88" spans="1:40" ht="13.8" x14ac:dyDescent="0.3">
      <c r="A88">
        <f t="shared" si="1"/>
        <v>2</v>
      </c>
      <c r="B88">
        <f t="shared" ca="1" si="2"/>
        <v>2</v>
      </c>
      <c r="C88">
        <f t="shared" ca="1" si="3"/>
        <v>2</v>
      </c>
      <c r="D88">
        <f t="shared" ca="1" si="4"/>
        <v>5</v>
      </c>
      <c r="E88">
        <f ca="1">IF($C88=1,OFFSET(E88,-1,0)+MAX(1,COUNTIF(QCI!$A$13:$A$24,OFFSET(ORÇAMENTO!E88,-1,0))),OFFSET(E88,-1,0))</f>
        <v>2</v>
      </c>
      <c r="F88">
        <f t="shared" ca="1" si="5"/>
        <v>6</v>
      </c>
      <c r="G88">
        <f t="shared" ca="1" si="6"/>
        <v>0</v>
      </c>
      <c r="H88">
        <f t="shared" ca="1" si="7"/>
        <v>0</v>
      </c>
      <c r="I88">
        <f t="shared" ca="1" si="8"/>
        <v>0</v>
      </c>
      <c r="J88">
        <f t="shared" ca="1" si="25"/>
        <v>5</v>
      </c>
      <c r="K88" t="e">
        <f ca="1">IF(OR($C88="S",$C88=0),0,MATCH(OFFSET($D88,0,$C88)+IF($C88&lt;&gt;1,1,COUNTIF(QCI!$A$13:$A$24,ORÇAMENTO!E88)),OFFSET($D88,1,$C88,ROW($C$165)-ROW($C88)),0))</f>
        <v>#N/A</v>
      </c>
      <c r="L88" s="114" t="str">
        <f t="shared" ca="1" si="10"/>
        <v>F</v>
      </c>
      <c r="M88" s="115" t="s">
        <v>702</v>
      </c>
      <c r="N88" s="116" t="str">
        <f t="shared" ca="1" si="11"/>
        <v>Nível 2</v>
      </c>
      <c r="O88" s="117" t="str">
        <f t="shared" ca="1" si="12"/>
        <v>2.6.</v>
      </c>
      <c r="P88" s="118" t="s">
        <v>750</v>
      </c>
      <c r="Q88" s="119"/>
      <c r="R88" s="120" t="s">
        <v>1057</v>
      </c>
      <c r="S88" s="121" t="str">
        <f ca="1">REFERENCIA.Unidade</f>
        <v>-</v>
      </c>
      <c r="T88" s="122">
        <f ca="1">OFFSET(CÁLCULO!H$15,ROW($T88)-ROW(T$15),0)</f>
        <v>0</v>
      </c>
      <c r="U88" s="123"/>
      <c r="V88" s="124" t="s">
        <v>663</v>
      </c>
      <c r="W88" s="122">
        <f ca="1">IF($C88="S",ROUND(IF(TIPOORCAMENTO="Proposto",ORÇAMENTO.CustoUnitario*(1+$AH88),ORÇAMENTO.PrecoUnitarioLicitado),15-13*$AF$10),0)</f>
        <v>0</v>
      </c>
      <c r="X88" s="125" cm="1">
        <f t="array" aca="1" ref="X88" ca="1">IF($C88="S",IF(OR(Import.TipoArredondamento&lt;&gt;"TransfereGOV",ACOMPANHAMENTO="BM"),VTOTAL1,SUM(OFFSET(CÁLCULO!$AI$15,ROW($X88)-ROW($X$15),1):OFFSET(CÁLCULO!$BB$15,ROW($X88)-ROW($X$15),-1))),IF($C88=0,0,ROUND(SomaAgrup,15-13*$AF$11)))</f>
        <v>1131.9100000000001</v>
      </c>
      <c r="Y88" s="126" t="s">
        <v>751</v>
      </c>
      <c r="Z88" t="str">
        <f t="shared" ca="1" si="13"/>
        <v/>
      </c>
      <c r="AA88" s="127">
        <f ca="1">IF($C88="S",IF($Z88="CP",$X88,IF($Z88="RA",(($X88)*QCI!$AA$3),0)),SomaAgrup)</f>
        <v>312.64922262342412</v>
      </c>
      <c r="AB88" s="128">
        <f t="shared" ca="1" si="14"/>
        <v>0</v>
      </c>
      <c r="AC88" s="565" t="e"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IF(AND(_xlfn.SINGLE(TIPOORCAMENTO)="Licitado",$AL88=0,$AN88&gt;0),"SEM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#NAME?</v>
      </c>
      <c r="AD88">
        <f ca="1">IF(C88&lt;=CRONO.NivelExibicao,MAX($AD$15:OFFSET(AD88,-1,0))+IF($C88&lt;&gt;1,1,MAX(1,COUNTIF(QCI!$A$13:$A$24,OFFSET($E88,-1,0)))),"")</f>
        <v>15</v>
      </c>
      <c r="AE88" s="7" t="b">
        <f ca="1">IF(AND($C88="S",ORÇAMENTO.CodBarra&lt;&gt;""),IF(ORÇAMENTO.Fonte="",ORÇAMENTO.CodBarra,CONCATENATE(ORÇAMENTO.Fonte," ",ORÇAMENTO.CodBarra)))</f>
        <v>0</v>
      </c>
      <c r="AF88" s="12" t="str">
        <f ca="1">IF(ISERROR(INDIRECT(ORÇAMENTO.BancoRef)),"(abra o arquivo 'Referência "&amp;Excel_BuiltIn_Database&amp;".xlsm)",IF(OR($C88&lt;&gt;"S",ORÇAMENTO.CodBarra=""),"(Sem Código)",IF(ISERROR(MATCH($AE88,INDIRECT(ORÇAMENTO.BancoRef),0)),"(Código não identificado nas referências)",MATCH($AE88,INDIRECT(ORÇAMENTO.BancoRef),0))))</f>
        <v>(Sem Código)</v>
      </c>
      <c r="AG88" s="428">
        <f ca="1">ROUND(IF(DESONERACAO="sim",REFERENCIA.Desonerado,REFERENCIA.NaoDesonerado),2)</f>
        <v>0</v>
      </c>
      <c r="AH88" s="429">
        <f t="shared" ca="1" si="15"/>
        <v>0.2283</v>
      </c>
      <c r="AJ88" s="431"/>
      <c r="AL88" s="439"/>
      <c r="AM88" s="336">
        <f t="shared" ca="1" si="19"/>
        <v>1131.9100000000001</v>
      </c>
      <c r="AN88" s="470">
        <f t="shared" ca="1" si="16"/>
        <v>0</v>
      </c>
    </row>
    <row r="89" spans="1:40" ht="26.4" x14ac:dyDescent="0.3">
      <c r="A89" t="str">
        <f t="shared" si="1"/>
        <v>S</v>
      </c>
      <c r="B89">
        <f t="shared" ca="1" si="2"/>
        <v>2</v>
      </c>
      <c r="C89" t="str">
        <f t="shared" ca="1" si="3"/>
        <v>S</v>
      </c>
      <c r="D89">
        <f t="shared" ca="1" si="4"/>
        <v>0</v>
      </c>
      <c r="E89">
        <f ca="1">IF($C89=1,OFFSET(E89,-1,0)+MAX(1,COUNTIF(QCI!$A$13:$A$24,OFFSET(ORÇAMENTO!E89,-1,0))),OFFSET(E89,-1,0))</f>
        <v>2</v>
      </c>
      <c r="F89">
        <f t="shared" ca="1" si="5"/>
        <v>6</v>
      </c>
      <c r="G89">
        <f t="shared" ca="1" si="6"/>
        <v>0</v>
      </c>
      <c r="H89">
        <f t="shared" ca="1" si="7"/>
        <v>0</v>
      </c>
      <c r="I89">
        <f t="shared" ca="1" si="8"/>
        <v>1</v>
      </c>
      <c r="J89">
        <f t="shared" ca="1" si="25"/>
        <v>0</v>
      </c>
      <c r="K89">
        <f ca="1">IF(OR($C89="S",$C89=0),0,MATCH(OFFSET($D89,0,$C89)+IF($C89&lt;&gt;1,1,COUNTIF(QCI!$A$13:$A$24,ORÇAMENTO!E89)),OFFSET($D89,1,$C89,ROW($C$165)-ROW($C89)),0))</f>
        <v>0</v>
      </c>
      <c r="L89" s="114" t="str">
        <f t="shared" ca="1" si="10"/>
        <v>F</v>
      </c>
      <c r="M89" s="115" t="s">
        <v>705</v>
      </c>
      <c r="N89" s="116" t="str">
        <f t="shared" ca="1" si="11"/>
        <v>Serviço</v>
      </c>
      <c r="O89" s="117" t="str">
        <f t="shared" ca="1" si="12"/>
        <v>2.6.1.</v>
      </c>
      <c r="P89" s="118" t="s">
        <v>957</v>
      </c>
      <c r="Q89" s="119" t="s">
        <v>1027</v>
      </c>
      <c r="R89" s="120" t="str">
        <f ca="1">IF($C89="S",REFERENCIA.Descricao,"(digite a descrição aqui)")</f>
        <v>ENSAIO DE DETERMINAÇÃO DO TEOR DE BETUME - SOXHLET - CIMENTO ASFALTICO DE PETROLEO</v>
      </c>
      <c r="S89" s="121" t="str">
        <f ca="1">REFERENCIA.Unidade</f>
        <v>UN</v>
      </c>
      <c r="T89" s="122">
        <f ca="1">OFFSET(CÁLCULO!H$15,ROW($T89)-ROW(T$15),0)</f>
        <v>1</v>
      </c>
      <c r="U89" s="123">
        <f ca="1">AG89</f>
        <v>212.32</v>
      </c>
      <c r="V89" s="124" t="s">
        <v>663</v>
      </c>
      <c r="W89" s="122">
        <f ca="1">IF($C89="S",ROUND(IF(TIPOORCAMENTO="Proposto",ORÇAMENTO.CustoUnitario*(1+$AH89),ORÇAMENTO.PrecoUnitarioLicitado),15-13*$AF$10),0)</f>
        <v>260.79000000000002</v>
      </c>
      <c r="X89" s="125" cm="1">
        <f t="array" aca="1" ref="X89" ca="1">IF($C89="S",IF(OR(Import.TipoArredondamento&lt;&gt;"TransfereGOV",ACOMPANHAMENTO="BM"),VTOTAL1,SUM(OFFSET(CÁLCULO!$AI$15,ROW($X89)-ROW($X$15),1):OFFSET(CÁLCULO!$BB$15,ROW($X89)-ROW($X$15),-1))),IF($C89=0,0,ROUND(SomaAgrup,15-13*$AF$11)))</f>
        <v>260.79000000000002</v>
      </c>
      <c r="Y89" s="126" t="s">
        <v>751</v>
      </c>
      <c r="Z89" t="str">
        <f t="shared" ca="1" si="13"/>
        <v>RA</v>
      </c>
      <c r="AA89" s="127">
        <f ca="1">IF($C89="S",IF($Z89="CP",$X89,IF($Z89="RA",(($X89)*QCI!$AA$3),0)),SomaAgrup)</f>
        <v>72.033810787043834</v>
      </c>
      <c r="AB89" s="128">
        <f t="shared" ca="1" si="14"/>
        <v>0</v>
      </c>
      <c r="AC89" s="565" t="e"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IF(AND(_xlfn.SINGLE(TIPOORCAMENTO)="Licitado",$AL89=0,$AN89&gt;0),"SEM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#NAME?</v>
      </c>
      <c r="AD89" t="str">
        <f ca="1">IF(C89&lt;=CRONO.NivelExibicao,MAX($AD$15:OFFSET(AD89,-1,0))+IF($C89&lt;&gt;1,1,MAX(1,COUNTIF(QCI!$A$13:$A$24,OFFSET($E89,-1,0)))),"")</f>
        <v/>
      </c>
      <c r="AE89" s="7" t="str">
        <f ca="1">IF(AND($C89="S",ORÇAMENTO.CodBarra&lt;&gt;""),IF(ORÇAMENTO.Fonte="",ORÇAMENTO.CodBarra,CONCATENATE(ORÇAMENTO.Fonte," ",ORÇAMENTO.CodBarra)))</f>
        <v>Composição COMP 07</v>
      </c>
      <c r="AF89" s="12">
        <f ca="1">IF(ISERROR(INDIRECT(ORÇAMENTO.BancoRef)),"(abra o arquivo 'Referência "&amp;Excel_BuiltIn_Database&amp;".xlsm)",IF(OR($C89&lt;&gt;"S",ORÇAMENTO.CodBarra=""),"(Sem Código)",IF(ISERROR(MATCH($AE89,INDIRECT(ORÇAMENTO.BancoRef),0)),"(Código não identificado nas referências)",MATCH($AE89,INDIRECT(ORÇAMENTO.BancoRef),0))))</f>
        <v>9</v>
      </c>
      <c r="AG89" s="428">
        <f ca="1">ROUND(IF(DESONERACAO="sim",REFERENCIA.Desonerado,REFERENCIA.NaoDesonerado),2)</f>
        <v>212.32</v>
      </c>
      <c r="AH89" s="429">
        <f t="shared" ca="1" si="15"/>
        <v>0.2283</v>
      </c>
      <c r="AJ89" s="431"/>
      <c r="AL89" s="439"/>
      <c r="AM89" s="336">
        <f t="shared" ca="1" si="19"/>
        <v>260.79000000000002</v>
      </c>
      <c r="AN89" s="470">
        <f t="shared" ca="1" si="16"/>
        <v>260.79000000000002</v>
      </c>
    </row>
    <row r="90" spans="1:40" ht="13.8" x14ac:dyDescent="0.3">
      <c r="A90" t="str">
        <f t="shared" si="1"/>
        <v>S</v>
      </c>
      <c r="B90">
        <f t="shared" ca="1" si="2"/>
        <v>2</v>
      </c>
      <c r="C90" t="str">
        <f t="shared" ca="1" si="3"/>
        <v>S</v>
      </c>
      <c r="D90">
        <f t="shared" ca="1" si="4"/>
        <v>0</v>
      </c>
      <c r="E90">
        <f ca="1">IF($C90=1,OFFSET(E90,-1,0)+MAX(1,COUNTIF(QCI!$A$13:$A$24,OFFSET(ORÇAMENTO!E90,-1,0))),OFFSET(E90,-1,0))</f>
        <v>2</v>
      </c>
      <c r="F90">
        <f t="shared" ca="1" si="5"/>
        <v>6</v>
      </c>
      <c r="G90">
        <f t="shared" ca="1" si="6"/>
        <v>0</v>
      </c>
      <c r="H90">
        <f t="shared" ca="1" si="7"/>
        <v>0</v>
      </c>
      <c r="I90">
        <f t="shared" ca="1" si="8"/>
        <v>2</v>
      </c>
      <c r="J90">
        <f t="shared" ca="1" si="25"/>
        <v>0</v>
      </c>
      <c r="K90">
        <f ca="1">IF(OR($C90="S",$C90=0),0,MATCH(OFFSET($D90,0,$C90)+IF($C90&lt;&gt;1,1,COUNTIF(QCI!$A$13:$A$24,ORÇAMENTO!E90)),OFFSET($D90,1,$C90,ROW($C$165)-ROW($C90)),0))</f>
        <v>0</v>
      </c>
      <c r="L90" s="114" t="str">
        <f t="shared" ca="1" si="10"/>
        <v>F</v>
      </c>
      <c r="M90" s="115" t="s">
        <v>705</v>
      </c>
      <c r="N90" s="116" t="str">
        <f t="shared" ca="1" si="11"/>
        <v>Serviço</v>
      </c>
      <c r="O90" s="117" t="str">
        <f t="shared" ca="1" si="12"/>
        <v>2.6.2.</v>
      </c>
      <c r="P90" s="118" t="s">
        <v>957</v>
      </c>
      <c r="Q90" s="119" t="s">
        <v>1028</v>
      </c>
      <c r="R90" s="120" t="str">
        <f ca="1">IF($C90="S",REFERENCIA.Descricao,"(digite a descrição aqui)")</f>
        <v xml:space="preserve">ENSAIO MARSHALL - MISTURA BETUMINOSA À QUENTE </v>
      </c>
      <c r="S90" s="121" t="str">
        <f ca="1">REFERENCIA.Unidade</f>
        <v>UN</v>
      </c>
      <c r="T90" s="122">
        <f ca="1">OFFSET(CÁLCULO!H$15,ROW($T90)-ROW(T$15),0)</f>
        <v>1</v>
      </c>
      <c r="U90" s="123">
        <f ca="1">AG90</f>
        <v>424.66</v>
      </c>
      <c r="V90" s="124" t="s">
        <v>663</v>
      </c>
      <c r="W90" s="122">
        <f ca="1">IF($C90="S",ROUND(IF(TIPOORCAMENTO="Proposto",ORÇAMENTO.CustoUnitario*(1+$AH90),ORÇAMENTO.PrecoUnitarioLicitado),15-13*$AF$10),0)</f>
        <v>521.61</v>
      </c>
      <c r="X90" s="125" cm="1">
        <f t="array" aca="1" ref="X90" ca="1">IF($C90="S",IF(OR(Import.TipoArredondamento&lt;&gt;"TransfereGOV",ACOMPANHAMENTO="BM"),VTOTAL1,SUM(OFFSET(CÁLCULO!$AI$15,ROW($X90)-ROW($X$15),1):OFFSET(CÁLCULO!$BB$15,ROW($X90)-ROW($X$15),-1))),IF($C90=0,0,ROUND(SomaAgrup,15-13*$AF$11)))</f>
        <v>521.61</v>
      </c>
      <c r="Y90" s="126" t="s">
        <v>751</v>
      </c>
      <c r="Z90" t="str">
        <f t="shared" ca="1" si="13"/>
        <v>RA</v>
      </c>
      <c r="AA90" s="127">
        <f ca="1">IF($C90="S",IF($Z90="CP",$X90,IF($Z90="RA",(($X90)*QCI!$AA$3),0)),SomaAgrup)</f>
        <v>144.07590798968494</v>
      </c>
      <c r="AB90" s="128">
        <f t="shared" ca="1" si="14"/>
        <v>0</v>
      </c>
      <c r="AC90" s="565" t="e"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IF(AND(_xlfn.SINGLE(TIPOORCAMENTO)="Licitado",$AL90=0,$AN90&gt;0),"SEM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#NAME?</v>
      </c>
      <c r="AD90" t="str">
        <f ca="1">IF(C90&lt;=CRONO.NivelExibicao,MAX($AD$15:OFFSET(AD90,-1,0))+IF($C90&lt;&gt;1,1,MAX(1,COUNTIF(QCI!$A$13:$A$24,OFFSET($E90,-1,0)))),"")</f>
        <v/>
      </c>
      <c r="AE90" s="7" t="str">
        <f ca="1">IF(AND($C90="S",ORÇAMENTO.CodBarra&lt;&gt;""),IF(ORÇAMENTO.Fonte="",ORÇAMENTO.CodBarra,CONCATENATE(ORÇAMENTO.Fonte," ",ORÇAMENTO.CodBarra)))</f>
        <v>Composição COMP 08</v>
      </c>
      <c r="AF90" s="12">
        <f ca="1">IF(ISERROR(INDIRECT(ORÇAMENTO.BancoRef)),"(abra o arquivo 'Referência "&amp;Excel_BuiltIn_Database&amp;".xlsm)",IF(OR($C90&lt;&gt;"S",ORÇAMENTO.CodBarra=""),"(Sem Código)",IF(ISERROR(MATCH($AE90,INDIRECT(ORÇAMENTO.BancoRef),0)),"(Código não identificado nas referências)",MATCH($AE90,INDIRECT(ORÇAMENTO.BancoRef),0))))</f>
        <v>10</v>
      </c>
      <c r="AG90" s="428">
        <f ca="1">ROUND(IF(DESONERACAO="sim",REFERENCIA.Desonerado,REFERENCIA.NaoDesonerado),2)</f>
        <v>424.66</v>
      </c>
      <c r="AH90" s="429">
        <f t="shared" ca="1" si="15"/>
        <v>0.2283</v>
      </c>
      <c r="AJ90" s="431"/>
      <c r="AL90" s="439"/>
      <c r="AM90" s="336">
        <f t="shared" ca="1" si="19"/>
        <v>521.61</v>
      </c>
      <c r="AN90" s="470">
        <f t="shared" ca="1" si="16"/>
        <v>521.61</v>
      </c>
    </row>
    <row r="91" spans="1:40" ht="39.6" x14ac:dyDescent="0.3">
      <c r="A91" t="str">
        <f t="shared" si="1"/>
        <v>S</v>
      </c>
      <c r="B91">
        <f t="shared" ca="1" si="2"/>
        <v>2</v>
      </c>
      <c r="C91" t="str">
        <f t="shared" ca="1" si="3"/>
        <v>S</v>
      </c>
      <c r="D91">
        <f t="shared" ca="1" si="4"/>
        <v>0</v>
      </c>
      <c r="E91">
        <f ca="1">IF($C91=1,OFFSET(E91,-1,0)+MAX(1,COUNTIF(QCI!$A$13:$A$24,OFFSET(ORÇAMENTO!E91,-1,0))),OFFSET(E91,-1,0))</f>
        <v>2</v>
      </c>
      <c r="F91">
        <f t="shared" ca="1" si="5"/>
        <v>6</v>
      </c>
      <c r="G91">
        <f t="shared" ca="1" si="6"/>
        <v>0</v>
      </c>
      <c r="H91">
        <f t="shared" ca="1" si="7"/>
        <v>0</v>
      </c>
      <c r="I91">
        <f t="shared" ca="1" si="8"/>
        <v>3</v>
      </c>
      <c r="J91">
        <f t="shared" ca="1" si="25"/>
        <v>0</v>
      </c>
      <c r="K91">
        <f ca="1">IF(OR($C91="S",$C91=0),0,MATCH(OFFSET($D91,0,$C91)+IF($C91&lt;&gt;1,1,COUNTIF(QCI!$A$13:$A$24,ORÇAMENTO!E91)),OFFSET($D91,1,$C91,ROW($C$165)-ROW($C91)),0))</f>
        <v>0</v>
      </c>
      <c r="L91" s="114" t="str">
        <f t="shared" ca="1" si="10"/>
        <v>F</v>
      </c>
      <c r="M91" s="115" t="s">
        <v>705</v>
      </c>
      <c r="N91" s="116" t="str">
        <f t="shared" ca="1" si="11"/>
        <v>Serviço</v>
      </c>
      <c r="O91" s="117" t="str">
        <f t="shared" ca="1" si="12"/>
        <v>2.6.3.</v>
      </c>
      <c r="P91" s="118" t="s">
        <v>957</v>
      </c>
      <c r="Q91" s="119" t="s">
        <v>1029</v>
      </c>
      <c r="R91" s="120" t="str">
        <f ca="1">IF($C91="S",REFERENCIA.Descricao,"(digite a descrição aqui)")</f>
        <v xml:space="preserve">ENSAIO DE CONTROLE DO GRAU DE COMPACTAÇÃO, DENSIDADE E ESPESSURA DA MASSA ASFÁLTICA COM COLETA ATRAVÉS DE SONDA ROTATIVA </v>
      </c>
      <c r="S91" s="121" t="str">
        <f ca="1">REFERENCIA.Unidade</f>
        <v>UN</v>
      </c>
      <c r="T91" s="122">
        <f ca="1">OFFSET(CÁLCULO!H$15,ROW($T91)-ROW(T$15),0)</f>
        <v>1</v>
      </c>
      <c r="U91" s="123">
        <f ca="1">AG91</f>
        <v>111.32</v>
      </c>
      <c r="V91" s="124" t="s">
        <v>663</v>
      </c>
      <c r="W91" s="122">
        <f ca="1">IF($C91="S",ROUND(IF(TIPOORCAMENTO="Proposto",ORÇAMENTO.CustoUnitario*(1+$AH91),ORÇAMENTO.PrecoUnitarioLicitado),15-13*$AF$10),0)</f>
        <v>136.72999999999999</v>
      </c>
      <c r="X91" s="125" cm="1">
        <f t="array" aca="1" ref="X91" ca="1">IF($C91="S",IF(OR(Import.TipoArredondamento&lt;&gt;"TransfereGOV",ACOMPANHAMENTO="BM"),VTOTAL1,SUM(OFFSET(CÁLCULO!$AI$15,ROW($X91)-ROW($X$15),1):OFFSET(CÁLCULO!$BB$15,ROW($X91)-ROW($X$15),-1))),IF($C91=0,0,ROUND(SomaAgrup,15-13*$AF$11)))</f>
        <v>136.72999999999999</v>
      </c>
      <c r="Y91" s="126" t="s">
        <v>751</v>
      </c>
      <c r="Z91" t="str">
        <f t="shared" ca="1" si="13"/>
        <v>RA</v>
      </c>
      <c r="AA91" s="127">
        <f ca="1">IF($C91="S",IF($Z91="CP",$X91,IF($Z91="RA",(($X91)*QCI!$AA$3),0)),SomaAgrup)</f>
        <v>37.766720153811505</v>
      </c>
      <c r="AB91" s="128">
        <f t="shared" ca="1" si="14"/>
        <v>0</v>
      </c>
      <c r="AC91" s="565" t="e"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IF(AND(_xlfn.SINGLE(TIPOORCAMENTO)="Licitado",$AL91=0,$AN91&gt;0),"SEM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#NAME?</v>
      </c>
      <c r="AD91" t="str">
        <f ca="1">IF(C91&lt;=CRONO.NivelExibicao,MAX($AD$15:OFFSET(AD91,-1,0))+IF($C91&lt;&gt;1,1,MAX(1,COUNTIF(QCI!$A$13:$A$24,OFFSET($E91,-1,0)))),"")</f>
        <v/>
      </c>
      <c r="AE91" s="7" t="str">
        <f ca="1">IF(AND($C91="S",ORÇAMENTO.CodBarra&lt;&gt;""),IF(ORÇAMENTO.Fonte="",ORÇAMENTO.CodBarra,CONCATENATE(ORÇAMENTO.Fonte," ",ORÇAMENTO.CodBarra)))</f>
        <v>Composição COMP 09</v>
      </c>
      <c r="AF91" s="12">
        <f ca="1">IF(ISERROR(INDIRECT(ORÇAMENTO.BancoRef)),"(abra o arquivo 'Referência "&amp;Excel_BuiltIn_Database&amp;".xlsm)",IF(OR($C91&lt;&gt;"S",ORÇAMENTO.CodBarra=""),"(Sem Código)",IF(ISERROR(MATCH($AE91,INDIRECT(ORÇAMENTO.BancoRef),0)),"(Código não identificado nas referências)",MATCH($AE91,INDIRECT(ORÇAMENTO.BancoRef),0))))</f>
        <v>11</v>
      </c>
      <c r="AG91" s="428">
        <f ca="1">ROUND(IF(DESONERACAO="sim",REFERENCIA.Desonerado,REFERENCIA.NaoDesonerado),2)</f>
        <v>111.32</v>
      </c>
      <c r="AH91" s="429">
        <f t="shared" ca="1" si="15"/>
        <v>0.2283</v>
      </c>
      <c r="AJ91" s="431"/>
      <c r="AL91" s="439"/>
      <c r="AM91" s="336">
        <f t="shared" ca="1" si="19"/>
        <v>136.72999999999999</v>
      </c>
      <c r="AN91" s="470">
        <f t="shared" ca="1" si="16"/>
        <v>136.72999999999999</v>
      </c>
    </row>
    <row r="92" spans="1:40" ht="13.8" x14ac:dyDescent="0.3">
      <c r="A92" t="str">
        <f t="shared" si="1"/>
        <v>S</v>
      </c>
      <c r="B92">
        <f t="shared" ca="1" si="2"/>
        <v>2</v>
      </c>
      <c r="C92" t="str">
        <f t="shared" ca="1" si="3"/>
        <v>S</v>
      </c>
      <c r="D92">
        <f t="shared" ca="1" si="4"/>
        <v>0</v>
      </c>
      <c r="E92">
        <f ca="1">IF($C92=1,OFFSET(E92,-1,0)+MAX(1,COUNTIF(QCI!$A$13:$A$24,OFFSET(ORÇAMENTO!E92,-1,0))),OFFSET(E92,-1,0))</f>
        <v>2</v>
      </c>
      <c r="F92">
        <f t="shared" ca="1" si="5"/>
        <v>6</v>
      </c>
      <c r="G92">
        <f t="shared" ca="1" si="6"/>
        <v>0</v>
      </c>
      <c r="H92">
        <f t="shared" ca="1" si="7"/>
        <v>0</v>
      </c>
      <c r="I92">
        <f t="shared" ca="1" si="8"/>
        <v>4</v>
      </c>
      <c r="J92">
        <f t="shared" ca="1" si="25"/>
        <v>0</v>
      </c>
      <c r="K92">
        <f ca="1">IF(OR($C92="S",$C92=0),0,MATCH(OFFSET($D92,0,$C92)+IF($C92&lt;&gt;1,1,COUNTIF(QCI!$A$13:$A$24,ORÇAMENTO!E92)),OFFSET($D92,1,$C92,ROW($C$165)-ROW($C92)),0))</f>
        <v>0</v>
      </c>
      <c r="L92" s="114" t="str">
        <f t="shared" ca="1" si="10"/>
        <v>F</v>
      </c>
      <c r="M92" s="115" t="s">
        <v>705</v>
      </c>
      <c r="N92" s="116" t="str">
        <f t="shared" ca="1" si="11"/>
        <v>Serviço</v>
      </c>
      <c r="O92" s="117" t="str">
        <f t="shared" ca="1" si="12"/>
        <v>2.6.4.</v>
      </c>
      <c r="P92" s="118" t="s">
        <v>957</v>
      </c>
      <c r="Q92" s="119" t="s">
        <v>1031</v>
      </c>
      <c r="R92" s="120" t="str">
        <f ca="1">IF($C92="S",REFERENCIA.Descricao,"(digite a descrição aqui)")</f>
        <v xml:space="preserve">ENSAIO BANDEJA DO LIGANTE DE PINTURA </v>
      </c>
      <c r="S92" s="121" t="str">
        <f ca="1">REFERENCIA.Unidade</f>
        <v>UN</v>
      </c>
      <c r="T92" s="122">
        <f ca="1">OFFSET(CÁLCULO!H$15,ROW($T92)-ROW(T$15),0)</f>
        <v>1</v>
      </c>
      <c r="U92" s="123">
        <f ca="1">AG92</f>
        <v>173.23</v>
      </c>
      <c r="V92" s="124" t="s">
        <v>663</v>
      </c>
      <c r="W92" s="122">
        <f ca="1">IF($C92="S",ROUND(IF(TIPOORCAMENTO="Proposto",ORÇAMENTO.CustoUnitario*(1+$AH92),ORÇAMENTO.PrecoUnitarioLicitado),15-13*$AF$10),0)</f>
        <v>212.78</v>
      </c>
      <c r="X92" s="125" cm="1">
        <f t="array" aca="1" ref="X92" ca="1">IF($C92="S",IF(OR(Import.TipoArredondamento&lt;&gt;"TransfereGOV",ACOMPANHAMENTO="BM"),VTOTAL1,SUM(OFFSET(CÁLCULO!$AI$15,ROW($X92)-ROW($X$15),1):OFFSET(CÁLCULO!$BB$15,ROW($X92)-ROW($X$15),-1))),IF($C92=0,0,ROUND(SomaAgrup,15-13*$AF$11)))</f>
        <v>212.78</v>
      </c>
      <c r="Y92" s="126" t="s">
        <v>751</v>
      </c>
      <c r="Z92" t="str">
        <f t="shared" ca="1" si="13"/>
        <v>RA</v>
      </c>
      <c r="AA92" s="127">
        <f ca="1">IF($C92="S",IF($Z92="CP",$X92,IF($Z92="RA",(($X92)*QCI!$AA$3),0)),SomaAgrup)</f>
        <v>58.772783692883877</v>
      </c>
      <c r="AB92" s="128">
        <f t="shared" ca="1" si="14"/>
        <v>0</v>
      </c>
      <c r="AC92" s="565" t="e"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IF(AND(_xlfn.SINGLE(TIPOORCAMENTO)="Licitado",$AL92=0,$AN92&gt;0),"SEM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#NAME?</v>
      </c>
      <c r="AD92" t="str">
        <f ca="1">IF(C92&lt;=CRONO.NivelExibicao,MAX($AD$15:OFFSET(AD92,-1,0))+IF($C92&lt;&gt;1,1,MAX(1,COUNTIF(QCI!$A$13:$A$24,OFFSET($E92,-1,0)))),"")</f>
        <v/>
      </c>
      <c r="AE92" s="7" t="str">
        <f ca="1">IF(AND($C92="S",ORÇAMENTO.CodBarra&lt;&gt;""),IF(ORÇAMENTO.Fonte="",ORÇAMENTO.CodBarra,CONCATENATE(ORÇAMENTO.Fonte," ",ORÇAMENTO.CodBarra)))</f>
        <v>Composição COMP 10</v>
      </c>
      <c r="AF92" s="12">
        <f ca="1">IF(ISERROR(INDIRECT(ORÇAMENTO.BancoRef)),"(abra o arquivo 'Referência "&amp;Excel_BuiltIn_Database&amp;".xlsm)",IF(OR($C92&lt;&gt;"S",ORÇAMENTO.CodBarra=""),"(Sem Código)",IF(ISERROR(MATCH($AE92,INDIRECT(ORÇAMENTO.BancoRef),0)),"(Código não identificado nas referências)",MATCH($AE92,INDIRECT(ORÇAMENTO.BancoRef),0))))</f>
        <v>12</v>
      </c>
      <c r="AG92" s="428">
        <f ca="1">ROUND(IF(DESONERACAO="sim",REFERENCIA.Desonerado,REFERENCIA.NaoDesonerado),2)</f>
        <v>173.23</v>
      </c>
      <c r="AH92" s="429">
        <f t="shared" ca="1" si="15"/>
        <v>0.2283</v>
      </c>
      <c r="AJ92" s="431"/>
      <c r="AL92" s="439"/>
      <c r="AM92" s="336">
        <f t="shared" ca="1" si="19"/>
        <v>212.78</v>
      </c>
      <c r="AN92" s="470">
        <f t="shared" ca="1" si="16"/>
        <v>212.78</v>
      </c>
    </row>
    <row r="93" spans="1:40" ht="13.8" x14ac:dyDescent="0.3">
      <c r="A93">
        <f t="shared" si="1"/>
        <v>1</v>
      </c>
      <c r="B93">
        <f t="shared" ca="1" si="2"/>
        <v>1</v>
      </c>
      <c r="C93">
        <f t="shared" ca="1" si="3"/>
        <v>1</v>
      </c>
      <c r="D93">
        <f t="shared" ca="1" si="4"/>
        <v>40</v>
      </c>
      <c r="E93">
        <f ca="1">IF($C93=1,OFFSET(E93,-1,0)+MAX(1,COUNTIF(QCI!$A$13:$A$24,OFFSET(ORÇAMENTO!E93,-1,0))),OFFSET(E93,-1,0))</f>
        <v>3</v>
      </c>
      <c r="F93">
        <f t="shared" ca="1" si="5"/>
        <v>0</v>
      </c>
      <c r="G93">
        <f t="shared" ca="1" si="6"/>
        <v>0</v>
      </c>
      <c r="H93">
        <f t="shared" ca="1" si="7"/>
        <v>0</v>
      </c>
      <c r="I93">
        <f t="shared" ca="1" si="8"/>
        <v>0</v>
      </c>
      <c r="J93">
        <f t="shared" ca="1" si="25"/>
        <v>72</v>
      </c>
      <c r="K93">
        <f ca="1">IF(OR($C93="S",$C93=0),0,MATCH(OFFSET($D93,0,$C93)+IF($C93&lt;&gt;1,1,COUNTIF(QCI!$A$13:$A$24,ORÇAMENTO!E93)),OFFSET($D93,1,$C93,ROW($C$165)-ROW($C93)),0))</f>
        <v>40</v>
      </c>
      <c r="L93" s="114" t="str">
        <f t="shared" ca="1" si="10"/>
        <v>F</v>
      </c>
      <c r="M93" s="115" t="s">
        <v>701</v>
      </c>
      <c r="N93" s="116" t="str">
        <f t="shared" ca="1" si="11"/>
        <v>Meta</v>
      </c>
      <c r="O93" s="117" t="str">
        <f t="shared" ca="1" si="12"/>
        <v>3.</v>
      </c>
      <c r="P93" s="118" t="s">
        <v>750</v>
      </c>
      <c r="Q93" s="119"/>
      <c r="R93" s="120" t="s">
        <v>1059</v>
      </c>
      <c r="S93" s="121" t="str">
        <f ca="1">REFERENCIA.Unidade</f>
        <v>-</v>
      </c>
      <c r="T93" s="122">
        <f ca="1">OFFSET(CÁLCULO!H$15,ROW($T93)-ROW(T$15),0)</f>
        <v>0</v>
      </c>
      <c r="U93" s="123"/>
      <c r="V93" s="124" t="s">
        <v>663</v>
      </c>
      <c r="W93" s="122">
        <f ca="1">IF($C93="S",ROUND(IF(TIPOORCAMENTO="Proposto",ORÇAMENTO.CustoUnitario*(1+$AH93),ORÇAMENTO.PrecoUnitarioLicitado),15-13*$AF$10),0)</f>
        <v>0</v>
      </c>
      <c r="X93" s="125" cm="1">
        <f t="array" aca="1" ref="X93" ca="1">IF($C93="S",IF(OR(Import.TipoArredondamento&lt;&gt;"TransfereGOV",ACOMPANHAMENTO="BM"),VTOTAL1,SUM(OFFSET(CÁLCULO!$AI$15,ROW($X93)-ROW($X$15),1):OFFSET(CÁLCULO!$BB$15,ROW($X93)-ROW($X$15),-1))),IF($C93=0,0,ROUND(SomaAgrup,15-13*$AF$11)))</f>
        <v>339932.39</v>
      </c>
      <c r="Y93" s="126" t="s">
        <v>751</v>
      </c>
      <c r="Z93" t="str">
        <f t="shared" ca="1" si="13"/>
        <v/>
      </c>
      <c r="AA93" s="127">
        <f ca="1">IF($C93="S",IF($Z93="CP",$X93,IF($Z93="RA",(($X93)*QCI!$AA$3),0)),SomaAgrup)</f>
        <v>93894.035283744015</v>
      </c>
      <c r="AB93" s="128">
        <f t="shared" ca="1" si="14"/>
        <v>0</v>
      </c>
      <c r="AC93" s="565" t="e"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IF(AND(_xlfn.SINGLE(TIPOORCAMENTO)="Licitado",$AL93=0,$AN93&gt;0),"SEM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#NAME?</v>
      </c>
      <c r="AD93">
        <f ca="1">IF(C93&lt;=CRONO.NivelExibicao,MAX($AD$15:OFFSET(AD93,-1,0))+IF($C93&lt;&gt;1,1,MAX(1,COUNTIF(QCI!$A$13:$A$24,OFFSET($E93,-1,0)))),"")</f>
        <v>16</v>
      </c>
      <c r="AE93" s="7" t="b">
        <f ca="1">IF(AND($C93="S",ORÇAMENTO.CodBarra&lt;&gt;""),IF(ORÇAMENTO.Fonte="",ORÇAMENTO.CodBarra,CONCATENATE(ORÇAMENTO.Fonte," ",ORÇAMENTO.CodBarra)))</f>
        <v>0</v>
      </c>
      <c r="AF93" s="12" t="str">
        <f ca="1">IF(ISERROR(INDIRECT(ORÇAMENTO.BancoRef)),"(abra o arquivo 'Referência "&amp;Excel_BuiltIn_Database&amp;".xlsm)",IF(OR($C93&lt;&gt;"S",ORÇAMENTO.CodBarra=""),"(Sem Código)",IF(ISERROR(MATCH($AE93,INDIRECT(ORÇAMENTO.BancoRef),0)),"(Código não identificado nas referências)",MATCH($AE93,INDIRECT(ORÇAMENTO.BancoRef),0))))</f>
        <v>(Sem Código)</v>
      </c>
      <c r="AG93" s="428">
        <f ca="1">ROUND(IF(DESONERACAO="sim",REFERENCIA.Desonerado,REFERENCIA.NaoDesonerado),2)</f>
        <v>0</v>
      </c>
      <c r="AH93" s="429">
        <f t="shared" ca="1" si="15"/>
        <v>0.2283</v>
      </c>
      <c r="AJ93" s="431"/>
      <c r="AL93" s="439"/>
      <c r="AM93" s="336">
        <f t="shared" ca="1" si="19"/>
        <v>339932.39</v>
      </c>
      <c r="AN93" s="470">
        <f t="shared" ca="1" si="16"/>
        <v>0</v>
      </c>
    </row>
    <row r="94" spans="1:40" ht="13.8" x14ac:dyDescent="0.3">
      <c r="A94" t="str">
        <f t="shared" si="1"/>
        <v>S</v>
      </c>
      <c r="B94">
        <f t="shared" ca="1" si="2"/>
        <v>2</v>
      </c>
      <c r="C94">
        <f t="shared" ca="1" si="3"/>
        <v>2</v>
      </c>
      <c r="D94">
        <f t="shared" ca="1" si="4"/>
        <v>7</v>
      </c>
      <c r="E94">
        <f ca="1">IF($C94=1,OFFSET(E94,-1,0)+MAX(1,COUNTIF(QCI!$A$13:$A$24,OFFSET(ORÇAMENTO!E94,-1,0))),OFFSET(E94,-1,0))</f>
        <v>3</v>
      </c>
      <c r="F94">
        <f t="shared" ca="1" si="5"/>
        <v>1</v>
      </c>
      <c r="G94">
        <f t="shared" ca="1" si="6"/>
        <v>0</v>
      </c>
      <c r="H94">
        <f t="shared" ca="1" si="7"/>
        <v>0</v>
      </c>
      <c r="I94">
        <f t="shared" ca="1" si="8"/>
        <v>0</v>
      </c>
      <c r="J94">
        <f t="shared" ca="1" si="25"/>
        <v>39</v>
      </c>
      <c r="K94">
        <f ca="1">IF(OR($C94="S",$C94=0),0,MATCH(OFFSET($D94,0,$C94)+IF($C94&lt;&gt;1,1,COUNTIF(QCI!$A$13:$A$24,ORÇAMENTO!E94)),OFFSET($D94,1,$C94,ROW($C$165)-ROW($C94)),0))</f>
        <v>7</v>
      </c>
      <c r="L94" s="114" t="str">
        <f t="shared" ca="1" si="10"/>
        <v>F</v>
      </c>
      <c r="M94" s="115" t="s">
        <v>705</v>
      </c>
      <c r="N94" s="116" t="str">
        <f t="shared" ca="1" si="11"/>
        <v>Nível 2</v>
      </c>
      <c r="O94" s="117" t="str">
        <f t="shared" ca="1" si="12"/>
        <v>3.1.</v>
      </c>
      <c r="P94" s="118" t="s">
        <v>750</v>
      </c>
      <c r="Q94" s="119"/>
      <c r="R94" s="120" t="s">
        <v>1005</v>
      </c>
      <c r="S94" s="121" t="str">
        <f ca="1">REFERENCIA.Unidade</f>
        <v>-</v>
      </c>
      <c r="T94" s="122">
        <f ca="1">OFFSET(CÁLCULO!H$15,ROW($T94)-ROW(T$15),0)</f>
        <v>0</v>
      </c>
      <c r="U94" s="123"/>
      <c r="V94" s="124" t="s">
        <v>663</v>
      </c>
      <c r="W94" s="122">
        <f ca="1">IF($C94="S",ROUND(IF(TIPOORCAMENTO="Proposto",ORÇAMENTO.CustoUnitario*(1+$AH94),ORÇAMENTO.PrecoUnitarioLicitado),15-13*$AF$10),0)</f>
        <v>0</v>
      </c>
      <c r="X94" s="125" cm="1">
        <f t="array" aca="1" ref="X94" ca="1">IF($C94="S",IF(OR(Import.TipoArredondamento&lt;&gt;"TransfereGOV",ACOMPANHAMENTO="BM"),VTOTAL1,SUM(OFFSET(CÁLCULO!$AI$15,ROW($X94)-ROW($X$15),1):OFFSET(CÁLCULO!$BB$15,ROW($X94)-ROW($X$15),-1))),IF($C94=0,0,ROUND(SomaAgrup,15-13*$AF$11)))</f>
        <v>82000.13</v>
      </c>
      <c r="Y94" s="126" t="s">
        <v>751</v>
      </c>
      <c r="Z94" t="str">
        <f t="shared" ca="1" si="13"/>
        <v/>
      </c>
      <c r="AA94" s="127">
        <f ca="1">IF($C94="S",IF($Z94="CP",$X94,IF($Z94="RA",(($X94)*QCI!$AA$3),0)),SomaAgrup)</f>
        <v>22649.571873664623</v>
      </c>
      <c r="AB94" s="128">
        <f t="shared" ca="1" si="14"/>
        <v>0</v>
      </c>
      <c r="AC94" s="565" t="e"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IF(AND(_xlfn.SINGLE(TIPOORCAMENTO)="Licitado",$AL94=0,$AN94&gt;0),"SEM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#NAME?</v>
      </c>
      <c r="AD94">
        <f ca="1">IF(C94&lt;=CRONO.NivelExibicao,MAX($AD$15:OFFSET(AD94,-1,0))+IF($C94&lt;&gt;1,1,MAX(1,COUNTIF(QCI!$A$13:$A$24,OFFSET($E94,-1,0)))),"")</f>
        <v>17</v>
      </c>
      <c r="AE94" s="7" t="b">
        <f ca="1">IF(AND($C94="S",ORÇAMENTO.CodBarra&lt;&gt;""),IF(ORÇAMENTO.Fonte="",ORÇAMENTO.CodBarra,CONCATENATE(ORÇAMENTO.Fonte," ",ORÇAMENTO.CodBarra)))</f>
        <v>0</v>
      </c>
      <c r="AF94" s="12" t="str">
        <f ca="1">IF(ISERROR(INDIRECT(ORÇAMENTO.BancoRef)),"(abra o arquivo 'Referência "&amp;Excel_BuiltIn_Database&amp;".xlsm)",IF(OR($C94&lt;&gt;"S",ORÇAMENTO.CodBarra=""),"(Sem Código)",IF(ISERROR(MATCH($AE94,INDIRECT(ORÇAMENTO.BancoRef),0)),"(Código não identificado nas referências)",MATCH($AE94,INDIRECT(ORÇAMENTO.BancoRef),0))))</f>
        <v>(Sem Código)</v>
      </c>
      <c r="AG94" s="428">
        <f ca="1">ROUND(IF(DESONERACAO="sim",REFERENCIA.Desonerado,REFERENCIA.NaoDesonerado),2)</f>
        <v>0</v>
      </c>
      <c r="AH94" s="429">
        <f t="shared" ca="1" si="15"/>
        <v>0.2283</v>
      </c>
      <c r="AJ94" s="431"/>
      <c r="AL94" s="439"/>
      <c r="AM94" s="336">
        <f t="shared" ca="1" si="19"/>
        <v>82000.13</v>
      </c>
      <c r="AN94" s="470">
        <f t="shared" ca="1" si="16"/>
        <v>0</v>
      </c>
    </row>
    <row r="95" spans="1:40" ht="13.8" x14ac:dyDescent="0.3">
      <c r="A95" t="str">
        <f t="shared" si="1"/>
        <v>S</v>
      </c>
      <c r="B95">
        <f t="shared" ca="1" si="2"/>
        <v>2</v>
      </c>
      <c r="C95" t="str">
        <f t="shared" ca="1" si="3"/>
        <v>S</v>
      </c>
      <c r="D95">
        <f t="shared" ca="1" si="4"/>
        <v>0</v>
      </c>
      <c r="E95">
        <f ca="1">IF($C95=1,OFFSET(E95,-1,0)+MAX(1,COUNTIF(QCI!$A$13:$A$24,OFFSET(ORÇAMENTO!E95,-1,0))),OFFSET(E95,-1,0))</f>
        <v>3</v>
      </c>
      <c r="F95">
        <f t="shared" ca="1" si="5"/>
        <v>1</v>
      </c>
      <c r="G95">
        <f t="shared" ca="1" si="6"/>
        <v>0</v>
      </c>
      <c r="H95">
        <f t="shared" ca="1" si="7"/>
        <v>0</v>
      </c>
      <c r="I95">
        <f t="shared" ca="1" si="8"/>
        <v>1</v>
      </c>
      <c r="J95">
        <f t="shared" ca="1" si="25"/>
        <v>0</v>
      </c>
      <c r="K95">
        <f ca="1">IF(OR($C95="S",$C95=0),0,MATCH(OFFSET($D95,0,$C95)+IF($C95&lt;&gt;1,1,COUNTIF(QCI!$A$13:$A$24,ORÇAMENTO!E95)),OFFSET($D95,1,$C95,ROW($C$165)-ROW($C95)),0))</f>
        <v>0</v>
      </c>
      <c r="L95" s="114" t="str">
        <f t="shared" ca="1" si="10"/>
        <v>F</v>
      </c>
      <c r="M95" s="115" t="s">
        <v>705</v>
      </c>
      <c r="N95" s="116" t="str">
        <f t="shared" ca="1" si="11"/>
        <v>Serviço</v>
      </c>
      <c r="O95" s="117" t="str">
        <f t="shared" ca="1" si="12"/>
        <v>3.1.1.</v>
      </c>
      <c r="P95" s="118" t="s">
        <v>956</v>
      </c>
      <c r="Q95" s="119" t="s">
        <v>1006</v>
      </c>
      <c r="R95" s="120" t="str">
        <f ca="1">IF($C95="S",REFERENCIA.Descricao,"(digite a descrição aqui)")</f>
        <v>Escavação mecânica com retroescavadeira em material de 1ª categoria</v>
      </c>
      <c r="S95" s="121" t="str">
        <f ca="1">REFERENCIA.Unidade</f>
        <v>m³</v>
      </c>
      <c r="T95" s="122">
        <f ca="1">OFFSET(CÁLCULO!H$15,ROW($T95)-ROW(T$15),0)</f>
        <v>125.84</v>
      </c>
      <c r="U95" s="123">
        <f t="shared" ref="U95:U100" ca="1" si="26">AG95</f>
        <v>7.38</v>
      </c>
      <c r="V95" s="124" t="s">
        <v>663</v>
      </c>
      <c r="W95" s="122">
        <f ca="1">IF($C95="S",ROUND(IF(TIPOORCAMENTO="Proposto",ORÇAMENTO.CustoUnitario*(1+$AH95),ORÇAMENTO.PrecoUnitarioLicitado),15-13*$AF$10),0)</f>
        <v>9.06</v>
      </c>
      <c r="X95" s="125" cm="1">
        <f t="array" aca="1" ref="X95" ca="1">IF($C95="S",IF(OR(Import.TipoArredondamento&lt;&gt;"TransfereGOV",ACOMPANHAMENTO="BM"),VTOTAL1,SUM(OFFSET(CÁLCULO!$AI$15,ROW($X95)-ROW($X$15),1):OFFSET(CÁLCULO!$BB$15,ROW($X95)-ROW($X$15),-1))),IF($C95=0,0,ROUND(SomaAgrup,15-13*$AF$11)))</f>
        <v>1140.1099999999999</v>
      </c>
      <c r="Y95" s="126" t="s">
        <v>751</v>
      </c>
      <c r="Z95" t="str">
        <f t="shared" ca="1" si="13"/>
        <v>RA</v>
      </c>
      <c r="AA95" s="127">
        <f ca="1">IF($C95="S",IF($Z95="CP",$X95,IF($Z95="RA",(($X95)*QCI!$AA$3),0)),SomaAgrup)</f>
        <v>314.91417622001046</v>
      </c>
      <c r="AB95" s="128">
        <f t="shared" ca="1" si="14"/>
        <v>0</v>
      </c>
      <c r="AC95" s="565" t="e"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IF(AND(_xlfn.SINGLE(TIPOORCAMENTO)="Licitado",$AL95=0,$AN95&gt;0),"SEM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#NAME?</v>
      </c>
      <c r="AD95" t="str">
        <f ca="1">IF(C95&lt;=CRONO.NivelExibicao,MAX($AD$15:OFFSET(AD95,-1,0))+IF($C95&lt;&gt;1,1,MAX(1,COUNTIF(QCI!$A$13:$A$24,OFFSET($E95,-1,0)))),"")</f>
        <v/>
      </c>
      <c r="AE95" s="7" t="str">
        <f ca="1">IF(AND($C95="S",ORÇAMENTO.CodBarra&lt;&gt;""),IF(ORÇAMENTO.Fonte="",ORÇAMENTO.CodBarra,CONCATENATE(ORÇAMENTO.Fonte," ",ORÇAMENTO.CodBarra)))</f>
        <v>SICRO 5501706</v>
      </c>
      <c r="AF95" s="12">
        <f ca="1">IF(ISERROR(INDIRECT(ORÇAMENTO.BancoRef)),"(abra o arquivo 'Referência "&amp;Excel_BuiltIn_Database&amp;".xlsm)",IF(OR($C95&lt;&gt;"S",ORÇAMENTO.CodBarra=""),"(Sem Código)",IF(ISERROR(MATCH($AE95,INDIRECT(ORÇAMENTO.BancoRef),0)),"(Código não identificado nas referências)",MATCH($AE95,INDIRECT(ORÇAMENTO.BancoRef),0))))</f>
        <v>21440</v>
      </c>
      <c r="AG95" s="428">
        <f ca="1">ROUND(IF(DESONERACAO="sim",REFERENCIA.Desonerado,REFERENCIA.NaoDesonerado),2)</f>
        <v>7.38</v>
      </c>
      <c r="AH95" s="429">
        <f t="shared" ca="1" si="15"/>
        <v>0.2283</v>
      </c>
      <c r="AJ95" s="431"/>
      <c r="AL95" s="439"/>
      <c r="AM95" s="336">
        <f t="shared" ca="1" si="19"/>
        <v>1140.1099999999999</v>
      </c>
      <c r="AN95" s="470">
        <f t="shared" ca="1" si="16"/>
        <v>9.06</v>
      </c>
    </row>
    <row r="96" spans="1:40" ht="26.4" x14ac:dyDescent="0.3">
      <c r="A96" t="str">
        <f t="shared" si="1"/>
        <v>S</v>
      </c>
      <c r="B96">
        <f t="shared" ca="1" si="2"/>
        <v>2</v>
      </c>
      <c r="C96" t="str">
        <f t="shared" ca="1" si="3"/>
        <v>S</v>
      </c>
      <c r="D96">
        <f t="shared" ca="1" si="4"/>
        <v>0</v>
      </c>
      <c r="E96">
        <f ca="1">IF($C96=1,OFFSET(E96,-1,0)+MAX(1,COUNTIF(QCI!$A$13:$A$24,OFFSET(ORÇAMENTO!E96,-1,0))),OFFSET(E96,-1,0))</f>
        <v>3</v>
      </c>
      <c r="F96">
        <f t="shared" ca="1" si="5"/>
        <v>1</v>
      </c>
      <c r="G96">
        <f t="shared" ca="1" si="6"/>
        <v>0</v>
      </c>
      <c r="H96">
        <f t="shared" ca="1" si="7"/>
        <v>0</v>
      </c>
      <c r="I96">
        <f t="shared" ca="1" si="8"/>
        <v>2</v>
      </c>
      <c r="J96">
        <f t="shared" ca="1" si="25"/>
        <v>0</v>
      </c>
      <c r="K96">
        <f ca="1">IF(OR($C96="S",$C96=0),0,MATCH(OFFSET($D96,0,$C96)+IF($C96&lt;&gt;1,1,COUNTIF(QCI!$A$13:$A$24,ORÇAMENTO!E96)),OFFSET($D96,1,$C96,ROW($C$165)-ROW($C96)),0))</f>
        <v>0</v>
      </c>
      <c r="L96" s="114" t="str">
        <f t="shared" ca="1" si="10"/>
        <v>F</v>
      </c>
      <c r="M96" s="115" t="s">
        <v>705</v>
      </c>
      <c r="N96" s="116" t="str">
        <f t="shared" ca="1" si="11"/>
        <v>Serviço</v>
      </c>
      <c r="O96" s="117" t="str">
        <f t="shared" ca="1" si="12"/>
        <v>3.1.2.</v>
      </c>
      <c r="P96" s="118" t="s">
        <v>956</v>
      </c>
      <c r="Q96" s="119" t="s">
        <v>1010</v>
      </c>
      <c r="R96" s="120" t="str">
        <f ca="1">IF($C96="S",REFERENCIA.Descricao,"(digite a descrição aqui)")</f>
        <v>Tubo de concreto PA1 comercial para drenagem - D = 0,60 m - fornecimento e instalação</v>
      </c>
      <c r="S96" s="121" t="str">
        <f ca="1">REFERENCIA.Unidade</f>
        <v>m</v>
      </c>
      <c r="T96" s="122">
        <f ca="1">OFFSET(CÁLCULO!H$15,ROW($T96)-ROW(T$15),0)</f>
        <v>143</v>
      </c>
      <c r="U96" s="123">
        <f t="shared" ca="1" si="26"/>
        <v>309.56</v>
      </c>
      <c r="V96" s="124" t="s">
        <v>663</v>
      </c>
      <c r="W96" s="122">
        <f ca="1">IF($C96="S",ROUND(IF(TIPOORCAMENTO="Proposto",ORÇAMENTO.CustoUnitario*(1+$AH96),ORÇAMENTO.PrecoUnitarioLicitado),15-13*$AF$10),0)</f>
        <v>380.23</v>
      </c>
      <c r="X96" s="125" cm="1">
        <f t="array" aca="1" ref="X96" ca="1">IF($C96="S",IF(OR(Import.TipoArredondamento&lt;&gt;"TransfereGOV",ACOMPANHAMENTO="BM"),VTOTAL1,SUM(OFFSET(CÁLCULO!$AI$15,ROW($X96)-ROW($X$15),1):OFFSET(CÁLCULO!$BB$15,ROW($X96)-ROW($X$15),-1))),IF($C96=0,0,ROUND(SomaAgrup,15-13*$AF$11)))</f>
        <v>54372.89</v>
      </c>
      <c r="Y96" s="126" t="s">
        <v>751</v>
      </c>
      <c r="Z96" t="str">
        <f t="shared" ca="1" si="13"/>
        <v>RA</v>
      </c>
      <c r="AA96" s="127">
        <f ca="1">IF($C96="S",IF($Z96="CP",$X96,IF($Z96="RA",(($X96)*QCI!$AA$3),0)),SomaAgrup)</f>
        <v>15018.545458816472</v>
      </c>
      <c r="AB96" s="128">
        <f t="shared" ca="1" si="14"/>
        <v>0</v>
      </c>
      <c r="AC96" s="565" t="e"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IF(AND(_xlfn.SINGLE(TIPOORCAMENTO)="Licitado",$AL96=0,$AN96&gt;0),"SEM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#NAME?</v>
      </c>
      <c r="AD96" t="str">
        <f ca="1">IF(C96&lt;=CRONO.NivelExibicao,MAX($AD$15:OFFSET(AD96,-1,0))+IF($C96&lt;&gt;1,1,MAX(1,COUNTIF(QCI!$A$13:$A$24,OFFSET($E96,-1,0)))),"")</f>
        <v/>
      </c>
      <c r="AE96" s="7" t="str">
        <f ca="1">IF(AND($C96="S",ORÇAMENTO.CodBarra&lt;&gt;""),IF(ORÇAMENTO.Fonte="",ORÇAMENTO.CodBarra,CONCATENATE(ORÇAMENTO.Fonte," ",ORÇAMENTO.CodBarra)))</f>
        <v>SICRO 2003822</v>
      </c>
      <c r="AF96" s="12">
        <f ca="1">IF(ISERROR(INDIRECT(ORÇAMENTO.BancoRef)),"(abra o arquivo 'Referência "&amp;Excel_BuiltIn_Database&amp;".xlsm)",IF(OR($C96&lt;&gt;"S",ORÇAMENTO.CodBarra=""),"(Sem Código)",IF(ISERROR(MATCH($AE96,INDIRECT(ORÇAMENTO.BancoRef),0)),"(Código não identificado nas referências)",MATCH($AE96,INDIRECT(ORÇAMENTO.BancoRef),0))))</f>
        <v>19293</v>
      </c>
      <c r="AG96" s="428">
        <f ca="1">ROUND(IF(DESONERACAO="sim",REFERENCIA.Desonerado,REFERENCIA.NaoDesonerado),2)</f>
        <v>309.56</v>
      </c>
      <c r="AH96" s="429">
        <f t="shared" ca="1" si="15"/>
        <v>0.2283</v>
      </c>
      <c r="AJ96" s="431"/>
      <c r="AL96" s="439"/>
      <c r="AM96" s="336">
        <f t="shared" ca="1" si="19"/>
        <v>54372.89</v>
      </c>
      <c r="AN96" s="470">
        <f t="shared" ca="1" si="16"/>
        <v>380.23</v>
      </c>
    </row>
    <row r="97" spans="1:40" ht="13.8" x14ac:dyDescent="0.3">
      <c r="A97" t="str">
        <f t="shared" si="1"/>
        <v>S</v>
      </c>
      <c r="B97">
        <f t="shared" ca="1" si="2"/>
        <v>2</v>
      </c>
      <c r="C97" t="str">
        <f t="shared" ca="1" si="3"/>
        <v>S</v>
      </c>
      <c r="D97">
        <f t="shared" ca="1" si="4"/>
        <v>0</v>
      </c>
      <c r="E97">
        <f ca="1">IF($C97=1,OFFSET(E97,-1,0)+MAX(1,COUNTIF(QCI!$A$13:$A$24,OFFSET(ORÇAMENTO!E97,-1,0))),OFFSET(E97,-1,0))</f>
        <v>3</v>
      </c>
      <c r="F97">
        <f t="shared" ca="1" si="5"/>
        <v>1</v>
      </c>
      <c r="G97">
        <f t="shared" ca="1" si="6"/>
        <v>0</v>
      </c>
      <c r="H97">
        <f t="shared" ca="1" si="7"/>
        <v>0</v>
      </c>
      <c r="I97">
        <f t="shared" ca="1" si="8"/>
        <v>3</v>
      </c>
      <c r="J97">
        <f t="shared" ca="1" si="25"/>
        <v>0</v>
      </c>
      <c r="K97">
        <f ca="1">IF(OR($C97="S",$C97=0),0,MATCH(OFFSET($D97,0,$C97)+IF($C97&lt;&gt;1,1,COUNTIF(QCI!$A$13:$A$24,ORÇAMENTO!E97)),OFFSET($D97,1,$C97,ROW($C$165)-ROW($C97)),0))</f>
        <v>0</v>
      </c>
      <c r="L97" s="114" t="str">
        <f t="shared" ca="1" si="10"/>
        <v>F</v>
      </c>
      <c r="M97" s="115" t="s">
        <v>705</v>
      </c>
      <c r="N97" s="116" t="str">
        <f t="shared" ca="1" si="11"/>
        <v>Serviço</v>
      </c>
      <c r="O97" s="117" t="str">
        <f t="shared" ca="1" si="12"/>
        <v>3.1.3.</v>
      </c>
      <c r="P97" s="118" t="s">
        <v>956</v>
      </c>
      <c r="Q97" s="119" t="s">
        <v>1060</v>
      </c>
      <c r="R97" s="120" t="str">
        <f ca="1">IF($C97="S",REFERENCIA.Descricao,"(digite a descrição aqui)")</f>
        <v>Reaterro e compactação com soquete vibratório</v>
      </c>
      <c r="S97" s="121" t="str">
        <f ca="1">REFERENCIA.Unidade</f>
        <v>m³</v>
      </c>
      <c r="T97" s="122">
        <f ca="1">OFFSET(CÁLCULO!H$15,ROW($T97)-ROW(T$15),0)</f>
        <v>71.5</v>
      </c>
      <c r="U97" s="123">
        <f t="shared" ca="1" si="26"/>
        <v>20.09</v>
      </c>
      <c r="V97" s="124" t="s">
        <v>663</v>
      </c>
      <c r="W97" s="122">
        <f ca="1">IF($C97="S",ROUND(IF(TIPOORCAMENTO="Proposto",ORÇAMENTO.CustoUnitario*(1+$AH97),ORÇAMENTO.PrecoUnitarioLicitado),15-13*$AF$10),0)</f>
        <v>24.68</v>
      </c>
      <c r="X97" s="125" cm="1">
        <f t="array" aca="1" ref="X97" ca="1">IF($C97="S",IF(OR(Import.TipoArredondamento&lt;&gt;"TransfereGOV",ACOMPANHAMENTO="BM"),VTOTAL1,SUM(OFFSET(CÁLCULO!$AI$15,ROW($X97)-ROW($X$15),1):OFFSET(CÁLCULO!$BB$15,ROW($X97)-ROW($X$15),-1))),IF($C97=0,0,ROUND(SomaAgrup,15-13*$AF$11)))</f>
        <v>1764.62</v>
      </c>
      <c r="Y97" s="126" t="s">
        <v>751</v>
      </c>
      <c r="Z97" t="str">
        <f t="shared" ca="1" si="13"/>
        <v>RA</v>
      </c>
      <c r="AA97" s="127">
        <f ca="1">IF($C97="S",IF($Z97="CP",$X97,IF($Z97="RA",(($X97)*QCI!$AA$3),0)),SomaAgrup)</f>
        <v>487.41248970832191</v>
      </c>
      <c r="AB97" s="128">
        <f t="shared" ca="1" si="14"/>
        <v>0</v>
      </c>
      <c r="AC97" s="565" t="e"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IF(AND(_xlfn.SINGLE(TIPOORCAMENTO)="Licitado",$AL97=0,$AN97&gt;0),"SEM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#NAME?</v>
      </c>
      <c r="AD97" t="str">
        <f ca="1">IF(C97&lt;=CRONO.NivelExibicao,MAX($AD$15:OFFSET(AD97,-1,0))+IF($C97&lt;&gt;1,1,MAX(1,COUNTIF(QCI!$A$13:$A$24,OFFSET($E97,-1,0)))),"")</f>
        <v/>
      </c>
      <c r="AE97" s="7" t="str">
        <f ca="1">IF(AND($C97="S",ORÇAMENTO.CodBarra&lt;&gt;""),IF(ORÇAMENTO.Fonte="",ORÇAMENTO.CodBarra,CONCATENATE(ORÇAMENTO.Fonte," ",ORÇAMENTO.CodBarra)))</f>
        <v>SICRO 4815671</v>
      </c>
      <c r="AF97" s="12">
        <f ca="1">IF(ISERROR(INDIRECT(ORÇAMENTO.BancoRef)),"(abra o arquivo 'Referência "&amp;Excel_BuiltIn_Database&amp;".xlsm)",IF(OR($C97&lt;&gt;"S",ORÇAMENTO.CodBarra=""),"(Sem Código)",IF(ISERROR(MATCH($AE97,INDIRECT(ORÇAMENTO.BancoRef),0)),"(Código não identificado nas referências)",MATCH($AE97,INDIRECT(ORÇAMENTO.BancoRef),0))))</f>
        <v>20813</v>
      </c>
      <c r="AG97" s="428">
        <f ca="1">ROUND(IF(DESONERACAO="sim",REFERENCIA.Desonerado,REFERENCIA.NaoDesonerado),2)</f>
        <v>20.09</v>
      </c>
      <c r="AH97" s="429">
        <f t="shared" ca="1" si="15"/>
        <v>0.2283</v>
      </c>
      <c r="AJ97" s="431"/>
      <c r="AL97" s="439"/>
      <c r="AM97" s="336">
        <f t="shared" ca="1" si="19"/>
        <v>1764.62</v>
      </c>
      <c r="AN97" s="470">
        <f t="shared" ca="1" si="16"/>
        <v>24.68</v>
      </c>
    </row>
    <row r="98" spans="1:40" ht="26.4" x14ac:dyDescent="0.3">
      <c r="A98" t="str">
        <f t="shared" si="1"/>
        <v>S</v>
      </c>
      <c r="B98">
        <f t="shared" ca="1" si="2"/>
        <v>2</v>
      </c>
      <c r="C98" t="str">
        <f t="shared" ca="1" si="3"/>
        <v>S</v>
      </c>
      <c r="D98">
        <f t="shared" ca="1" si="4"/>
        <v>0</v>
      </c>
      <c r="E98">
        <f ca="1">IF($C98=1,OFFSET(E98,-1,0)+MAX(1,COUNTIF(QCI!$A$13:$A$24,OFFSET(ORÇAMENTO!E98,-1,0))),OFFSET(E98,-1,0))</f>
        <v>3</v>
      </c>
      <c r="F98">
        <f t="shared" ca="1" si="5"/>
        <v>1</v>
      </c>
      <c r="G98">
        <f t="shared" ca="1" si="6"/>
        <v>0</v>
      </c>
      <c r="H98">
        <f t="shared" ca="1" si="7"/>
        <v>0</v>
      </c>
      <c r="I98">
        <f t="shared" ca="1" si="8"/>
        <v>4</v>
      </c>
      <c r="J98">
        <f t="shared" ca="1" si="25"/>
        <v>0</v>
      </c>
      <c r="K98">
        <f ca="1">IF(OR($C98="S",$C98=0),0,MATCH(OFFSET($D98,0,$C98)+IF($C98&lt;&gt;1,1,COUNTIF(QCI!$A$13:$A$24,ORÇAMENTO!E98)),OFFSET($D98,1,$C98,ROW($C$165)-ROW($C98)),0))</f>
        <v>0</v>
      </c>
      <c r="L98" s="114" t="str">
        <f t="shared" ca="1" si="10"/>
        <v>F</v>
      </c>
      <c r="M98" s="115" t="s">
        <v>705</v>
      </c>
      <c r="N98" s="116" t="str">
        <f t="shared" ca="1" si="11"/>
        <v>Serviço</v>
      </c>
      <c r="O98" s="117" t="str">
        <f t="shared" ca="1" si="12"/>
        <v>3.1.4.</v>
      </c>
      <c r="P98" s="118" t="s">
        <v>956</v>
      </c>
      <c r="Q98" s="119" t="s">
        <v>1040</v>
      </c>
      <c r="R98" s="120" t="str">
        <f ca="1">IF($C98="S",REFERENCIA.Descricao,"(digite a descrição aqui)")</f>
        <v>Boca de lobo combinada - chapéu e grelha simples - BLC 01 - areia e brita comerciais</v>
      </c>
      <c r="S98" s="121" t="str">
        <f ca="1">REFERENCIA.Unidade</f>
        <v>un</v>
      </c>
      <c r="T98" s="122">
        <f ca="1">OFFSET(CÁLCULO!H$15,ROW($T98)-ROW(T$15),0)</f>
        <v>4</v>
      </c>
      <c r="U98" s="123">
        <f t="shared" ca="1" si="26"/>
        <v>2427.9899999999998</v>
      </c>
      <c r="V98" s="124" t="s">
        <v>663</v>
      </c>
      <c r="W98" s="122">
        <f ca="1">IF($C98="S",ROUND(IF(TIPOORCAMENTO="Proposto",ORÇAMENTO.CustoUnitario*(1+$AH98),ORÇAMENTO.PrecoUnitarioLicitado),15-13*$AF$10),0)</f>
        <v>2982.3</v>
      </c>
      <c r="X98" s="125" cm="1">
        <f t="array" aca="1" ref="X98" ca="1">IF($C98="S",IF(OR(Import.TipoArredondamento&lt;&gt;"TransfereGOV",ACOMPANHAMENTO="BM"),VTOTAL1,SUM(OFFSET(CÁLCULO!$AI$15,ROW($X98)-ROW($X$15),1):OFFSET(CÁLCULO!$BB$15,ROW($X98)-ROW($X$15),-1))),IF($C98=0,0,ROUND(SomaAgrup,15-13*$AF$11)))</f>
        <v>11929.2</v>
      </c>
      <c r="Y98" s="126" t="s">
        <v>751</v>
      </c>
      <c r="Z98" t="str">
        <f t="shared" ca="1" si="13"/>
        <v>RA</v>
      </c>
      <c r="AA98" s="127">
        <f ca="1">IF($C98="S",IF($Z98="CP",$X98,IF($Z98="RA",(($X98)*QCI!$AA$3),0)),SomaAgrup)</f>
        <v>3295.0102980973325</v>
      </c>
      <c r="AB98" s="128">
        <f t="shared" ca="1" si="14"/>
        <v>0</v>
      </c>
      <c r="AC98" s="565" t="e"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IF(AND(_xlfn.SINGLE(TIPOORCAMENTO)="Licitado",$AL98=0,$AN98&gt;0),"SEM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#NAME?</v>
      </c>
      <c r="AD98" t="str">
        <f ca="1">IF(C98&lt;=CRONO.NivelExibicao,MAX($AD$15:OFFSET(AD98,-1,0))+IF($C98&lt;&gt;1,1,MAX(1,COUNTIF(QCI!$A$13:$A$24,OFFSET($E98,-1,0)))),"")</f>
        <v/>
      </c>
      <c r="AE98" s="7" t="str">
        <f ca="1">IF(AND($C98="S",ORÇAMENTO.CodBarra&lt;&gt;""),IF(ORÇAMENTO.Fonte="",ORÇAMENTO.CodBarra,CONCATENATE(ORÇAMENTO.Fonte," ",ORÇAMENTO.CodBarra)))</f>
        <v>SICRO 2003622</v>
      </c>
      <c r="AF98" s="12">
        <f ca="1">IF(ISERROR(INDIRECT(ORÇAMENTO.BancoRef)),"(abra o arquivo 'Referência "&amp;Excel_BuiltIn_Database&amp;".xlsm)",IF(OR($C98&lt;&gt;"S",ORÇAMENTO.CodBarra=""),"(Sem Código)",IF(ISERROR(MATCH($AE98,INDIRECT(ORÇAMENTO.BancoRef),0)),"(Código não identificado nas referências)",MATCH($AE98,INDIRECT(ORÇAMENTO.BancoRef),0))))</f>
        <v>18593</v>
      </c>
      <c r="AG98" s="428">
        <f ca="1">ROUND(IF(DESONERACAO="sim",REFERENCIA.Desonerado,REFERENCIA.NaoDesonerado),2)</f>
        <v>2427.9899999999998</v>
      </c>
      <c r="AH98" s="429">
        <f t="shared" ca="1" si="15"/>
        <v>0.2283</v>
      </c>
      <c r="AJ98" s="431"/>
      <c r="AL98" s="439"/>
      <c r="AM98" s="336">
        <f t="shared" ca="1" si="19"/>
        <v>11929.2</v>
      </c>
      <c r="AN98" s="470">
        <f t="shared" ca="1" si="16"/>
        <v>2982.3</v>
      </c>
    </row>
    <row r="99" spans="1:40" ht="26.4" x14ac:dyDescent="0.3">
      <c r="A99" t="str">
        <f t="shared" si="1"/>
        <v>S</v>
      </c>
      <c r="B99">
        <f t="shared" ca="1" si="2"/>
        <v>2</v>
      </c>
      <c r="C99" t="str">
        <f t="shared" ca="1" si="3"/>
        <v>S</v>
      </c>
      <c r="D99">
        <f t="shared" ca="1" si="4"/>
        <v>0</v>
      </c>
      <c r="E99">
        <f ca="1">IF($C99=1,OFFSET(E99,-1,0)+MAX(1,COUNTIF(QCI!$A$13:$A$24,OFFSET(ORÇAMENTO!E99,-1,0))),OFFSET(E99,-1,0))</f>
        <v>3</v>
      </c>
      <c r="F99">
        <f t="shared" ca="1" si="5"/>
        <v>1</v>
      </c>
      <c r="G99">
        <f t="shared" ca="1" si="6"/>
        <v>0</v>
      </c>
      <c r="H99">
        <f t="shared" ca="1" si="7"/>
        <v>0</v>
      </c>
      <c r="I99">
        <f t="shared" ca="1" si="8"/>
        <v>5</v>
      </c>
      <c r="J99">
        <f t="shared" ca="1" si="25"/>
        <v>0</v>
      </c>
      <c r="K99">
        <f ca="1">IF(OR($C99="S",$C99=0),0,MATCH(OFFSET($D99,0,$C99)+IF($C99&lt;&gt;1,1,COUNTIF(QCI!$A$13:$A$24,ORÇAMENTO!E99)),OFFSET($D99,1,$C99,ROW($C$165)-ROW($C99)),0))</f>
        <v>0</v>
      </c>
      <c r="L99" s="114" t="str">
        <f t="shared" ca="1" si="10"/>
        <v>F</v>
      </c>
      <c r="M99" s="115" t="s">
        <v>705</v>
      </c>
      <c r="N99" s="116" t="str">
        <f t="shared" ca="1" si="11"/>
        <v>Serviço</v>
      </c>
      <c r="O99" s="117" t="str">
        <f t="shared" ca="1" si="12"/>
        <v>3.1.5.</v>
      </c>
      <c r="P99" s="118" t="s">
        <v>956</v>
      </c>
      <c r="Q99" s="119" t="s">
        <v>1061</v>
      </c>
      <c r="R99" s="120" t="str">
        <f ca="1">IF($C99="S",REFERENCIA.Descricao,"(digite a descrição aqui)")</f>
        <v>Meio-fio de concreto - MFC 05 moldado no local com extrusora e concreto usinado - areia e brita comerciais</v>
      </c>
      <c r="S99" s="121" t="str">
        <f ca="1">REFERENCIA.Unidade</f>
        <v>m</v>
      </c>
      <c r="T99" s="122">
        <f ca="1">OFFSET(CÁLCULO!H$15,ROW($T99)-ROW(T$15),0)</f>
        <v>410</v>
      </c>
      <c r="U99" s="123">
        <f t="shared" ca="1" si="26"/>
        <v>23.88</v>
      </c>
      <c r="V99" s="124" t="s">
        <v>663</v>
      </c>
      <c r="W99" s="122">
        <f ca="1">IF($C99="S",ROUND(IF(TIPOORCAMENTO="Proposto",ORÇAMENTO.CustoUnitario*(1+$AH99),ORÇAMENTO.PrecoUnitarioLicitado),15-13*$AF$10),0)</f>
        <v>29.33</v>
      </c>
      <c r="X99" s="125" cm="1">
        <f t="array" aca="1" ref="X99" ca="1">IF($C99="S",IF(OR(Import.TipoArredondamento&lt;&gt;"TransfereGOV",ACOMPANHAMENTO="BM"),VTOTAL1,SUM(OFFSET(CÁLCULO!$AI$15,ROW($X99)-ROW($X$15),1):OFFSET(CÁLCULO!$BB$15,ROW($X99)-ROW($X$15),-1))),IF($C99=0,0,ROUND(SomaAgrup,15-13*$AF$11)))</f>
        <v>12025.3</v>
      </c>
      <c r="Y99" s="126" t="s">
        <v>751</v>
      </c>
      <c r="Z99" t="str">
        <f t="shared" ca="1" si="13"/>
        <v>RA</v>
      </c>
      <c r="AA99" s="127">
        <f ca="1">IF($C99="S",IF($Z99="CP",$X99,IF($Z99="RA",(($X99)*QCI!$AA$3),0)),SomaAgrup)</f>
        <v>3321.5544493939115</v>
      </c>
      <c r="AB99" s="128">
        <f t="shared" ca="1" si="14"/>
        <v>0</v>
      </c>
      <c r="AC99" s="565" t="e"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IF(AND(_xlfn.SINGLE(TIPOORCAMENTO)="Licitado",$AL99=0,$AN99&gt;0),"SEM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#NAME?</v>
      </c>
      <c r="AD99" t="str">
        <f ca="1">IF(C99&lt;=CRONO.NivelExibicao,MAX($AD$15:OFFSET(AD99,-1,0))+IF($C99&lt;&gt;1,1,MAX(1,COUNTIF(QCI!$A$13:$A$24,OFFSET($E99,-1,0)))),"")</f>
        <v/>
      </c>
      <c r="AE99" s="7" t="str">
        <f ca="1">IF(AND($C99="S",ORÇAMENTO.CodBarra&lt;&gt;""),IF(ORÇAMENTO.Fonte="",ORÇAMENTO.CodBarra,CONCATENATE(ORÇAMENTO.Fonte," ",ORÇAMENTO.CodBarra)))</f>
        <v>SICRO 2003947</v>
      </c>
      <c r="AF99" s="12">
        <f ca="1">IF(ISERROR(INDIRECT(ORÇAMENTO.BancoRef)),"(abra o arquivo 'Referência "&amp;Excel_BuiltIn_Database&amp;".xlsm)",IF(OR($C99&lt;&gt;"S",ORÇAMENTO.CodBarra=""),"(Sem Código)",IF(ISERROR(MATCH($AE99,INDIRECT(ORÇAMENTO.BancoRef),0)),"(Código não identificado nas referências)",MATCH($AE99,INDIRECT(ORÇAMENTO.BancoRef),0))))</f>
        <v>19142</v>
      </c>
      <c r="AG99" s="428">
        <f ca="1">ROUND(IF(DESONERACAO="sim",REFERENCIA.Desonerado,REFERENCIA.NaoDesonerado),2)</f>
        <v>23.88</v>
      </c>
      <c r="AH99" s="429">
        <f t="shared" ca="1" si="15"/>
        <v>0.2283</v>
      </c>
      <c r="AJ99" s="431"/>
      <c r="AL99" s="439"/>
      <c r="AM99" s="336">
        <f t="shared" ca="1" si="19"/>
        <v>12025.3</v>
      </c>
      <c r="AN99" s="470">
        <f t="shared" ca="1" si="16"/>
        <v>29.33</v>
      </c>
    </row>
    <row r="100" spans="1:40" ht="13.8" x14ac:dyDescent="0.3">
      <c r="A100" t="str">
        <f t="shared" si="1"/>
        <v>S</v>
      </c>
      <c r="B100">
        <f t="shared" ca="1" si="2"/>
        <v>2</v>
      </c>
      <c r="C100" t="str">
        <f t="shared" ca="1" si="3"/>
        <v>S</v>
      </c>
      <c r="D100">
        <f t="shared" ca="1" si="4"/>
        <v>0</v>
      </c>
      <c r="E100">
        <f ca="1">IF($C100=1,OFFSET(E100,-1,0)+MAX(1,COUNTIF(QCI!$A$13:$A$24,OFFSET(ORÇAMENTO!E100,-1,0))),OFFSET(E100,-1,0))</f>
        <v>3</v>
      </c>
      <c r="F100">
        <f t="shared" ca="1" si="5"/>
        <v>1</v>
      </c>
      <c r="G100">
        <f t="shared" ca="1" si="6"/>
        <v>0</v>
      </c>
      <c r="H100">
        <f t="shared" ca="1" si="7"/>
        <v>0</v>
      </c>
      <c r="I100">
        <f t="shared" ca="1" si="8"/>
        <v>6</v>
      </c>
      <c r="J100">
        <f t="shared" ca="1" si="25"/>
        <v>0</v>
      </c>
      <c r="K100">
        <f ca="1">IF(OR($C100="S",$C100=0),0,MATCH(OFFSET($D100,0,$C100)+IF($C100&lt;&gt;1,1,COUNTIF(QCI!$A$13:$A$24,ORÇAMENTO!E100)),OFFSET($D100,1,$C100,ROW($C$165)-ROW($C100)),0))</f>
        <v>0</v>
      </c>
      <c r="L100" s="114" t="str">
        <f t="shared" ca="1" si="10"/>
        <v>F</v>
      </c>
      <c r="M100" s="115" t="s">
        <v>705</v>
      </c>
      <c r="N100" s="116" t="str">
        <f t="shared" ca="1" si="11"/>
        <v>Serviço</v>
      </c>
      <c r="O100" s="117" t="str">
        <f t="shared" ca="1" si="12"/>
        <v>3.1.6.</v>
      </c>
      <c r="P100" s="118" t="s">
        <v>956</v>
      </c>
      <c r="Q100" s="119" t="s">
        <v>1062</v>
      </c>
      <c r="R100" s="120" t="str">
        <f ca="1">IF($C100="S",REFERENCIA.Descricao,"(digite a descrição aqui)")</f>
        <v>Caiação manual com fixador de cal</v>
      </c>
      <c r="S100" s="121" t="str">
        <f ca="1">REFERENCIA.Unidade</f>
        <v>m²</v>
      </c>
      <c r="T100" s="122">
        <f ca="1">OFFSET(CÁLCULO!H$15,ROW($T100)-ROW(T$15),0)</f>
        <v>172.2</v>
      </c>
      <c r="U100" s="123">
        <f t="shared" ca="1" si="26"/>
        <v>3.63</v>
      </c>
      <c r="V100" s="124" t="s">
        <v>663</v>
      </c>
      <c r="W100" s="122">
        <f ca="1">IF($C100="S",ROUND(IF(TIPOORCAMENTO="Proposto",ORÇAMENTO.CustoUnitario*(1+$AH100),ORÇAMENTO.PrecoUnitarioLicitado),15-13*$AF$10),0)</f>
        <v>4.46</v>
      </c>
      <c r="X100" s="125" cm="1">
        <f t="array" aca="1" ref="X100" ca="1">IF($C100="S",IF(OR(Import.TipoArredondamento&lt;&gt;"TransfereGOV",ACOMPANHAMENTO="BM"),VTOTAL1,SUM(OFFSET(CÁLCULO!$AI$15,ROW($X100)-ROW($X$15),1):OFFSET(CÁLCULO!$BB$15,ROW($X100)-ROW($X$15),-1))),IF($C100=0,0,ROUND(SomaAgrup,15-13*$AF$11)))</f>
        <v>768.01</v>
      </c>
      <c r="Y100" s="126" t="s">
        <v>751</v>
      </c>
      <c r="Z100" t="str">
        <f t="shared" ca="1" si="13"/>
        <v>RA</v>
      </c>
      <c r="AA100" s="127">
        <f ca="1">IF($C100="S",IF($Z100="CP",$X100,IF($Z100="RA",(($X100)*QCI!$AA$3),0)),SomaAgrup)</f>
        <v>212.13500142857293</v>
      </c>
      <c r="AB100" s="128">
        <f t="shared" ca="1" si="14"/>
        <v>0</v>
      </c>
      <c r="AC100" s="565" t="e"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IF(AND(_xlfn.SINGLE(TIPOORCAMENTO)="Licitado",$AL100=0,$AN100&gt;0),"SEM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#NAME?</v>
      </c>
      <c r="AD100" t="str">
        <f ca="1">IF(C100&lt;=CRONO.NivelExibicao,MAX($AD$15:OFFSET(AD100,-1,0))+IF($C100&lt;&gt;1,1,MAX(1,COUNTIF(QCI!$A$13:$A$24,OFFSET($E100,-1,0)))),"")</f>
        <v/>
      </c>
      <c r="AE100" s="7" t="str">
        <f ca="1">IF(AND($C100="S",ORÇAMENTO.CodBarra&lt;&gt;""),IF(ORÇAMENTO.Fonte="",ORÇAMENTO.CodBarra,CONCATENATE(ORÇAMENTO.Fonte," ",ORÇAMENTO.CodBarra)))</f>
        <v>SICRO 4915723</v>
      </c>
      <c r="AF100" s="12">
        <f ca="1">IF(ISERROR(INDIRECT(ORÇAMENTO.BancoRef)),"(abra o arquivo 'Referência "&amp;Excel_BuiltIn_Database&amp;".xlsm)",IF(OR($C100&lt;&gt;"S",ORÇAMENTO.CodBarra=""),"(Sem Código)",IF(ISERROR(MATCH($AE100,INDIRECT(ORÇAMENTO.BancoRef),0)),"(Código não identificado nas referências)",MATCH($AE100,INDIRECT(ORÇAMENTO.BancoRef),0))))</f>
        <v>20823</v>
      </c>
      <c r="AG100" s="428">
        <f ca="1">ROUND(IF(DESONERACAO="sim",REFERENCIA.Desonerado,REFERENCIA.NaoDesonerado),2)</f>
        <v>3.63</v>
      </c>
      <c r="AH100" s="429">
        <f t="shared" ca="1" si="15"/>
        <v>0.2283</v>
      </c>
      <c r="AJ100" s="431"/>
      <c r="AL100" s="439"/>
      <c r="AM100" s="336">
        <f t="shared" ca="1" si="19"/>
        <v>768.01</v>
      </c>
      <c r="AN100" s="470">
        <f t="shared" ca="1" si="16"/>
        <v>4.46</v>
      </c>
    </row>
    <row r="101" spans="1:40" ht="13.8" x14ac:dyDescent="0.3">
      <c r="A101">
        <f t="shared" si="1"/>
        <v>2</v>
      </c>
      <c r="B101">
        <f t="shared" ca="1" si="2"/>
        <v>2</v>
      </c>
      <c r="C101">
        <f t="shared" ca="1" si="3"/>
        <v>2</v>
      </c>
      <c r="D101">
        <f t="shared" ca="1" si="4"/>
        <v>15</v>
      </c>
      <c r="E101">
        <f ca="1">IF($C101=1,OFFSET(E101,-1,0)+MAX(1,COUNTIF(QCI!$A$13:$A$24,OFFSET(ORÇAMENTO!E101,-1,0))),OFFSET(E101,-1,0))</f>
        <v>3</v>
      </c>
      <c r="F101">
        <f t="shared" ca="1" si="5"/>
        <v>2</v>
      </c>
      <c r="G101">
        <f t="shared" ca="1" si="6"/>
        <v>0</v>
      </c>
      <c r="H101">
        <f t="shared" ca="1" si="7"/>
        <v>0</v>
      </c>
      <c r="I101">
        <f t="shared" ca="1" si="8"/>
        <v>0</v>
      </c>
      <c r="J101">
        <f t="shared" ca="1" si="25"/>
        <v>32</v>
      </c>
      <c r="K101">
        <f ca="1">IF(OR($C101="S",$C101=0),0,MATCH(OFFSET($D101,0,$C101)+IF($C101&lt;&gt;1,1,COUNTIF(QCI!$A$13:$A$24,ORÇAMENTO!E101)),OFFSET($D101,1,$C101,ROW($C$165)-ROW($C101)),0))</f>
        <v>15</v>
      </c>
      <c r="L101" s="114" t="str">
        <f t="shared" ca="1" si="10"/>
        <v>F</v>
      </c>
      <c r="M101" s="115" t="s">
        <v>702</v>
      </c>
      <c r="N101" s="116" t="str">
        <f t="shared" ca="1" si="11"/>
        <v>Nível 2</v>
      </c>
      <c r="O101" s="117" t="str">
        <f t="shared" ca="1" si="12"/>
        <v>3.2.</v>
      </c>
      <c r="P101" s="118" t="s">
        <v>750</v>
      </c>
      <c r="Q101" s="119"/>
      <c r="R101" s="120" t="s">
        <v>1012</v>
      </c>
      <c r="S101" s="121" t="str">
        <f ca="1">REFERENCIA.Unidade</f>
        <v>-</v>
      </c>
      <c r="T101" s="122">
        <f ca="1">OFFSET(CÁLCULO!H$15,ROW($T101)-ROW(T$15),0)</f>
        <v>0</v>
      </c>
      <c r="U101" s="123"/>
      <c r="V101" s="124" t="s">
        <v>663</v>
      </c>
      <c r="W101" s="122">
        <f ca="1">IF($C101="S",ROUND(IF(TIPOORCAMENTO="Proposto",ORÇAMENTO.CustoUnitario*(1+$AH101),ORÇAMENTO.PrecoUnitarioLicitado),15-13*$AF$10),0)</f>
        <v>0</v>
      </c>
      <c r="X101" s="125" cm="1">
        <f t="array" aca="1" ref="X101" ca="1">IF($C101="S",IF(OR(Import.TipoArredondamento&lt;&gt;"TransfereGOV",ACOMPANHAMENTO="BM"),VTOTAL1,SUM(OFFSET(CÁLCULO!$AI$15,ROW($X101)-ROW($X$15),1):OFFSET(CÁLCULO!$BB$15,ROW($X101)-ROW($X$15),-1))),IF($C101=0,0,ROUND(SomaAgrup,15-13*$AF$11)))</f>
        <v>250037.75</v>
      </c>
      <c r="Y101" s="126" t="s">
        <v>751</v>
      </c>
      <c r="Z101" t="str">
        <f t="shared" ca="1" si="13"/>
        <v/>
      </c>
      <c r="AA101" s="127">
        <f ca="1">IF($C101="S",IF($Z101="CP",$X101,IF($Z101="RA",(($X101)*QCI!$AA$3),0)),SomaAgrup)</f>
        <v>69063.89038351996</v>
      </c>
      <c r="AB101" s="128">
        <f t="shared" ca="1" si="14"/>
        <v>0</v>
      </c>
      <c r="AC101" s="565" t="e"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IF(AND(_xlfn.SINGLE(TIPOORCAMENTO)="Licitado",$AL101=0,$AN101&gt;0),"SEM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#NAME?</v>
      </c>
      <c r="AD101">
        <f ca="1">IF(C101&lt;=CRONO.NivelExibicao,MAX($AD$15:OFFSET(AD101,-1,0))+IF($C101&lt;&gt;1,1,MAX(1,COUNTIF(QCI!$A$13:$A$24,OFFSET($E101,-1,0)))),"")</f>
        <v>18</v>
      </c>
      <c r="AE101" s="7" t="b">
        <f ca="1">IF(AND($C101="S",ORÇAMENTO.CodBarra&lt;&gt;""),IF(ORÇAMENTO.Fonte="",ORÇAMENTO.CodBarra,CONCATENATE(ORÇAMENTO.Fonte," ",ORÇAMENTO.CodBarra)))</f>
        <v>0</v>
      </c>
      <c r="AF101" s="12" t="str">
        <f ca="1">IF(ISERROR(INDIRECT(ORÇAMENTO.BancoRef)),"(abra o arquivo 'Referência "&amp;Excel_BuiltIn_Database&amp;".xlsm)",IF(OR($C101&lt;&gt;"S",ORÇAMENTO.CodBarra=""),"(Sem Código)",IF(ISERROR(MATCH($AE101,INDIRECT(ORÇAMENTO.BancoRef),0)),"(Código não identificado nas referências)",MATCH($AE101,INDIRECT(ORÇAMENTO.BancoRef),0))))</f>
        <v>(Sem Código)</v>
      </c>
      <c r="AG101" s="428">
        <f ca="1">ROUND(IF(DESONERACAO="sim",REFERENCIA.Desonerado,REFERENCIA.NaoDesonerado),2)</f>
        <v>0</v>
      </c>
      <c r="AH101" s="429">
        <f t="shared" ca="1" si="15"/>
        <v>0.2283</v>
      </c>
      <c r="AJ101" s="431"/>
      <c r="AL101" s="439"/>
      <c r="AM101" s="336">
        <f t="shared" ca="1" si="19"/>
        <v>250037.75</v>
      </c>
      <c r="AN101" s="470">
        <f t="shared" ca="1" si="16"/>
        <v>0</v>
      </c>
    </row>
    <row r="102" spans="1:40" ht="26.4" x14ac:dyDescent="0.3">
      <c r="A102" t="str">
        <f t="shared" si="1"/>
        <v>S</v>
      </c>
      <c r="B102">
        <f t="shared" ca="1" si="2"/>
        <v>2</v>
      </c>
      <c r="C102" t="str">
        <f t="shared" ca="1" si="3"/>
        <v>S</v>
      </c>
      <c r="D102">
        <f t="shared" ca="1" si="4"/>
        <v>0</v>
      </c>
      <c r="E102">
        <f ca="1">IF($C102=1,OFFSET(E102,-1,0)+MAX(1,COUNTIF(QCI!$A$13:$A$24,OFFSET(ORÇAMENTO!E102,-1,0))),OFFSET(E102,-1,0))</f>
        <v>3</v>
      </c>
      <c r="F102">
        <f t="shared" ca="1" si="5"/>
        <v>2</v>
      </c>
      <c r="G102">
        <f t="shared" ca="1" si="6"/>
        <v>0</v>
      </c>
      <c r="H102">
        <f t="shared" ca="1" si="7"/>
        <v>0</v>
      </c>
      <c r="I102">
        <f t="shared" ca="1" si="8"/>
        <v>1</v>
      </c>
      <c r="J102">
        <f t="shared" ca="1" si="25"/>
        <v>0</v>
      </c>
      <c r="K102">
        <f ca="1">IF(OR($C102="S",$C102=0),0,MATCH(OFFSET($D102,0,$C102)+IF($C102&lt;&gt;1,1,COUNTIF(QCI!$A$13:$A$24,ORÇAMENTO!E102)),OFFSET($D102,1,$C102,ROW($C$165)-ROW($C102)),0))</f>
        <v>0</v>
      </c>
      <c r="L102" s="114" t="str">
        <f t="shared" ca="1" si="10"/>
        <v>F</v>
      </c>
      <c r="M102" s="115" t="s">
        <v>705</v>
      </c>
      <c r="N102" s="116" t="str">
        <f t="shared" ca="1" si="11"/>
        <v>Serviço</v>
      </c>
      <c r="O102" s="117" t="str">
        <f t="shared" ca="1" si="12"/>
        <v>3.2.1.</v>
      </c>
      <c r="P102" s="118" t="s">
        <v>956</v>
      </c>
      <c r="Q102" s="119" t="s">
        <v>1032</v>
      </c>
      <c r="R102" s="120" t="str">
        <f ca="1">IF($C102="S",REFERENCIA.Descricao,"(digite a descrição aqui)")</f>
        <v>Base ou sub-base de macadame seco com brita comercial - 100% Proctor modificado</v>
      </c>
      <c r="S102" s="121" t="str">
        <f ca="1">REFERENCIA.Unidade</f>
        <v>m³</v>
      </c>
      <c r="T102" s="122">
        <f ca="1">OFFSET(CÁLCULO!H$15,ROW($T102)-ROW(T$15),0)</f>
        <v>246</v>
      </c>
      <c r="U102" s="123">
        <f t="shared" ref="U102:U115" ca="1" si="27">AG102</f>
        <v>199.07</v>
      </c>
      <c r="V102" s="124" t="s">
        <v>663</v>
      </c>
      <c r="W102" s="122">
        <f ca="1">IF($C102="S",ROUND(IF(TIPOORCAMENTO="Proposto",ORÇAMENTO.CustoUnitario*(1+$AH102),ORÇAMENTO.PrecoUnitarioLicitado),15-13*$AF$10),0)</f>
        <v>244.52</v>
      </c>
      <c r="X102" s="125" cm="1">
        <f t="array" aca="1" ref="X102" ca="1">IF($C102="S",IF(OR(Import.TipoArredondamento&lt;&gt;"TransfereGOV",ACOMPANHAMENTO="BM"),VTOTAL1,SUM(OFFSET(CÁLCULO!$AI$15,ROW($X102)-ROW($X$15),1):OFFSET(CÁLCULO!$BB$15,ROW($X102)-ROW($X$15),-1))),IF($C102=0,0,ROUND(SomaAgrup,15-13*$AF$11)))</f>
        <v>60151.92</v>
      </c>
      <c r="Y102" s="126" t="s">
        <v>751</v>
      </c>
      <c r="Z102" t="str">
        <f t="shared" ca="1" si="13"/>
        <v>RA</v>
      </c>
      <c r="AA102" s="127">
        <f ca="1">IF($C102="S",IF($Z102="CP",$X102,IF($Z102="RA",(($X102)*QCI!$AA$3),0)),SomaAgrup)</f>
        <v>16614.793603118975</v>
      </c>
      <c r="AB102" s="128">
        <f t="shared" ca="1" si="14"/>
        <v>0</v>
      </c>
      <c r="AC102" s="565" t="e"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IF(AND(_xlfn.SINGLE(TIPOORCAMENTO)="Licitado",$AL102=0,$AN102&gt;0),"SEM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#NAME?</v>
      </c>
      <c r="AD102" t="str">
        <f ca="1">IF(C102&lt;=CRONO.NivelExibicao,MAX($AD$15:OFFSET(AD102,-1,0))+IF($C102&lt;&gt;1,1,MAX(1,COUNTIF(QCI!$A$13:$A$24,OFFSET($E102,-1,0)))),"")</f>
        <v/>
      </c>
      <c r="AE102" s="7" t="str">
        <f ca="1">IF(AND($C102="S",ORÇAMENTO.CodBarra&lt;&gt;""),IF(ORÇAMENTO.Fonte="",ORÇAMENTO.CodBarra,CONCATENATE(ORÇAMENTO.Fonte," ",ORÇAMENTO.CodBarra)))</f>
        <v>SICRO 4011279</v>
      </c>
      <c r="AF102" s="12">
        <f ca="1">IF(ISERROR(INDIRECT(ORÇAMENTO.BancoRef)),"(abra o arquivo 'Referência "&amp;Excel_BuiltIn_Database&amp;".xlsm)",IF(OR($C102&lt;&gt;"S",ORÇAMENTO.CodBarra=""),"(Sem Código)",IF(ISERROR(MATCH($AE102,INDIRECT(ORÇAMENTO.BancoRef),0)),"(Código não identificado nas referências)",MATCH($AE102,INDIRECT(ORÇAMENTO.BancoRef),0))))</f>
        <v>20341</v>
      </c>
      <c r="AG102" s="428">
        <f ca="1">ROUND(IF(DESONERACAO="sim",REFERENCIA.Desonerado,REFERENCIA.NaoDesonerado),2)</f>
        <v>199.07</v>
      </c>
      <c r="AH102" s="429">
        <f t="shared" ca="1" si="15"/>
        <v>0.2283</v>
      </c>
      <c r="AJ102" s="431"/>
      <c r="AL102" s="439"/>
      <c r="AM102" s="336">
        <f t="shared" ca="1" si="19"/>
        <v>60151.92</v>
      </c>
      <c r="AN102" s="470">
        <f t="shared" ca="1" si="16"/>
        <v>244.52</v>
      </c>
    </row>
    <row r="103" spans="1:40" ht="13.8" x14ac:dyDescent="0.3">
      <c r="A103" t="str">
        <f>CHOOSE(1+LOG(1+2*(ORÇAMENTO.Nivel="Meta")+4*(ORÇAMENTO.Nivel="Nível 2")+8*(ORÇAMENTO.Nivel="Nível 3")+16*(ORÇAMENTO.Nivel="Nível 4")+32*(ORÇAMENTO.Nivel="Serviço"),2),0,1,2,3,4,"S")</f>
        <v>S</v>
      </c>
      <c r="B103">
        <f ca="1">IF(OR(C103="s",C103=0),OFFSET(B103,-1,0),C103)</f>
        <v>2</v>
      </c>
      <c r="C103" t="str">
        <f ca="1">IF(OFFSET(C103,-1,0)="L",1,IF(OFFSET(C103,-1,0)=1,2,IF(OR(A103="s",A103=0),"S",IF(AND(OFFSET(C103,-1,0)=2,A103=4),3,IF(AND(OR(OFFSET(C103,-1,0)="s",OFFSET(C103,-1,0)=0),A103&lt;&gt;"s",A103&gt;OFFSET(B103,-1,0)),OFFSET(B103,-1,0),A103)))))</f>
        <v>S</v>
      </c>
      <c r="D103">
        <f ca="1">IF(OR(C103="S",C103=0),0,IF(ISERROR(K103),J103,SMALL(J103:K103,1)))</f>
        <v>0</v>
      </c>
      <c r="E103">
        <f ca="1">IF($C103=1,OFFSET(E103,-1,0)+MAX(1,COUNTIF(QCI!$A$13:$A$24,OFFSET(ORÇAMENTO!E103,-1,0))),OFFSET(E103,-1,0))</f>
        <v>3</v>
      </c>
      <c r="F103">
        <f ca="1">IF($C103=1,0,IF($C103=2,OFFSET(F103,-1,0)+1,OFFSET(F103,-1,0)))</f>
        <v>2</v>
      </c>
      <c r="G103">
        <f ca="1">IF(AND($C103&lt;=2,$C103&lt;&gt;0),0,IF($C103=3,OFFSET(G103,-1,0)+1,OFFSET(G103,-1,0)))</f>
        <v>0</v>
      </c>
      <c r="H103">
        <f ca="1">IF(AND($C103&lt;=3,$C103&lt;&gt;0),0,IF($C103=4,OFFSET(H103,-1,0)+1,OFFSET(H103,-1,0)))</f>
        <v>0</v>
      </c>
      <c r="I103">
        <f ca="1">IF(AND($C103&lt;=4,$C103&lt;&gt;0),0,IF(AND($C103="S",$X103&gt;0),OFFSET(I103,-1,0)+1,OFFSET(I103,-1,0)))</f>
        <v>2</v>
      </c>
      <c r="J103">
        <f t="shared" ca="1" si="25"/>
        <v>0</v>
      </c>
      <c r="K103">
        <f ca="1">IF(OR($C103="S",$C103=0),0,MATCH(OFFSET($D103,0,$C103)+IF($C103&lt;&gt;1,1,COUNTIF(QCI!$A$13:$A$24,ORÇAMENTO!E103)),OFFSET($D103,1,$C103,ROW($C$165)-ROW($C103)),0))</f>
        <v>0</v>
      </c>
      <c r="L103" s="114" t="str">
        <f ca="1">IF(OR($X103&gt;0,$C103=1,$C103=2,$C103=3,$C103=4),"F","")</f>
        <v>F</v>
      </c>
      <c r="M103" s="115" t="s">
        <v>705</v>
      </c>
      <c r="N103" s="116" t="str">
        <f ca="1">CHOOSE(1+LOG(1+2*(C103=1)+4*(C103=2)+8*(C103=3)+16*(C103=4)+32*(C103="S"),2),"","Meta","Nível 2","Nível 3","Nível 4","Serviço")</f>
        <v>Serviço</v>
      </c>
      <c r="O103" s="117" t="str">
        <f ca="1">IF(OR($C103=0,$L103=""),"-",CONCATENATE(E103&amp;".",IF(AND($A$5&gt;=2,$C103&gt;=2),F103&amp;".",""),IF(AND($A$5&gt;=3,$C103&gt;=3),G103&amp;".",""),IF(AND($A$5&gt;=4,$C103&gt;=4),H103&amp;".",""),IF($C103="S",I103&amp;".","")))</f>
        <v>3.2.2.</v>
      </c>
      <c r="P103" s="118" t="s">
        <v>956</v>
      </c>
      <c r="Q103" s="119" t="s">
        <v>1022</v>
      </c>
      <c r="R103" s="120" t="str">
        <f ca="1">IF($C103="S",REFERENCIA.Descricao,"(digite a descrição aqui)")</f>
        <v>Transporte com caminhão basculante de 10 m³ - rodovia pavimentada</v>
      </c>
      <c r="S103" s="121" t="str">
        <f ca="1">REFERENCIA.Unidade</f>
        <v>tkm</v>
      </c>
      <c r="T103" s="122">
        <f ca="1">OFFSET(CÁLCULO!H$15,ROW($T103)-ROW(T$15),0)</f>
        <v>7749</v>
      </c>
      <c r="U103" s="123">
        <f t="shared" ca="1" si="27"/>
        <v>0.82</v>
      </c>
      <c r="V103" s="124" t="s">
        <v>663</v>
      </c>
      <c r="W103" s="122">
        <f ca="1">IF($C103="S",ROUND(IF(TIPOORCAMENTO="Proposto",ORÇAMENTO.CustoUnitario*(1+$AH103),ORÇAMENTO.PrecoUnitarioLicitado),15-13*$AF$10),0)</f>
        <v>1.01</v>
      </c>
      <c r="X103" s="125" cm="1">
        <f t="array" aca="1" ref="X103" ca="1">IF($C103="S",IF(OR(Import.TipoArredondamento&lt;&gt;"TransfereGOV",ACOMPANHAMENTO="BM"),VTOTAL1,SUM(OFFSET(CÁLCULO!$AI$15,ROW($X103)-ROW($X$15),1):OFFSET(CÁLCULO!$BB$15,ROW($X103)-ROW($X$15),-1))),IF($C103=0,0,ROUND(SomaAgrup,15-13*$AF$11)))</f>
        <v>7826.49</v>
      </c>
      <c r="Y103" s="126" t="s">
        <v>751</v>
      </c>
      <c r="Z103" t="str">
        <f ca="1">IF(AND($C103="S",$X103&gt;0),IF(ISBLANK($Y103),"RA",LEFT($Y103,2)),"")</f>
        <v>RA</v>
      </c>
      <c r="AA103" s="127">
        <f ca="1">IF($C103="S",IF($Z103="CP",$X103,IF($Z103="RA",(($X103)*QCI!$AA$3),0)),SomaAgrup)</f>
        <v>2161.7849602618608</v>
      </c>
      <c r="AB103" s="128">
        <f ca="1">IF($C103="S",IF($Z103="OU",ROUND($X103,2),0),SomaAgrup)</f>
        <v>0</v>
      </c>
      <c r="AC103" s="565" t="e"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IF(AND(_xlfn.SINGLE(TIPOORCAMENTO)="Licitado",$AL103=0,$AN103&gt;0),"SEM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#NAME?</v>
      </c>
      <c r="AD103" t="str">
        <f ca="1">IF(C103&lt;=CRONO.NivelExibicao,MAX($AD$15:OFFSET(AD103,-1,0))+IF($C103&lt;&gt;1,1,MAX(1,COUNTIF(QCI!$A$13:$A$24,OFFSET($E103,-1,0)))),"")</f>
        <v/>
      </c>
      <c r="AE103" s="7" t="str">
        <f ca="1">IF(AND($C103="S",ORÇAMENTO.CodBarra&lt;&gt;""),IF(ORÇAMENTO.Fonte="",ORÇAMENTO.CodBarra,CONCATENATE(ORÇAMENTO.Fonte," ",ORÇAMENTO.CodBarra)))</f>
        <v>SICRO 5914389</v>
      </c>
      <c r="AF103" s="12">
        <f ca="1">IF(ISERROR(INDIRECT(ORÇAMENTO.BancoRef)),"(abra o arquivo 'Referência "&amp;Excel_BuiltIn_Database&amp;".xlsm)",IF(OR($C103&lt;&gt;"S",ORÇAMENTO.CodBarra=""),"(Sem Código)",IF(ISERROR(MATCH($AE103,INDIRECT(ORÇAMENTO.BancoRef),0)),"(Código não identificado nas referências)",MATCH($AE103,INDIRECT(ORÇAMENTO.BancoRef),0))))</f>
        <v>21868</v>
      </c>
      <c r="AG103" s="428">
        <f ca="1">ROUND(IF(DESONERACAO="sim",REFERENCIA.Desonerado,REFERENCIA.NaoDesonerado),2)</f>
        <v>0.82</v>
      </c>
      <c r="AH103" s="429">
        <f ca="1">ROUND(IF(ISNUMBER(ORÇAMENTO.OpcaoBDI),ORÇAMENTO.OpcaoBDI,IF(LEFT(ORÇAMENTO.OpcaoBDI,3)="BDI",HLOOKUP(ORÇAMENTO.OpcaoBDI,$F$4:$H$5,2,FALSE),0)),15-11*$AF$9)</f>
        <v>0.2283</v>
      </c>
      <c r="AJ103" s="431"/>
      <c r="AL103" s="439"/>
      <c r="AM103" s="336">
        <f t="shared" ca="1" si="19"/>
        <v>7826.49</v>
      </c>
      <c r="AN103" s="470">
        <f ca="1">ROUND(ORÇAMENTO.CustoUnitario*(1+$AH103),2)</f>
        <v>1.01</v>
      </c>
    </row>
    <row r="104" spans="1:40" ht="26.4" x14ac:dyDescent="0.3">
      <c r="A104" t="str">
        <f t="shared" si="1"/>
        <v>S</v>
      </c>
      <c r="B104">
        <f t="shared" ca="1" si="2"/>
        <v>2</v>
      </c>
      <c r="C104" t="str">
        <f t="shared" ca="1" si="3"/>
        <v>S</v>
      </c>
      <c r="D104">
        <f t="shared" ca="1" si="4"/>
        <v>0</v>
      </c>
      <c r="E104">
        <f ca="1">IF($C104=1,OFFSET(E104,-1,0)+MAX(1,COUNTIF(QCI!$A$13:$A$24,OFFSET(ORÇAMENTO!E104,-1,0))),OFFSET(E104,-1,0))</f>
        <v>3</v>
      </c>
      <c r="F104">
        <f t="shared" ca="1" si="5"/>
        <v>2</v>
      </c>
      <c r="G104">
        <f t="shared" ca="1" si="6"/>
        <v>0</v>
      </c>
      <c r="H104">
        <f t="shared" ca="1" si="7"/>
        <v>0</v>
      </c>
      <c r="I104">
        <f t="shared" ca="1" si="8"/>
        <v>3</v>
      </c>
      <c r="J104">
        <f t="shared" ca="1" si="25"/>
        <v>0</v>
      </c>
      <c r="K104">
        <f ca="1">IF(OR($C104="S",$C104=0),0,MATCH(OFFSET($D104,0,$C104)+IF($C104&lt;&gt;1,1,COUNTIF(QCI!$A$13:$A$24,ORÇAMENTO!E104)),OFFSET($D104,1,$C104,ROW($C$165)-ROW($C104)),0))</f>
        <v>0</v>
      </c>
      <c r="L104" s="114" t="str">
        <f t="shared" ca="1" si="10"/>
        <v>F</v>
      </c>
      <c r="M104" s="115" t="s">
        <v>705</v>
      </c>
      <c r="N104" s="116" t="str">
        <f t="shared" ca="1" si="11"/>
        <v>Serviço</v>
      </c>
      <c r="O104" s="117" t="str">
        <f t="shared" ca="1" si="12"/>
        <v>3.2.3.</v>
      </c>
      <c r="P104" s="118" t="s">
        <v>956</v>
      </c>
      <c r="Q104" s="119" t="s">
        <v>1033</v>
      </c>
      <c r="R104" s="120" t="str">
        <f ca="1">IF($C104="S",REFERENCIA.Descricao,"(digite a descrição aqui)")</f>
        <v>Base ou sub-base de brita graduada com brita comercial - 100% Proctor modificado</v>
      </c>
      <c r="S104" s="121" t="str">
        <f ca="1">REFERENCIA.Unidade</f>
        <v>m³</v>
      </c>
      <c r="T104" s="122">
        <f ca="1">OFFSET(CÁLCULO!H$15,ROW($T104)-ROW(T$15),0)</f>
        <v>196.8</v>
      </c>
      <c r="U104" s="123">
        <f t="shared" ca="1" si="27"/>
        <v>237.49</v>
      </c>
      <c r="V104" s="124" t="s">
        <v>663</v>
      </c>
      <c r="W104" s="122">
        <f ca="1">IF($C104="S",ROUND(IF(TIPOORCAMENTO="Proposto",ORÇAMENTO.CustoUnitario*(1+$AH104),ORÇAMENTO.PrecoUnitarioLicitado),15-13*$AF$10),0)</f>
        <v>291.70999999999998</v>
      </c>
      <c r="X104" s="125" cm="1">
        <f t="array" aca="1" ref="X104" ca="1">IF($C104="S",IF(OR(Import.TipoArredondamento&lt;&gt;"TransfereGOV",ACOMPANHAMENTO="BM"),VTOTAL1,SUM(OFFSET(CÁLCULO!$AI$15,ROW($X104)-ROW($X$15),1):OFFSET(CÁLCULO!$BB$15,ROW($X104)-ROW($X$15),-1))),IF($C104=0,0,ROUND(SomaAgrup,15-13*$AF$11)))</f>
        <v>57408.53</v>
      </c>
      <c r="Y104" s="126" t="s">
        <v>751</v>
      </c>
      <c r="Z104" t="str">
        <f t="shared" ca="1" si="13"/>
        <v>RA</v>
      </c>
      <c r="AA104" s="127">
        <f ca="1">IF($C104="S",IF($Z104="CP",$X104,IF($Z104="RA",(($X104)*QCI!$AA$3),0)),SomaAgrup)</f>
        <v>15857.031280272746</v>
      </c>
      <c r="AB104" s="128">
        <f t="shared" ca="1" si="14"/>
        <v>0</v>
      </c>
      <c r="AC104" s="565" t="e"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IF(AND(_xlfn.SINGLE(TIPOORCAMENTO)="Licitado",$AL104=0,$AN104&gt;0),"SEM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#NAME?</v>
      </c>
      <c r="AD104" t="str">
        <f ca="1">IF(C104&lt;=CRONO.NivelExibicao,MAX($AD$15:OFFSET(AD104,-1,0))+IF($C104&lt;&gt;1,1,MAX(1,COUNTIF(QCI!$A$13:$A$24,OFFSET($E104,-1,0)))),"")</f>
        <v/>
      </c>
      <c r="AE104" s="7" t="str">
        <f ca="1">IF(AND($C104="S",ORÇAMENTO.CodBarra&lt;&gt;""),IF(ORÇAMENTO.Fonte="",ORÇAMENTO.CodBarra,CONCATENATE(ORÇAMENTO.Fonte," ",ORÇAMENTO.CodBarra)))</f>
        <v>SICRO 4011276</v>
      </c>
      <c r="AF104" s="12">
        <f ca="1">IF(ISERROR(INDIRECT(ORÇAMENTO.BancoRef)),"(abra o arquivo 'Referência "&amp;Excel_BuiltIn_Database&amp;".xlsm)",IF(OR($C104&lt;&gt;"S",ORÇAMENTO.CodBarra=""),"(Sem Código)",IF(ISERROR(MATCH($AE104,INDIRECT(ORÇAMENTO.BancoRef),0)),"(Código não identificado nas referências)",MATCH($AE104,INDIRECT(ORÇAMENTO.BancoRef),0))))</f>
        <v>20331</v>
      </c>
      <c r="AG104" s="428">
        <f ca="1">ROUND(IF(DESONERACAO="sim",REFERENCIA.Desonerado,REFERENCIA.NaoDesonerado),2)</f>
        <v>237.49</v>
      </c>
      <c r="AH104" s="429">
        <f t="shared" ca="1" si="15"/>
        <v>0.2283</v>
      </c>
      <c r="AJ104" s="431"/>
      <c r="AL104" s="439"/>
      <c r="AM104" s="336">
        <f t="shared" ca="1" si="19"/>
        <v>57408.53</v>
      </c>
      <c r="AN104" s="470">
        <f t="shared" ca="1" si="16"/>
        <v>291.70999999999998</v>
      </c>
    </row>
    <row r="105" spans="1:40" ht="13.8" x14ac:dyDescent="0.3">
      <c r="A105" t="str">
        <f>CHOOSE(1+LOG(1+2*(ORÇAMENTO.Nivel="Meta")+4*(ORÇAMENTO.Nivel="Nível 2")+8*(ORÇAMENTO.Nivel="Nível 3")+16*(ORÇAMENTO.Nivel="Nível 4")+32*(ORÇAMENTO.Nivel="Serviço"),2),0,1,2,3,4,"S")</f>
        <v>S</v>
      </c>
      <c r="B105">
        <f ca="1">IF(OR(C105="s",C105=0),OFFSET(B105,-1,0),C105)</f>
        <v>2</v>
      </c>
      <c r="C105" t="str">
        <f ca="1">IF(OFFSET(C105,-1,0)="L",1,IF(OFFSET(C105,-1,0)=1,2,IF(OR(A105="s",A105=0),"S",IF(AND(OFFSET(C105,-1,0)=2,A105=4),3,IF(AND(OR(OFFSET(C105,-1,0)="s",OFFSET(C105,-1,0)=0),A105&lt;&gt;"s",A105&gt;OFFSET(B105,-1,0)),OFFSET(B105,-1,0),A105)))))</f>
        <v>S</v>
      </c>
      <c r="D105">
        <f ca="1">IF(OR(C105="S",C105=0),0,IF(ISERROR(K105),J105,SMALL(J105:K105,1)))</f>
        <v>0</v>
      </c>
      <c r="E105">
        <f ca="1">IF($C105=1,OFFSET(E105,-1,0)+MAX(1,COUNTIF(QCI!$A$13:$A$24,OFFSET(ORÇAMENTO!E105,-1,0))),OFFSET(E105,-1,0))</f>
        <v>3</v>
      </c>
      <c r="F105">
        <f ca="1">IF($C105=1,0,IF($C105=2,OFFSET(F105,-1,0)+1,OFFSET(F105,-1,0)))</f>
        <v>2</v>
      </c>
      <c r="G105">
        <f ca="1">IF(AND($C105&lt;=2,$C105&lt;&gt;0),0,IF($C105=3,OFFSET(G105,-1,0)+1,OFFSET(G105,-1,0)))</f>
        <v>0</v>
      </c>
      <c r="H105">
        <f ca="1">IF(AND($C105&lt;=3,$C105&lt;&gt;0),0,IF($C105=4,OFFSET(H105,-1,0)+1,OFFSET(H105,-1,0)))</f>
        <v>0</v>
      </c>
      <c r="I105">
        <f ca="1">IF(AND($C105&lt;=4,$C105&lt;&gt;0),0,IF(AND($C105="S",$X105&gt;0),OFFSET(I105,-1,0)+1,OFFSET(I105,-1,0)))</f>
        <v>4</v>
      </c>
      <c r="J105">
        <f t="shared" ca="1" si="25"/>
        <v>0</v>
      </c>
      <c r="K105">
        <f ca="1">IF(OR($C105="S",$C105=0),0,MATCH(OFFSET($D105,0,$C105)+IF($C105&lt;&gt;1,1,COUNTIF(QCI!$A$13:$A$24,ORÇAMENTO!E105)),OFFSET($D105,1,$C105,ROW($C$165)-ROW($C105)),0))</f>
        <v>0</v>
      </c>
      <c r="L105" s="114" t="str">
        <f ca="1">IF(OR($X105&gt;0,$C105=1,$C105=2,$C105=3,$C105=4),"F","")</f>
        <v>F</v>
      </c>
      <c r="M105" s="115" t="s">
        <v>705</v>
      </c>
      <c r="N105" s="116" t="str">
        <f ca="1">CHOOSE(1+LOG(1+2*(C105=1)+4*(C105=2)+8*(C105=3)+16*(C105=4)+32*(C105="S"),2),"","Meta","Nível 2","Nível 3","Nível 4","Serviço")</f>
        <v>Serviço</v>
      </c>
      <c r="O105" s="117" t="str">
        <f ca="1">IF(OR($C105=0,$L105=""),"-",CONCATENATE(E105&amp;".",IF(AND($A$5&gt;=2,$C105&gt;=2),F105&amp;".",""),IF(AND($A$5&gt;=3,$C105&gt;=3),G105&amp;".",""),IF(AND($A$5&gt;=4,$C105&gt;=4),H105&amp;".",""),IF($C105="S",I105&amp;".","")))</f>
        <v>3.2.4.</v>
      </c>
      <c r="P105" s="118" t="s">
        <v>956</v>
      </c>
      <c r="Q105" s="119" t="s">
        <v>1022</v>
      </c>
      <c r="R105" s="120" t="str">
        <f ca="1">IF($C105="S",REFERENCIA.Descricao,"(digite a descrição aqui)")</f>
        <v>Transporte com caminhão basculante de 10 m³ - rodovia pavimentada</v>
      </c>
      <c r="S105" s="121" t="str">
        <f ca="1">REFERENCIA.Unidade</f>
        <v>tkm</v>
      </c>
      <c r="T105" s="122">
        <f ca="1">OFFSET(CÁLCULO!H$15,ROW($T105)-ROW(T$15),0)</f>
        <v>6199.2</v>
      </c>
      <c r="U105" s="123">
        <f t="shared" ca="1" si="27"/>
        <v>0.82</v>
      </c>
      <c r="V105" s="124" t="s">
        <v>663</v>
      </c>
      <c r="W105" s="122">
        <f ca="1">IF($C105="S",ROUND(IF(TIPOORCAMENTO="Proposto",ORÇAMENTO.CustoUnitario*(1+$AH105),ORÇAMENTO.PrecoUnitarioLicitado),15-13*$AF$10),0)</f>
        <v>1.01</v>
      </c>
      <c r="X105" s="125" cm="1">
        <f t="array" aca="1" ref="X105" ca="1">IF($C105="S",IF(OR(Import.TipoArredondamento&lt;&gt;"TransfereGOV",ACOMPANHAMENTO="BM"),VTOTAL1,SUM(OFFSET(CÁLCULO!$AI$15,ROW($X105)-ROW($X$15),1):OFFSET(CÁLCULO!$BB$15,ROW($X105)-ROW($X$15),-1))),IF($C105=0,0,ROUND(SomaAgrup,15-13*$AF$11)))</f>
        <v>6261.19</v>
      </c>
      <c r="Y105" s="126" t="s">
        <v>751</v>
      </c>
      <c r="Z105" t="str">
        <f ca="1">IF(AND($C105="S",$X105&gt;0),IF(ISBLANK($Y105),"RA",LEFT($Y105,2)),"")</f>
        <v>RA</v>
      </c>
      <c r="AA105" s="127">
        <f ca="1">IF($C105="S",IF($Z105="CP",$X105,IF($Z105="RA",(($X105)*QCI!$AA$3),0)),SomaAgrup)</f>
        <v>1729.427415781782</v>
      </c>
      <c r="AB105" s="128">
        <f ca="1">IF($C105="S",IF($Z105="OU",ROUND($X105,2),0),SomaAgrup)</f>
        <v>0</v>
      </c>
      <c r="AC105" s="565" t="e"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IF(AND(_xlfn.SINGLE(TIPOORCAMENTO)="Licitado",$AL105=0,$AN105&gt;0),"SEM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#NAME?</v>
      </c>
      <c r="AD105" t="str">
        <f ca="1">IF(C105&lt;=CRONO.NivelExibicao,MAX($AD$15:OFFSET(AD105,-1,0))+IF($C105&lt;&gt;1,1,MAX(1,COUNTIF(QCI!$A$13:$A$24,OFFSET($E105,-1,0)))),"")</f>
        <v/>
      </c>
      <c r="AE105" s="7" t="str">
        <f ca="1">IF(AND($C105="S",ORÇAMENTO.CodBarra&lt;&gt;""),IF(ORÇAMENTO.Fonte="",ORÇAMENTO.CodBarra,CONCATENATE(ORÇAMENTO.Fonte," ",ORÇAMENTO.CodBarra)))</f>
        <v>SICRO 5914389</v>
      </c>
      <c r="AF105" s="12">
        <f ca="1">IF(ISERROR(INDIRECT(ORÇAMENTO.BancoRef)),"(abra o arquivo 'Referência "&amp;Excel_BuiltIn_Database&amp;".xlsm)",IF(OR($C105&lt;&gt;"S",ORÇAMENTO.CodBarra=""),"(Sem Código)",IF(ISERROR(MATCH($AE105,INDIRECT(ORÇAMENTO.BancoRef),0)),"(Código não identificado nas referências)",MATCH($AE105,INDIRECT(ORÇAMENTO.BancoRef),0))))</f>
        <v>21868</v>
      </c>
      <c r="AG105" s="428">
        <f ca="1">ROUND(IF(DESONERACAO="sim",REFERENCIA.Desonerado,REFERENCIA.NaoDesonerado),2)</f>
        <v>0.82</v>
      </c>
      <c r="AH105" s="429">
        <f ca="1">ROUND(IF(ISNUMBER(ORÇAMENTO.OpcaoBDI),ORÇAMENTO.OpcaoBDI,IF(LEFT(ORÇAMENTO.OpcaoBDI,3)="BDI",HLOOKUP(ORÇAMENTO.OpcaoBDI,$F$4:$H$5,2,FALSE),0)),15-11*$AF$9)</f>
        <v>0.2283</v>
      </c>
      <c r="AJ105" s="431"/>
      <c r="AL105" s="439"/>
      <c r="AM105" s="336">
        <f t="shared" ca="1" si="19"/>
        <v>6261.19</v>
      </c>
      <c r="AN105" s="470">
        <f ca="1">ROUND(ORÇAMENTO.CustoUnitario*(1+$AH105),2)</f>
        <v>1.01</v>
      </c>
    </row>
    <row r="106" spans="1:40" ht="13.8" x14ac:dyDescent="0.3">
      <c r="A106" t="str">
        <f t="shared" si="1"/>
        <v>S</v>
      </c>
      <c r="B106">
        <f t="shared" ca="1" si="2"/>
        <v>2</v>
      </c>
      <c r="C106" t="str">
        <f t="shared" ca="1" si="3"/>
        <v>S</v>
      </c>
      <c r="D106">
        <f t="shared" ca="1" si="4"/>
        <v>0</v>
      </c>
      <c r="E106">
        <f ca="1">IF($C106=1,OFFSET(E106,-1,0)+MAX(1,COUNTIF(QCI!$A$13:$A$24,OFFSET(ORÇAMENTO!E106,-1,0))),OFFSET(E106,-1,0))</f>
        <v>3</v>
      </c>
      <c r="F106">
        <f t="shared" ca="1" si="5"/>
        <v>2</v>
      </c>
      <c r="G106">
        <f t="shared" ca="1" si="6"/>
        <v>0</v>
      </c>
      <c r="H106">
        <f t="shared" ca="1" si="7"/>
        <v>0</v>
      </c>
      <c r="I106">
        <f t="shared" ca="1" si="8"/>
        <v>5</v>
      </c>
      <c r="J106">
        <f t="shared" ca="1" si="25"/>
        <v>0</v>
      </c>
      <c r="K106">
        <f ca="1">IF(OR($C106="S",$C106=0),0,MATCH(OFFSET($D106,0,$C106)+IF($C106&lt;&gt;1,1,COUNTIF(QCI!$A$13:$A$24,ORÇAMENTO!E106)),OFFSET($D106,1,$C106,ROW($C$165)-ROW($C106)),0))</f>
        <v>0</v>
      </c>
      <c r="L106" s="114" t="str">
        <f t="shared" ca="1" si="10"/>
        <v>F</v>
      </c>
      <c r="M106" s="115" t="s">
        <v>705</v>
      </c>
      <c r="N106" s="116" t="str">
        <f t="shared" ca="1" si="11"/>
        <v>Serviço</v>
      </c>
      <c r="O106" s="117" t="str">
        <f t="shared" ca="1" si="12"/>
        <v>3.2.5.</v>
      </c>
      <c r="P106" s="118" t="s">
        <v>956</v>
      </c>
      <c r="Q106" s="119" t="s">
        <v>1013</v>
      </c>
      <c r="R106" s="120" t="str">
        <f ca="1">IF($C106="S",REFERENCIA.Descricao,"(digite a descrição aqui)")</f>
        <v>Imprimação com emulsão asfáltica</v>
      </c>
      <c r="S106" s="121" t="str">
        <f ca="1">REFERENCIA.Unidade</f>
        <v>m²</v>
      </c>
      <c r="T106" s="122">
        <f ca="1">OFFSET(CÁLCULO!H$15,ROW($T106)-ROW(T$15),0)</f>
        <v>1640</v>
      </c>
      <c r="U106" s="123">
        <f t="shared" ca="1" si="27"/>
        <v>0.66</v>
      </c>
      <c r="V106" s="124" t="s">
        <v>663</v>
      </c>
      <c r="W106" s="122">
        <f ca="1">IF($C106="S",ROUND(IF(TIPOORCAMENTO="Proposto",ORÇAMENTO.CustoUnitario*(1+$AH106),ORÇAMENTO.PrecoUnitarioLicitado),15-13*$AF$10),0)</f>
        <v>0.81</v>
      </c>
      <c r="X106" s="125" cm="1">
        <f t="array" aca="1" ref="X106" ca="1">IF($C106="S",IF(OR(Import.TipoArredondamento&lt;&gt;"TransfereGOV",ACOMPANHAMENTO="BM"),VTOTAL1,SUM(OFFSET(CÁLCULO!$AI$15,ROW($X106)-ROW($X$15),1):OFFSET(CÁLCULO!$BB$15,ROW($X106)-ROW($X$15),-1))),IF($C106=0,0,ROUND(SomaAgrup,15-13*$AF$11)))</f>
        <v>1328.4</v>
      </c>
      <c r="Y106" s="126" t="s">
        <v>751</v>
      </c>
      <c r="Z106" t="str">
        <f t="shared" ca="1" si="13"/>
        <v>RA</v>
      </c>
      <c r="AA106" s="127">
        <f ca="1">IF($C106="S",IF($Z106="CP",$X106,IF($Z106="RA",(($X106)*QCI!$AA$3),0)),SomaAgrup)</f>
        <v>366.92248264699197</v>
      </c>
      <c r="AB106" s="128">
        <f t="shared" ca="1" si="14"/>
        <v>0</v>
      </c>
      <c r="AC106" s="565" t="e"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IF(AND(_xlfn.SINGLE(TIPOORCAMENTO)="Licitado",$AL106=0,$AN106&gt;0),"SEM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#NAME?</v>
      </c>
      <c r="AD106" t="str">
        <f ca="1">IF(C106&lt;=CRONO.NivelExibicao,MAX($AD$15:OFFSET(AD106,-1,0))+IF($C106&lt;&gt;1,1,MAX(1,COUNTIF(QCI!$A$13:$A$24,OFFSET($E106,-1,0)))),"")</f>
        <v/>
      </c>
      <c r="AE106" s="7" t="str">
        <f ca="1">IF(AND($C106="S",ORÇAMENTO.CodBarra&lt;&gt;""),IF(ORÇAMENTO.Fonte="",ORÇAMENTO.CodBarra,CONCATENATE(ORÇAMENTO.Fonte," ",ORÇAMENTO.CodBarra)))</f>
        <v>SICRO 4011352</v>
      </c>
      <c r="AF106" s="12">
        <f ca="1">IF(ISERROR(INDIRECT(ORÇAMENTO.BancoRef)),"(abra o arquivo 'Referência "&amp;Excel_BuiltIn_Database&amp;".xlsm)",IF(OR($C106&lt;&gt;"S",ORÇAMENTO.CodBarra=""),"(Sem Código)",IF(ISERROR(MATCH($AE106,INDIRECT(ORÇAMENTO.BancoRef),0)),"(Código não identificado nas referências)",MATCH($AE106,INDIRECT(ORÇAMENTO.BancoRef),0))))</f>
        <v>20389</v>
      </c>
      <c r="AG106" s="428">
        <f ca="1">ROUND(IF(DESONERACAO="sim",REFERENCIA.Desonerado,REFERENCIA.NaoDesonerado),2)</f>
        <v>0.66</v>
      </c>
      <c r="AH106" s="429">
        <f t="shared" ca="1" si="15"/>
        <v>0.2283</v>
      </c>
      <c r="AJ106" s="431"/>
      <c r="AL106" s="439"/>
      <c r="AM106" s="336">
        <f t="shared" ca="1" si="19"/>
        <v>1328.4</v>
      </c>
      <c r="AN106" s="470">
        <f t="shared" ca="1" si="16"/>
        <v>0.81</v>
      </c>
    </row>
    <row r="107" spans="1:40" ht="26.4" x14ac:dyDescent="0.3">
      <c r="A107" t="str">
        <f t="shared" si="1"/>
        <v>S</v>
      </c>
      <c r="B107">
        <f t="shared" ca="1" si="2"/>
        <v>2</v>
      </c>
      <c r="C107" t="str">
        <f t="shared" ca="1" si="3"/>
        <v>S</v>
      </c>
      <c r="D107">
        <f t="shared" ca="1" si="4"/>
        <v>0</v>
      </c>
      <c r="E107">
        <f ca="1">IF($C107=1,OFFSET(E107,-1,0)+MAX(1,COUNTIF(QCI!$A$13:$A$24,OFFSET(ORÇAMENTO!E107,-1,0))),OFFSET(E107,-1,0))</f>
        <v>3</v>
      </c>
      <c r="F107">
        <f t="shared" ca="1" si="5"/>
        <v>2</v>
      </c>
      <c r="G107">
        <f t="shared" ca="1" si="6"/>
        <v>0</v>
      </c>
      <c r="H107">
        <f t="shared" ca="1" si="7"/>
        <v>0</v>
      </c>
      <c r="I107">
        <f t="shared" ca="1" si="8"/>
        <v>6</v>
      </c>
      <c r="J107">
        <f t="shared" ca="1" si="25"/>
        <v>0</v>
      </c>
      <c r="K107">
        <f ca="1">IF(OR($C107="S",$C107=0),0,MATCH(OFFSET($D107,0,$C107)+IF($C107&lt;&gt;1,1,COUNTIF(QCI!$A$13:$A$24,ORÇAMENTO!E107)),OFFSET($D107,1,$C107,ROW($C$165)-ROW($C107)),0))</f>
        <v>0</v>
      </c>
      <c r="L107" s="114" t="str">
        <f t="shared" ca="1" si="10"/>
        <v>F</v>
      </c>
      <c r="M107" s="115" t="s">
        <v>705</v>
      </c>
      <c r="N107" s="116" t="str">
        <f t="shared" ca="1" si="11"/>
        <v>Serviço</v>
      </c>
      <c r="O107" s="117" t="str">
        <f t="shared" ca="1" si="12"/>
        <v>3.2.6.</v>
      </c>
      <c r="P107" s="118" t="s">
        <v>958</v>
      </c>
      <c r="Q107" s="119" t="s">
        <v>1014</v>
      </c>
      <c r="R107" s="120" t="str">
        <f ca="1">IF($C107="S",REFERENCIA.Descricao,"(digite a descrição aqui)")</f>
        <v>EMULSÃO ASFÁLTICA PARA SERVIÇO DE IMPRIMAÇÃO COLETADO NA ANP ACRESCIDO DE IMPOSTOS (ICMS, PIS, COFINS)</v>
      </c>
      <c r="S107" s="121" t="str">
        <f ca="1">REFERENCIA.Unidade</f>
        <v>KG</v>
      </c>
      <c r="T107" s="122">
        <f ca="1">OFFSET(CÁLCULO!H$15,ROW($T107)-ROW(T$15),0)</f>
        <v>2132</v>
      </c>
      <c r="U107" s="123">
        <f t="shared" ca="1" si="27"/>
        <v>3.44</v>
      </c>
      <c r="V107" s="124" t="s">
        <v>697</v>
      </c>
      <c r="W107" s="122">
        <f ca="1">IF($C107="S",ROUND(IF(TIPOORCAMENTO="Proposto",ORÇAMENTO.CustoUnitario*(1+$AH107),ORÇAMENTO.PrecoUnitarioLicitado),15-13*$AF$10),0)</f>
        <v>3.96</v>
      </c>
      <c r="X107" s="125" cm="1">
        <f t="array" aca="1" ref="X107" ca="1">IF($C107="S",IF(OR(Import.TipoArredondamento&lt;&gt;"TransfereGOV",ACOMPANHAMENTO="BM"),VTOTAL1,SUM(OFFSET(CÁLCULO!$AI$15,ROW($X107)-ROW($X$15),1):OFFSET(CÁLCULO!$BB$15,ROW($X107)-ROW($X$15),-1))),IF($C107=0,0,ROUND(SomaAgrup,15-13*$AF$11)))</f>
        <v>8442.7199999999993</v>
      </c>
      <c r="Y107" s="126" t="s">
        <v>751</v>
      </c>
      <c r="Z107" t="str">
        <f t="shared" ca="1" si="13"/>
        <v>RA</v>
      </c>
      <c r="AA107" s="127">
        <f ca="1">IF($C107="S",IF($Z107="CP",$X107,IF($Z107="RA",(($X107)*QCI!$AA$3),0)),SomaAgrup)</f>
        <v>2331.9962230453261</v>
      </c>
      <c r="AB107" s="128">
        <f t="shared" ca="1" si="14"/>
        <v>0</v>
      </c>
      <c r="AC107" s="565" t="e"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IF(AND(_xlfn.SINGLE(TIPOORCAMENTO)="Licitado",$AL107=0,$AN107&gt;0),"SEM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#NAME?</v>
      </c>
      <c r="AD107" t="str">
        <f ca="1">IF(C107&lt;=CRONO.NivelExibicao,MAX($AD$15:OFFSET(AD107,-1,0))+IF($C107&lt;&gt;1,1,MAX(1,COUNTIF(QCI!$A$13:$A$24,OFFSET($E107,-1,0)))),"")</f>
        <v/>
      </c>
      <c r="AE107" s="7" t="str">
        <f ca="1">IF(AND($C107="S",ORÇAMENTO.CodBarra&lt;&gt;""),IF(ORÇAMENTO.Fonte="",ORÇAMENTO.CodBarra,CONCATENATE(ORÇAMENTO.Fonte," ",ORÇAMENTO.CodBarra)))</f>
        <v>Cotação COT 01</v>
      </c>
      <c r="AF107" s="12">
        <f ca="1">IF(ISERROR(INDIRECT(ORÇAMENTO.BancoRef)),"(abra o arquivo 'Referência "&amp;Excel_BuiltIn_Database&amp;".xlsm)",IF(OR($C107&lt;&gt;"S",ORÇAMENTO.CodBarra=""),"(Sem Código)",IF(ISERROR(MATCH($AE107,INDIRECT(ORÇAMENTO.BancoRef),0)),"(Código não identificado nas referências)",MATCH($AE107,INDIRECT(ORÇAMENTO.BancoRef),0))))</f>
        <v>29</v>
      </c>
      <c r="AG107" s="428">
        <f ca="1">ROUND(IF(DESONERACAO="sim",REFERENCIA.Desonerado,REFERENCIA.NaoDesonerado),2)</f>
        <v>3.44</v>
      </c>
      <c r="AH107" s="429">
        <f t="shared" ca="1" si="15"/>
        <v>0.15</v>
      </c>
      <c r="AJ107" s="431"/>
      <c r="AL107" s="439"/>
      <c r="AM107" s="336">
        <f t="shared" ca="1" si="19"/>
        <v>8442.7199999999993</v>
      </c>
      <c r="AN107" s="470">
        <f t="shared" ca="1" si="16"/>
        <v>3.96</v>
      </c>
    </row>
    <row r="108" spans="1:40" ht="26.4" x14ac:dyDescent="0.3">
      <c r="A108" t="str">
        <f t="shared" si="1"/>
        <v>S</v>
      </c>
      <c r="B108">
        <f t="shared" ca="1" si="2"/>
        <v>2</v>
      </c>
      <c r="C108" t="str">
        <f t="shared" ca="1" si="3"/>
        <v>S</v>
      </c>
      <c r="D108">
        <f t="shared" ca="1" si="4"/>
        <v>0</v>
      </c>
      <c r="E108">
        <f ca="1">IF($C108=1,OFFSET(E108,-1,0)+MAX(1,COUNTIF(QCI!$A$13:$A$24,OFFSET(ORÇAMENTO!E108,-1,0))),OFFSET(E108,-1,0))</f>
        <v>3</v>
      </c>
      <c r="F108">
        <f t="shared" ca="1" si="5"/>
        <v>2</v>
      </c>
      <c r="G108">
        <f t="shared" ca="1" si="6"/>
        <v>0</v>
      </c>
      <c r="H108">
        <f t="shared" ca="1" si="7"/>
        <v>0</v>
      </c>
      <c r="I108">
        <f t="shared" ca="1" si="8"/>
        <v>7</v>
      </c>
      <c r="J108">
        <f t="shared" ca="1" si="25"/>
        <v>0</v>
      </c>
      <c r="K108">
        <f ca="1">IF(OR($C108="S",$C108=0),0,MATCH(OFFSET($D108,0,$C108)+IF($C108&lt;&gt;1,1,COUNTIF(QCI!$A$13:$A$24,ORÇAMENTO!E108)),OFFSET($D108,1,$C108,ROW($C$165)-ROW($C108)),0))</f>
        <v>0</v>
      </c>
      <c r="L108" s="114" t="str">
        <f t="shared" ca="1" si="10"/>
        <v>F</v>
      </c>
      <c r="M108" s="115" t="s">
        <v>705</v>
      </c>
      <c r="N108" s="116" t="str">
        <f t="shared" ca="1" si="11"/>
        <v>Serviço</v>
      </c>
      <c r="O108" s="117" t="str">
        <f t="shared" ca="1" si="12"/>
        <v>3.2.7.</v>
      </c>
      <c r="P108" s="118" t="s">
        <v>956</v>
      </c>
      <c r="Q108" s="119" t="s">
        <v>1015</v>
      </c>
      <c r="R108" s="120" t="str">
        <f ca="1">IF($C108="S",REFERENCIA.Descricao,"(digite a descrição aqui)")</f>
        <v>Transporte de material betuminoso com caminhão tanque distribuidor - rodovia pavimentada</v>
      </c>
      <c r="S108" s="121" t="str">
        <f ca="1">REFERENCIA.Unidade</f>
        <v>tkm</v>
      </c>
      <c r="T108" s="122">
        <f ca="1">OFFSET(CÁLCULO!H$15,ROW($T108)-ROW(T$15),0)</f>
        <v>718.48</v>
      </c>
      <c r="U108" s="123">
        <f t="shared" ca="1" si="27"/>
        <v>2.2200000000000002</v>
      </c>
      <c r="V108" s="124" t="s">
        <v>697</v>
      </c>
      <c r="W108" s="122">
        <f ca="1">IF($C108="S",ROUND(IF(TIPOORCAMENTO="Proposto",ORÇAMENTO.CustoUnitario*(1+$AH108),ORÇAMENTO.PrecoUnitarioLicitado),15-13*$AF$10),0)</f>
        <v>2.5499999999999998</v>
      </c>
      <c r="X108" s="125" cm="1">
        <f t="array" aca="1" ref="X108" ca="1">IF($C108="S",IF(OR(Import.TipoArredondamento&lt;&gt;"TransfereGOV",ACOMPANHAMENTO="BM"),VTOTAL1,SUM(OFFSET(CÁLCULO!$AI$15,ROW($X108)-ROW($X$15),1):OFFSET(CÁLCULO!$BB$15,ROW($X108)-ROW($X$15),-1))),IF($C108=0,0,ROUND(SomaAgrup,15-13*$AF$11)))</f>
        <v>1832.12</v>
      </c>
      <c r="Y108" s="126" t="s">
        <v>751</v>
      </c>
      <c r="Z108" t="str">
        <f t="shared" ca="1" si="13"/>
        <v>RA</v>
      </c>
      <c r="AA108" s="127">
        <f ca="1">IF($C108="S",IF($Z108="CP",$X108,IF($Z108="RA",(($X108)*QCI!$AA$3),0)),SomaAgrup)</f>
        <v>506.05692480217317</v>
      </c>
      <c r="AB108" s="128">
        <f t="shared" ca="1" si="14"/>
        <v>0</v>
      </c>
      <c r="AC108" s="565" t="e"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IF(AND(_xlfn.SINGLE(TIPOORCAMENTO)="Licitado",$AL108=0,$AN108&gt;0),"SEM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#NAME?</v>
      </c>
      <c r="AD108" t="str">
        <f ca="1">IF(C108&lt;=CRONO.NivelExibicao,MAX($AD$15:OFFSET(AD108,-1,0))+IF($C108&lt;&gt;1,1,MAX(1,COUNTIF(QCI!$A$13:$A$24,OFFSET($E108,-1,0)))),"")</f>
        <v/>
      </c>
      <c r="AE108" s="7" t="str">
        <f ca="1">IF(AND($C108="S",ORÇAMENTO.CodBarra&lt;&gt;""),IF(ORÇAMENTO.Fonte="",ORÇAMENTO.CodBarra,CONCATENATE(ORÇAMENTO.Fonte," ",ORÇAMENTO.CodBarra)))</f>
        <v>SICRO 5914622</v>
      </c>
      <c r="AF108" s="12">
        <f ca="1">IF(ISERROR(INDIRECT(ORÇAMENTO.BancoRef)),"(abra o arquivo 'Referência "&amp;Excel_BuiltIn_Database&amp;".xlsm)",IF(OR($C108&lt;&gt;"S",ORÇAMENTO.CodBarra=""),"(Sem Código)",IF(ISERROR(MATCH($AE108,INDIRECT(ORÇAMENTO.BancoRef),0)),"(Código não identificado nas referências)",MATCH($AE108,INDIRECT(ORÇAMENTO.BancoRef),0))))</f>
        <v>21997</v>
      </c>
      <c r="AG108" s="428">
        <f ca="1">ROUND(IF(DESONERACAO="sim",REFERENCIA.Desonerado,REFERENCIA.NaoDesonerado),2)</f>
        <v>2.2200000000000002</v>
      </c>
      <c r="AH108" s="429">
        <f t="shared" ca="1" si="15"/>
        <v>0.15</v>
      </c>
      <c r="AJ108" s="431"/>
      <c r="AL108" s="439"/>
      <c r="AM108" s="336">
        <f t="shared" ca="1" si="19"/>
        <v>1832.12</v>
      </c>
      <c r="AN108" s="470">
        <f t="shared" ca="1" si="16"/>
        <v>2.5499999999999998</v>
      </c>
    </row>
    <row r="109" spans="1:40" ht="13.8" x14ac:dyDescent="0.3">
      <c r="A109" t="str">
        <f t="shared" si="1"/>
        <v>S</v>
      </c>
      <c r="B109">
        <f t="shared" ca="1" si="2"/>
        <v>2</v>
      </c>
      <c r="C109" t="str">
        <f t="shared" ca="1" si="3"/>
        <v>S</v>
      </c>
      <c r="D109">
        <f t="shared" ca="1" si="4"/>
        <v>0</v>
      </c>
      <c r="E109">
        <f ca="1">IF($C109=1,OFFSET(E109,-1,0)+MAX(1,COUNTIF(QCI!$A$13:$A$24,OFFSET(ORÇAMENTO!E109,-1,0))),OFFSET(E109,-1,0))</f>
        <v>3</v>
      </c>
      <c r="F109">
        <f t="shared" ca="1" si="5"/>
        <v>2</v>
      </c>
      <c r="G109">
        <f t="shared" ca="1" si="6"/>
        <v>0</v>
      </c>
      <c r="H109">
        <f t="shared" ca="1" si="7"/>
        <v>0</v>
      </c>
      <c r="I109">
        <f t="shared" ca="1" si="8"/>
        <v>8</v>
      </c>
      <c r="J109">
        <f t="shared" ca="1" si="25"/>
        <v>0</v>
      </c>
      <c r="K109">
        <f ca="1">IF(OR($C109="S",$C109=0),0,MATCH(OFFSET($D109,0,$C109)+IF($C109&lt;&gt;1,1,COUNTIF(QCI!$A$13:$A$24,ORÇAMENTO!E109)),OFFSET($D109,1,$C109,ROW($C$165)-ROW($C109)),0))</f>
        <v>0</v>
      </c>
      <c r="L109" s="114" t="str">
        <f t="shared" ca="1" si="10"/>
        <v>F</v>
      </c>
      <c r="M109" s="115" t="s">
        <v>705</v>
      </c>
      <c r="N109" s="116" t="str">
        <f t="shared" ca="1" si="11"/>
        <v>Serviço</v>
      </c>
      <c r="O109" s="117" t="str">
        <f t="shared" ca="1" si="12"/>
        <v>3.2.8.</v>
      </c>
      <c r="P109" s="118" t="s">
        <v>956</v>
      </c>
      <c r="Q109" s="119" t="s">
        <v>1019</v>
      </c>
      <c r="R109" s="120" t="str">
        <f ca="1">IF($C109="S",REFERENCIA.Descricao,"(digite a descrição aqui)")</f>
        <v>Pintura de ligação</v>
      </c>
      <c r="S109" s="121" t="str">
        <f ca="1">REFERENCIA.Unidade</f>
        <v>m²</v>
      </c>
      <c r="T109" s="122">
        <f ca="1">OFFSET(CÁLCULO!H$15,ROW($T109)-ROW(T$15),0)</f>
        <v>1640</v>
      </c>
      <c r="U109" s="123">
        <f t="shared" ca="1" si="27"/>
        <v>0.46</v>
      </c>
      <c r="V109" s="124" t="s">
        <v>663</v>
      </c>
      <c r="W109" s="122">
        <f ca="1">IF($C109="S",ROUND(IF(TIPOORCAMENTO="Proposto",ORÇAMENTO.CustoUnitario*(1+$AH109),ORÇAMENTO.PrecoUnitarioLicitado),15-13*$AF$10),0)</f>
        <v>0.56999999999999995</v>
      </c>
      <c r="X109" s="125" cm="1">
        <f t="array" aca="1" ref="X109" ca="1">IF($C109="S",IF(OR(Import.TipoArredondamento&lt;&gt;"TransfereGOV",ACOMPANHAMENTO="BM"),VTOTAL1,SUM(OFFSET(CÁLCULO!$AI$15,ROW($X109)-ROW($X$15),1):OFFSET(CÁLCULO!$BB$15,ROW($X109)-ROW($X$15),-1))),IF($C109=0,0,ROUND(SomaAgrup,15-13*$AF$11)))</f>
        <v>934.8</v>
      </c>
      <c r="Y109" s="126" t="s">
        <v>751</v>
      </c>
      <c r="Z109" t="str">
        <f t="shared" ca="1" si="13"/>
        <v>RA</v>
      </c>
      <c r="AA109" s="127">
        <f ca="1">IF($C109="S",IF($Z109="CP",$X109,IF($Z109="RA",(($X109)*QCI!$AA$3),0)),SomaAgrup)</f>
        <v>258.20471001084616</v>
      </c>
      <c r="AB109" s="128">
        <f t="shared" ca="1" si="14"/>
        <v>0</v>
      </c>
      <c r="AC109" s="565" t="e"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IF(AND(_xlfn.SINGLE(TIPOORCAMENTO)="Licitado",$AL109=0,$AN109&gt;0),"SEM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#NAME?</v>
      </c>
      <c r="AD109" t="str">
        <f ca="1">IF(C109&lt;=CRONO.NivelExibicao,MAX($AD$15:OFFSET(AD109,-1,0))+IF($C109&lt;&gt;1,1,MAX(1,COUNTIF(QCI!$A$13:$A$24,OFFSET($E109,-1,0)))),"")</f>
        <v/>
      </c>
      <c r="AE109" s="7" t="str">
        <f ca="1">IF(AND($C109="S",ORÇAMENTO.CodBarra&lt;&gt;""),IF(ORÇAMENTO.Fonte="",ORÇAMENTO.CodBarra,CONCATENATE(ORÇAMENTO.Fonte," ",ORÇAMENTO.CodBarra)))</f>
        <v>SICRO 4011353</v>
      </c>
      <c r="AF109" s="12">
        <f ca="1">IF(ISERROR(INDIRECT(ORÇAMENTO.BancoRef)),"(abra o arquivo 'Referência "&amp;Excel_BuiltIn_Database&amp;".xlsm)",IF(OR($C109&lt;&gt;"S",ORÇAMENTO.CodBarra=""),"(Sem Código)",IF(ISERROR(MATCH($AE109,INDIRECT(ORÇAMENTO.BancoRef),0)),"(Código não identificado nas referências)",MATCH($AE109,INDIRECT(ORÇAMENTO.BancoRef),0))))</f>
        <v>20424</v>
      </c>
      <c r="AG109" s="428">
        <f ca="1">ROUND(IF(DESONERACAO="sim",REFERENCIA.Desonerado,REFERENCIA.NaoDesonerado),2)</f>
        <v>0.46</v>
      </c>
      <c r="AH109" s="429">
        <f t="shared" ca="1" si="15"/>
        <v>0.2283</v>
      </c>
      <c r="AJ109" s="431"/>
      <c r="AL109" s="439"/>
      <c r="AM109" s="336">
        <f t="shared" ca="1" si="19"/>
        <v>934.8</v>
      </c>
      <c r="AN109" s="470">
        <f t="shared" ca="1" si="16"/>
        <v>0.56999999999999995</v>
      </c>
    </row>
    <row r="110" spans="1:40" ht="26.4" x14ac:dyDescent="0.3">
      <c r="A110" t="str">
        <f t="shared" si="1"/>
        <v>S</v>
      </c>
      <c r="B110">
        <f t="shared" ca="1" si="2"/>
        <v>2</v>
      </c>
      <c r="C110" t="str">
        <f t="shared" ca="1" si="3"/>
        <v>S</v>
      </c>
      <c r="D110">
        <f t="shared" ca="1" si="4"/>
        <v>0</v>
      </c>
      <c r="E110">
        <f ca="1">IF($C110=1,OFFSET(E110,-1,0)+MAX(1,COUNTIF(QCI!$A$13:$A$24,OFFSET(ORÇAMENTO!E110,-1,0))),OFFSET(E110,-1,0))</f>
        <v>3</v>
      </c>
      <c r="F110">
        <f t="shared" ca="1" si="5"/>
        <v>2</v>
      </c>
      <c r="G110">
        <f t="shared" ca="1" si="6"/>
        <v>0</v>
      </c>
      <c r="H110">
        <f t="shared" ca="1" si="7"/>
        <v>0</v>
      </c>
      <c r="I110">
        <f t="shared" ca="1" si="8"/>
        <v>9</v>
      </c>
      <c r="J110">
        <f t="shared" ca="1" si="25"/>
        <v>0</v>
      </c>
      <c r="K110">
        <f ca="1">IF(OR($C110="S",$C110=0),0,MATCH(OFFSET($D110,0,$C110)+IF($C110&lt;&gt;1,1,COUNTIF(QCI!$A$13:$A$24,ORÇAMENTO!E110)),OFFSET($D110,1,$C110,ROW($C$165)-ROW($C110)),0))</f>
        <v>0</v>
      </c>
      <c r="L110" s="114" t="str">
        <f t="shared" ca="1" si="10"/>
        <v>F</v>
      </c>
      <c r="M110" s="115" t="s">
        <v>705</v>
      </c>
      <c r="N110" s="116" t="str">
        <f t="shared" ca="1" si="11"/>
        <v>Serviço</v>
      </c>
      <c r="O110" s="117" t="str">
        <f t="shared" ca="1" si="12"/>
        <v>3.2.9.</v>
      </c>
      <c r="P110" s="118" t="s">
        <v>958</v>
      </c>
      <c r="Q110" s="119" t="s">
        <v>1020</v>
      </c>
      <c r="R110" s="120" t="str">
        <f ca="1">IF($C110="S",REFERENCIA.Descricao,"(digite a descrição aqui)")</f>
        <v>EMULSÃO ASFÁLTICA RR-1C COLETADO NA ANP, ACRESCIDO DE IMPOSTOS (ICMS, PIS, COFINS)</v>
      </c>
      <c r="S110" s="121" t="str">
        <f ca="1">REFERENCIA.Unidade</f>
        <v>KG</v>
      </c>
      <c r="T110" s="122">
        <f ca="1">OFFSET(CÁLCULO!H$15,ROW($T110)-ROW(T$15),0)</f>
        <v>738</v>
      </c>
      <c r="U110" s="123">
        <f t="shared" ca="1" si="27"/>
        <v>3.66</v>
      </c>
      <c r="V110" s="124" t="s">
        <v>697</v>
      </c>
      <c r="W110" s="122">
        <f ca="1">IF($C110="S",ROUND(IF(TIPOORCAMENTO="Proposto",ORÇAMENTO.CustoUnitario*(1+$AH110),ORÇAMENTO.PrecoUnitarioLicitado),15-13*$AF$10),0)</f>
        <v>4.21</v>
      </c>
      <c r="X110" s="125" cm="1">
        <f t="array" aca="1" ref="X110" ca="1">IF($C110="S",IF(OR(Import.TipoArredondamento&lt;&gt;"TransfereGOV",ACOMPANHAMENTO="BM"),VTOTAL1,SUM(OFFSET(CÁLCULO!$AI$15,ROW($X110)-ROW($X$15),1):OFFSET(CÁLCULO!$BB$15,ROW($X110)-ROW($X$15),-1))),IF($C110=0,0,ROUND(SomaAgrup,15-13*$AF$11)))</f>
        <v>3106.98</v>
      </c>
      <c r="Y110" s="126" t="s">
        <v>751</v>
      </c>
      <c r="Z110" t="str">
        <f t="shared" ca="1" si="13"/>
        <v>RA</v>
      </c>
      <c r="AA110" s="127">
        <f ca="1">IF($C110="S",IF($Z110="CP",$X110,IF($Z110="RA",(($X110)*QCI!$AA$3),0)),SomaAgrup)</f>
        <v>858.19091774657556</v>
      </c>
      <c r="AB110" s="128">
        <f t="shared" ca="1" si="14"/>
        <v>0</v>
      </c>
      <c r="AC110" s="565" t="e"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IF(AND(_xlfn.SINGLE(TIPOORCAMENTO)="Licitado",$AL110=0,$AN110&gt;0),"SEM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#NAME?</v>
      </c>
      <c r="AD110" t="str">
        <f ca="1">IF(C110&lt;=CRONO.NivelExibicao,MAX($AD$15:OFFSET(AD110,-1,0))+IF($C110&lt;&gt;1,1,MAX(1,COUNTIF(QCI!$A$13:$A$24,OFFSET($E110,-1,0)))),"")</f>
        <v/>
      </c>
      <c r="AE110" s="7" t="str">
        <f ca="1">IF(AND($C110="S",ORÇAMENTO.CodBarra&lt;&gt;""),IF(ORÇAMENTO.Fonte="",ORÇAMENTO.CodBarra,CONCATENATE(ORÇAMENTO.Fonte," ",ORÇAMENTO.CodBarra)))</f>
        <v>Cotação COT 02</v>
      </c>
      <c r="AF110" s="12">
        <f ca="1">IF(ISERROR(INDIRECT(ORÇAMENTO.BancoRef)),"(abra o arquivo 'Referência "&amp;Excel_BuiltIn_Database&amp;".xlsm)",IF(OR($C110&lt;&gt;"S",ORÇAMENTO.CodBarra=""),"(Sem Código)",IF(ISERROR(MATCH($AE110,INDIRECT(ORÇAMENTO.BancoRef),0)),"(Código não identificado nas referências)",MATCH($AE110,INDIRECT(ORÇAMENTO.BancoRef),0))))</f>
        <v>30</v>
      </c>
      <c r="AG110" s="428">
        <f ca="1">ROUND(IF(DESONERACAO="sim",REFERENCIA.Desonerado,REFERENCIA.NaoDesonerado),2)</f>
        <v>3.66</v>
      </c>
      <c r="AH110" s="429">
        <f t="shared" ca="1" si="15"/>
        <v>0.15</v>
      </c>
      <c r="AJ110" s="431"/>
      <c r="AL110" s="439"/>
      <c r="AM110" s="336">
        <f t="shared" ca="1" si="19"/>
        <v>3106.98</v>
      </c>
      <c r="AN110" s="470">
        <f t="shared" ca="1" si="16"/>
        <v>4.21</v>
      </c>
    </row>
    <row r="111" spans="1:40" ht="26.4" x14ac:dyDescent="0.3">
      <c r="A111" t="str">
        <f t="shared" si="1"/>
        <v>S</v>
      </c>
      <c r="B111">
        <f t="shared" ca="1" si="2"/>
        <v>2</v>
      </c>
      <c r="C111" t="str">
        <f t="shared" ca="1" si="3"/>
        <v>S</v>
      </c>
      <c r="D111">
        <f t="shared" ca="1" si="4"/>
        <v>0</v>
      </c>
      <c r="E111">
        <f ca="1">IF($C111=1,OFFSET(E111,-1,0)+MAX(1,COUNTIF(QCI!$A$13:$A$24,OFFSET(ORÇAMENTO!E111,-1,0))),OFFSET(E111,-1,0))</f>
        <v>3</v>
      </c>
      <c r="F111">
        <f t="shared" ca="1" si="5"/>
        <v>2</v>
      </c>
      <c r="G111">
        <f t="shared" ca="1" si="6"/>
        <v>0</v>
      </c>
      <c r="H111">
        <f t="shared" ca="1" si="7"/>
        <v>0</v>
      </c>
      <c r="I111">
        <f t="shared" ca="1" si="8"/>
        <v>10</v>
      </c>
      <c r="J111">
        <f t="shared" ca="1" si="25"/>
        <v>0</v>
      </c>
      <c r="K111">
        <f ca="1">IF(OR($C111="S",$C111=0),0,MATCH(OFFSET($D111,0,$C111)+IF($C111&lt;&gt;1,1,COUNTIF(QCI!$A$13:$A$24,ORÇAMENTO!E111)),OFFSET($D111,1,$C111,ROW($C$165)-ROW($C111)),0))</f>
        <v>0</v>
      </c>
      <c r="L111" s="114" t="str">
        <f t="shared" ca="1" si="10"/>
        <v>F</v>
      </c>
      <c r="M111" s="115" t="s">
        <v>705</v>
      </c>
      <c r="N111" s="116" t="str">
        <f t="shared" ca="1" si="11"/>
        <v>Serviço</v>
      </c>
      <c r="O111" s="117" t="str">
        <f t="shared" ca="1" si="12"/>
        <v>3.2.10.</v>
      </c>
      <c r="P111" s="118" t="s">
        <v>956</v>
      </c>
      <c r="Q111" s="119" t="s">
        <v>1015</v>
      </c>
      <c r="R111" s="120" t="str">
        <f ca="1">IF($C111="S",REFERENCIA.Descricao,"(digite a descrição aqui)")</f>
        <v>Transporte de material betuminoso com caminhão tanque distribuidor - rodovia pavimentada</v>
      </c>
      <c r="S111" s="121" t="str">
        <f ca="1">REFERENCIA.Unidade</f>
        <v>tkm</v>
      </c>
      <c r="T111" s="122">
        <f ca="1">OFFSET(CÁLCULO!H$15,ROW($T111)-ROW(T$15),0)</f>
        <v>248.7</v>
      </c>
      <c r="U111" s="123">
        <f t="shared" ca="1" si="27"/>
        <v>2.2200000000000002</v>
      </c>
      <c r="V111" s="124" t="s">
        <v>697</v>
      </c>
      <c r="W111" s="122">
        <f ca="1">IF($C111="S",ROUND(IF(TIPOORCAMENTO="Proposto",ORÇAMENTO.CustoUnitario*(1+$AH111),ORÇAMENTO.PrecoUnitarioLicitado),15-13*$AF$10),0)</f>
        <v>2.5499999999999998</v>
      </c>
      <c r="X111" s="125" cm="1">
        <f t="array" aca="1" ref="X111" ca="1">IF($C111="S",IF(OR(Import.TipoArredondamento&lt;&gt;"TransfereGOV",ACOMPANHAMENTO="BM"),VTOTAL1,SUM(OFFSET(CÁLCULO!$AI$15,ROW($X111)-ROW($X$15),1):OFFSET(CÁLCULO!$BB$15,ROW($X111)-ROW($X$15),-1))),IF($C111=0,0,ROUND(SomaAgrup,15-13*$AF$11)))</f>
        <v>634.19000000000005</v>
      </c>
      <c r="Y111" s="126" t="s">
        <v>751</v>
      </c>
      <c r="Z111" t="str">
        <f t="shared" ca="1" si="13"/>
        <v>RA</v>
      </c>
      <c r="AA111" s="127">
        <f ca="1">IF($C111="S",IF($Z111="CP",$X111,IF($Z111="RA",(($X111)*QCI!$AA$3),0)),SomaAgrup)</f>
        <v>175.17206358769636</v>
      </c>
      <c r="AB111" s="128">
        <f t="shared" ca="1" si="14"/>
        <v>0</v>
      </c>
      <c r="AC111" s="565" t="e"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IF(AND(_xlfn.SINGLE(TIPOORCAMENTO)="Licitado",$AL111=0,$AN111&gt;0),"SEM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#NAME?</v>
      </c>
      <c r="AD111" t="str">
        <f ca="1">IF(C111&lt;=CRONO.NivelExibicao,MAX($AD$15:OFFSET(AD111,-1,0))+IF($C111&lt;&gt;1,1,MAX(1,COUNTIF(QCI!$A$13:$A$24,OFFSET($E111,-1,0)))),"")</f>
        <v/>
      </c>
      <c r="AE111" s="7" t="str">
        <f ca="1">IF(AND($C111="S",ORÇAMENTO.CodBarra&lt;&gt;""),IF(ORÇAMENTO.Fonte="",ORÇAMENTO.CodBarra,CONCATENATE(ORÇAMENTO.Fonte," ",ORÇAMENTO.CodBarra)))</f>
        <v>SICRO 5914622</v>
      </c>
      <c r="AF111" s="12">
        <f ca="1">IF(ISERROR(INDIRECT(ORÇAMENTO.BancoRef)),"(abra o arquivo 'Referência "&amp;Excel_BuiltIn_Database&amp;".xlsm)",IF(OR($C111&lt;&gt;"S",ORÇAMENTO.CodBarra=""),"(Sem Código)",IF(ISERROR(MATCH($AE111,INDIRECT(ORÇAMENTO.BancoRef),0)),"(Código não identificado nas referências)",MATCH($AE111,INDIRECT(ORÇAMENTO.BancoRef),0))))</f>
        <v>21997</v>
      </c>
      <c r="AG111" s="428">
        <f ca="1">ROUND(IF(DESONERACAO="sim",REFERENCIA.Desonerado,REFERENCIA.NaoDesonerado),2)</f>
        <v>2.2200000000000002</v>
      </c>
      <c r="AH111" s="429">
        <f t="shared" ca="1" si="15"/>
        <v>0.15</v>
      </c>
      <c r="AJ111" s="431"/>
      <c r="AL111" s="439"/>
      <c r="AM111" s="336">
        <f t="shared" ca="1" si="19"/>
        <v>634.19000000000005</v>
      </c>
      <c r="AN111" s="470">
        <f t="shared" ca="1" si="16"/>
        <v>2.5499999999999998</v>
      </c>
    </row>
    <row r="112" spans="1:40" ht="13.8" x14ac:dyDescent="0.3">
      <c r="A112" t="str">
        <f t="shared" si="1"/>
        <v>S</v>
      </c>
      <c r="B112">
        <f t="shared" ca="1" si="2"/>
        <v>2</v>
      </c>
      <c r="C112" t="str">
        <f t="shared" ca="1" si="3"/>
        <v>S</v>
      </c>
      <c r="D112">
        <f t="shared" ca="1" si="4"/>
        <v>0</v>
      </c>
      <c r="E112">
        <f ca="1">IF($C112=1,OFFSET(E112,-1,0)+MAX(1,COUNTIF(QCI!$A$13:$A$24,OFFSET(ORÇAMENTO!E112,-1,0))),OFFSET(E112,-1,0))</f>
        <v>3</v>
      </c>
      <c r="F112">
        <f t="shared" ca="1" si="5"/>
        <v>2</v>
      </c>
      <c r="G112">
        <f t="shared" ca="1" si="6"/>
        <v>0</v>
      </c>
      <c r="H112">
        <f t="shared" ca="1" si="7"/>
        <v>0</v>
      </c>
      <c r="I112">
        <f t="shared" ca="1" si="8"/>
        <v>11</v>
      </c>
      <c r="J112">
        <f t="shared" ref="J112:J143" ca="1" si="28">IF(OR($C112="S",$C112=0),0,MATCH(0,OFFSET($D112,1,$C112,ROW($C$165)-ROW($C112)),0))</f>
        <v>0</v>
      </c>
      <c r="K112">
        <f ca="1">IF(OR($C112="S",$C112=0),0,MATCH(OFFSET($D112,0,$C112)+IF($C112&lt;&gt;1,1,COUNTIF(QCI!$A$13:$A$24,ORÇAMENTO!E112)),OFFSET($D112,1,$C112,ROW($C$165)-ROW($C112)),0))</f>
        <v>0</v>
      </c>
      <c r="L112" s="114" t="str">
        <f t="shared" ca="1" si="10"/>
        <v>F</v>
      </c>
      <c r="M112" s="115" t="s">
        <v>705</v>
      </c>
      <c r="N112" s="116" t="str">
        <f t="shared" ca="1" si="11"/>
        <v>Serviço</v>
      </c>
      <c r="O112" s="117" t="str">
        <f t="shared" ca="1" si="12"/>
        <v>3.2.11.</v>
      </c>
      <c r="P112" s="118" t="s">
        <v>956</v>
      </c>
      <c r="Q112" s="119" t="s">
        <v>1045</v>
      </c>
      <c r="R112" s="120" t="str">
        <f ca="1">IF($C112="S",REFERENCIA.Descricao,"(digite a descrição aqui)")</f>
        <v>Concreto asfáltico - faixa C-12,5 - areia e brita comerciais</v>
      </c>
      <c r="S112" s="121" t="str">
        <f ca="1">REFERENCIA.Unidade</f>
        <v>t</v>
      </c>
      <c r="T112" s="122">
        <f ca="1">OFFSET(CÁLCULO!H$15,ROW($T112)-ROW(T$15),0)</f>
        <v>164.65</v>
      </c>
      <c r="U112" s="123">
        <f t="shared" ca="1" si="27"/>
        <v>190.43</v>
      </c>
      <c r="V112" s="124" t="s">
        <v>663</v>
      </c>
      <c r="W112" s="122">
        <f ca="1">IF($C112="S",ROUND(IF(TIPOORCAMENTO="Proposto",ORÇAMENTO.CustoUnitario*(1+$AH112),ORÇAMENTO.PrecoUnitarioLicitado),15-13*$AF$10),0)</f>
        <v>233.91</v>
      </c>
      <c r="X112" s="125" cm="1">
        <f t="array" aca="1" ref="X112" ca="1">IF($C112="S",IF(OR(Import.TipoArredondamento&lt;&gt;"TransfereGOV",ACOMPANHAMENTO="BM"),VTOTAL1,SUM(OFFSET(CÁLCULO!$AI$15,ROW($X112)-ROW($X$15),1):OFFSET(CÁLCULO!$BB$15,ROW($X112)-ROW($X$15),-1))),IF($C112=0,0,ROUND(SomaAgrup,15-13*$AF$11)))</f>
        <v>38513.279999999999</v>
      </c>
      <c r="Y112" s="126" t="s">
        <v>751</v>
      </c>
      <c r="Z112" t="str">
        <f t="shared" ca="1" si="13"/>
        <v>RA</v>
      </c>
      <c r="AA112" s="127">
        <f ca="1">IF($C112="S",IF($Z112="CP",$X112,IF($Z112="RA",(($X112)*QCI!$AA$3),0)),SomaAgrup)</f>
        <v>10637.901469797305</v>
      </c>
      <c r="AB112" s="128">
        <f t="shared" ca="1" si="14"/>
        <v>0</v>
      </c>
      <c r="AC112" s="565" t="e"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IF(AND(_xlfn.SINGLE(TIPOORCAMENTO)="Licitado",$AL112=0,$AN112&gt;0),"SEM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#NAME?</v>
      </c>
      <c r="AD112" t="str">
        <f ca="1">IF(C112&lt;=CRONO.NivelExibicao,MAX($AD$15:OFFSET(AD112,-1,0))+IF($C112&lt;&gt;1,1,MAX(1,COUNTIF(QCI!$A$13:$A$24,OFFSET($E112,-1,0)))),"")</f>
        <v/>
      </c>
      <c r="AE112" s="7" t="str">
        <f ca="1">IF(AND($C112="S",ORÇAMENTO.CodBarra&lt;&gt;""),IF(ORÇAMENTO.Fonte="",ORÇAMENTO.CodBarra,CONCATENATE(ORÇAMENTO.Fonte," ",ORÇAMENTO.CodBarra)))</f>
        <v>SICRO 4011463</v>
      </c>
      <c r="AF112" s="12">
        <f ca="1">IF(ISERROR(INDIRECT(ORÇAMENTO.BancoRef)),"(abra o arquivo 'Referência "&amp;Excel_BuiltIn_Database&amp;".xlsm)",IF(OR($C112&lt;&gt;"S",ORÇAMENTO.CodBarra=""),"(Sem Código)",IF(ISERROR(MATCH($AE112,INDIRECT(ORÇAMENTO.BancoRef),0)),"(Código não identificado nas referências)",MATCH($AE112,INDIRECT(ORÇAMENTO.BancoRef),0))))</f>
        <v>20359</v>
      </c>
      <c r="AG112" s="428">
        <f ca="1">ROUND(IF(DESONERACAO="sim",REFERENCIA.Desonerado,REFERENCIA.NaoDesonerado),2)</f>
        <v>190.43</v>
      </c>
      <c r="AH112" s="429">
        <f t="shared" ca="1" si="15"/>
        <v>0.2283</v>
      </c>
      <c r="AJ112" s="431"/>
      <c r="AL112" s="439"/>
      <c r="AM112" s="336">
        <f t="shared" ca="1" si="19"/>
        <v>38513.279999999999</v>
      </c>
      <c r="AN112" s="470">
        <f t="shared" ca="1" si="16"/>
        <v>233.91</v>
      </c>
    </row>
    <row r="113" spans="1:40" ht="13.8" x14ac:dyDescent="0.3">
      <c r="A113" t="str">
        <f t="shared" si="1"/>
        <v>S</v>
      </c>
      <c r="B113">
        <f t="shared" ca="1" si="2"/>
        <v>2</v>
      </c>
      <c r="C113" t="str">
        <f t="shared" ca="1" si="3"/>
        <v>S</v>
      </c>
      <c r="D113">
        <f t="shared" ca="1" si="4"/>
        <v>0</v>
      </c>
      <c r="E113">
        <f ca="1">IF($C113=1,OFFSET(E113,-1,0)+MAX(1,COUNTIF(QCI!$A$13:$A$24,OFFSET(ORÇAMENTO!E113,-1,0))),OFFSET(E113,-1,0))</f>
        <v>3</v>
      </c>
      <c r="F113">
        <f t="shared" ca="1" si="5"/>
        <v>2</v>
      </c>
      <c r="G113">
        <f t="shared" ca="1" si="6"/>
        <v>0</v>
      </c>
      <c r="H113">
        <f t="shared" ca="1" si="7"/>
        <v>0</v>
      </c>
      <c r="I113">
        <f t="shared" ca="1" si="8"/>
        <v>12</v>
      </c>
      <c r="J113">
        <f t="shared" ca="1" si="28"/>
        <v>0</v>
      </c>
      <c r="K113">
        <f ca="1">IF(OR($C113="S",$C113=0),0,MATCH(OFFSET($D113,0,$C113)+IF($C113&lt;&gt;1,1,COUNTIF(QCI!$A$13:$A$24,ORÇAMENTO!E113)),OFFSET($D113,1,$C113,ROW($C$165)-ROW($C113)),0))</f>
        <v>0</v>
      </c>
      <c r="L113" s="114" t="str">
        <f t="shared" ca="1" si="10"/>
        <v>F</v>
      </c>
      <c r="M113" s="115" t="s">
        <v>705</v>
      </c>
      <c r="N113" s="116" t="str">
        <f t="shared" ca="1" si="11"/>
        <v>Serviço</v>
      </c>
      <c r="O113" s="117" t="str">
        <f t="shared" ca="1" si="12"/>
        <v>3.2.12.</v>
      </c>
      <c r="P113" s="118" t="s">
        <v>956</v>
      </c>
      <c r="Q113" s="119" t="s">
        <v>1022</v>
      </c>
      <c r="R113" s="120" t="str">
        <f ca="1">IF($C113="S",REFERENCIA.Descricao,"(digite a descrição aqui)")</f>
        <v>Transporte com caminhão basculante de 10 m³ - rodovia pavimentada</v>
      </c>
      <c r="S113" s="121" t="str">
        <f ca="1">REFERENCIA.Unidade</f>
        <v>tkm</v>
      </c>
      <c r="T113" s="122">
        <f ca="1">OFFSET(CÁLCULO!H$15,ROW($T113)-ROW(T$15),0)</f>
        <v>3457.65</v>
      </c>
      <c r="U113" s="123">
        <f t="shared" ca="1" si="27"/>
        <v>0.82</v>
      </c>
      <c r="V113" s="124" t="s">
        <v>663</v>
      </c>
      <c r="W113" s="122">
        <f ca="1">IF($C113="S",ROUND(IF(TIPOORCAMENTO="Proposto",ORÇAMENTO.CustoUnitario*(1+$AH113),ORÇAMENTO.PrecoUnitarioLicitado),15-13*$AF$10),0)</f>
        <v>1.01</v>
      </c>
      <c r="X113" s="125" cm="1">
        <f t="array" aca="1" ref="X113" ca="1">IF($C113="S",IF(OR(Import.TipoArredondamento&lt;&gt;"TransfereGOV",ACOMPANHAMENTO="BM"),VTOTAL1,SUM(OFFSET(CÁLCULO!$AI$15,ROW($X113)-ROW($X$15),1):OFFSET(CÁLCULO!$BB$15,ROW($X113)-ROW($X$15),-1))),IF($C113=0,0,ROUND(SomaAgrup,15-13*$AF$11)))</f>
        <v>3492.23</v>
      </c>
      <c r="Y113" s="126" t="s">
        <v>751</v>
      </c>
      <c r="Z113" t="str">
        <f t="shared" ca="1" si="13"/>
        <v>RA</v>
      </c>
      <c r="AA113" s="127">
        <f ca="1">IF($C113="S",IF($Z113="CP",$X113,IF($Z113="RA",(($X113)*QCI!$AA$3),0)),SomaAgrup)</f>
        <v>964.60230470814861</v>
      </c>
      <c r="AB113" s="128">
        <f t="shared" ca="1" si="14"/>
        <v>0</v>
      </c>
      <c r="AC113" s="565" t="e"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IF(AND(_xlfn.SINGLE(TIPOORCAMENTO)="Licitado",$AL113=0,$AN113&gt;0),"SEM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#NAME?</v>
      </c>
      <c r="AD113" t="str">
        <f ca="1">IF(C113&lt;=CRONO.NivelExibicao,MAX($AD$15:OFFSET(AD113,-1,0))+IF($C113&lt;&gt;1,1,MAX(1,COUNTIF(QCI!$A$13:$A$24,OFFSET($E113,-1,0)))),"")</f>
        <v/>
      </c>
      <c r="AE113" s="7" t="str">
        <f ca="1">IF(AND($C113="S",ORÇAMENTO.CodBarra&lt;&gt;""),IF(ORÇAMENTO.Fonte="",ORÇAMENTO.CodBarra,CONCATENATE(ORÇAMENTO.Fonte," ",ORÇAMENTO.CodBarra)))</f>
        <v>SICRO 5914389</v>
      </c>
      <c r="AF113" s="12">
        <f ca="1">IF(ISERROR(INDIRECT(ORÇAMENTO.BancoRef)),"(abra o arquivo 'Referência "&amp;Excel_BuiltIn_Database&amp;".xlsm)",IF(OR($C113&lt;&gt;"S",ORÇAMENTO.CodBarra=""),"(Sem Código)",IF(ISERROR(MATCH($AE113,INDIRECT(ORÇAMENTO.BancoRef),0)),"(Código não identificado nas referências)",MATCH($AE113,INDIRECT(ORÇAMENTO.BancoRef),0))))</f>
        <v>21868</v>
      </c>
      <c r="AG113" s="428">
        <f ca="1">ROUND(IF(DESONERACAO="sim",REFERENCIA.Desonerado,REFERENCIA.NaoDesonerado),2)</f>
        <v>0.82</v>
      </c>
      <c r="AH113" s="429">
        <f t="shared" ca="1" si="15"/>
        <v>0.2283</v>
      </c>
      <c r="AJ113" s="431"/>
      <c r="AL113" s="439"/>
      <c r="AM113" s="336">
        <f t="shared" ca="1" si="19"/>
        <v>3492.23</v>
      </c>
      <c r="AN113" s="470">
        <f t="shared" ca="1" si="16"/>
        <v>1.01</v>
      </c>
    </row>
    <row r="114" spans="1:40" ht="26.4" x14ac:dyDescent="0.3">
      <c r="A114" t="str">
        <f t="shared" si="1"/>
        <v>S</v>
      </c>
      <c r="B114">
        <f t="shared" ca="1" si="2"/>
        <v>2</v>
      </c>
      <c r="C114" t="str">
        <f t="shared" ca="1" si="3"/>
        <v>S</v>
      </c>
      <c r="D114">
        <f t="shared" ca="1" si="4"/>
        <v>0</v>
      </c>
      <c r="E114">
        <f ca="1">IF($C114=1,OFFSET(E114,-1,0)+MAX(1,COUNTIF(QCI!$A$13:$A$24,OFFSET(ORÇAMENTO!E114,-1,0))),OFFSET(E114,-1,0))</f>
        <v>3</v>
      </c>
      <c r="F114">
        <f t="shared" ca="1" si="5"/>
        <v>2</v>
      </c>
      <c r="G114">
        <f t="shared" ca="1" si="6"/>
        <v>0</v>
      </c>
      <c r="H114">
        <f t="shared" ca="1" si="7"/>
        <v>0</v>
      </c>
      <c r="I114">
        <f t="shared" ca="1" si="8"/>
        <v>13</v>
      </c>
      <c r="J114">
        <f t="shared" ca="1" si="28"/>
        <v>0</v>
      </c>
      <c r="K114">
        <f ca="1">IF(OR($C114="S",$C114=0),0,MATCH(OFFSET($D114,0,$C114)+IF($C114&lt;&gt;1,1,COUNTIF(QCI!$A$13:$A$24,ORÇAMENTO!E114)),OFFSET($D114,1,$C114,ROW($C$165)-ROW($C114)),0))</f>
        <v>0</v>
      </c>
      <c r="L114" s="114" t="str">
        <f t="shared" ca="1" si="10"/>
        <v>F</v>
      </c>
      <c r="M114" s="115" t="s">
        <v>705</v>
      </c>
      <c r="N114" s="116" t="str">
        <f t="shared" ca="1" si="11"/>
        <v>Serviço</v>
      </c>
      <c r="O114" s="117" t="str">
        <f t="shared" ca="1" si="12"/>
        <v>3.2.13.</v>
      </c>
      <c r="P114" s="118" t="s">
        <v>958</v>
      </c>
      <c r="Q114" s="119" t="s">
        <v>1023</v>
      </c>
      <c r="R114" s="120" t="str">
        <f ca="1">IF($C114="S",REFERENCIA.Descricao,"(digite a descrição aqui)")</f>
        <v>CIMENTO ASFÁLTICO CAP 50-70, COLETADO NA ANP, ACRESCIDO DE IMPOSTOS (ICMS, PIS, CONFINS)</v>
      </c>
      <c r="S114" s="121" t="str">
        <f ca="1">REFERENCIA.Unidade</f>
        <v>KG</v>
      </c>
      <c r="T114" s="122">
        <f ca="1">OFFSET(CÁLCULO!H$15,ROW($T114)-ROW(T$15),0)</f>
        <v>9319.5300000000007</v>
      </c>
      <c r="U114" s="123">
        <f t="shared" ca="1" si="27"/>
        <v>4.8600000000000003</v>
      </c>
      <c r="V114" s="124" t="s">
        <v>697</v>
      </c>
      <c r="W114" s="122">
        <f ca="1">IF($C114="S",ROUND(IF(TIPOORCAMENTO="Proposto",ORÇAMENTO.CustoUnitario*(1+$AH114),ORÇAMENTO.PrecoUnitarioLicitado),15-13*$AF$10),0)</f>
        <v>5.59</v>
      </c>
      <c r="X114" s="125" cm="1">
        <f t="array" aca="1" ref="X114" ca="1">IF($C114="S",IF(OR(Import.TipoArredondamento&lt;&gt;"TransfereGOV",ACOMPANHAMENTO="BM"),VTOTAL1,SUM(OFFSET(CÁLCULO!$AI$15,ROW($X114)-ROW($X$15),1):OFFSET(CÁLCULO!$BB$15,ROW($X114)-ROW($X$15),-1))),IF($C114=0,0,ROUND(SomaAgrup,15-13*$AF$11)))</f>
        <v>52096.17</v>
      </c>
      <c r="Y114" s="126" t="s">
        <v>751</v>
      </c>
      <c r="Z114" t="str">
        <f t="shared" ca="1" si="13"/>
        <v>RA</v>
      </c>
      <c r="AA114" s="127">
        <f ca="1">IF($C114="S",IF($Z114="CP",$X114,IF($Z114="RA",(($X114)*QCI!$AA$3),0)),SomaAgrup)</f>
        <v>14389.683854862798</v>
      </c>
      <c r="AB114" s="128">
        <f t="shared" ca="1" si="14"/>
        <v>0</v>
      </c>
      <c r="AC114" s="565" t="e"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IF(AND(_xlfn.SINGLE(TIPOORCAMENTO)="Licitado",$AL114=0,$AN114&gt;0),"SEM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#NAME?</v>
      </c>
      <c r="AD114" t="str">
        <f ca="1">IF(C114&lt;=CRONO.NivelExibicao,MAX($AD$15:OFFSET(AD114,-1,0))+IF($C114&lt;&gt;1,1,MAX(1,COUNTIF(QCI!$A$13:$A$24,OFFSET($E114,-1,0)))),"")</f>
        <v/>
      </c>
      <c r="AE114" s="7" t="str">
        <f ca="1">IF(AND($C114="S",ORÇAMENTO.CodBarra&lt;&gt;""),IF(ORÇAMENTO.Fonte="",ORÇAMENTO.CodBarra,CONCATENATE(ORÇAMENTO.Fonte," ",ORÇAMENTO.CodBarra)))</f>
        <v>Cotação COT 03</v>
      </c>
      <c r="AF114" s="12">
        <f ca="1">IF(ISERROR(INDIRECT(ORÇAMENTO.BancoRef)),"(abra o arquivo 'Referência "&amp;Excel_BuiltIn_Database&amp;".xlsm)",IF(OR($C114&lt;&gt;"S",ORÇAMENTO.CodBarra=""),"(Sem Código)",IF(ISERROR(MATCH($AE114,INDIRECT(ORÇAMENTO.BancoRef),0)),"(Código não identificado nas referências)",MATCH($AE114,INDIRECT(ORÇAMENTO.BancoRef),0))))</f>
        <v>31</v>
      </c>
      <c r="AG114" s="428">
        <f ca="1">ROUND(IF(DESONERACAO="sim",REFERENCIA.Desonerado,REFERENCIA.NaoDesonerado),2)</f>
        <v>4.8600000000000003</v>
      </c>
      <c r="AH114" s="429">
        <f t="shared" ca="1" si="15"/>
        <v>0.15</v>
      </c>
      <c r="AJ114" s="431"/>
      <c r="AL114" s="439"/>
      <c r="AM114" s="336">
        <f t="shared" ca="1" si="19"/>
        <v>52096.17</v>
      </c>
      <c r="AN114" s="470">
        <f t="shared" ca="1" si="16"/>
        <v>5.59</v>
      </c>
    </row>
    <row r="115" spans="1:40" ht="26.4" x14ac:dyDescent="0.3">
      <c r="A115" t="str">
        <f t="shared" si="1"/>
        <v>S</v>
      </c>
      <c r="B115">
        <f t="shared" ca="1" si="2"/>
        <v>2</v>
      </c>
      <c r="C115" t="str">
        <f t="shared" ca="1" si="3"/>
        <v>S</v>
      </c>
      <c r="D115">
        <f t="shared" ca="1" si="4"/>
        <v>0</v>
      </c>
      <c r="E115">
        <f ca="1">IF($C115=1,OFFSET(E115,-1,0)+MAX(1,COUNTIF(QCI!$A$13:$A$24,OFFSET(ORÇAMENTO!E115,-1,0))),OFFSET(E115,-1,0))</f>
        <v>3</v>
      </c>
      <c r="F115">
        <f t="shared" ca="1" si="5"/>
        <v>2</v>
      </c>
      <c r="G115">
        <f t="shared" ca="1" si="6"/>
        <v>0</v>
      </c>
      <c r="H115">
        <f t="shared" ca="1" si="7"/>
        <v>0</v>
      </c>
      <c r="I115">
        <f t="shared" ca="1" si="8"/>
        <v>14</v>
      </c>
      <c r="J115">
        <f t="shared" ca="1" si="28"/>
        <v>0</v>
      </c>
      <c r="K115">
        <f ca="1">IF(OR($C115="S",$C115=0),0,MATCH(OFFSET($D115,0,$C115)+IF($C115&lt;&gt;1,1,COUNTIF(QCI!$A$13:$A$24,ORÇAMENTO!E115)),OFFSET($D115,1,$C115,ROW($C$165)-ROW($C115)),0))</f>
        <v>0</v>
      </c>
      <c r="L115" s="114" t="str">
        <f t="shared" ca="1" si="10"/>
        <v>F</v>
      </c>
      <c r="M115" s="115" t="s">
        <v>705</v>
      </c>
      <c r="N115" s="116" t="str">
        <f t="shared" ca="1" si="11"/>
        <v>Serviço</v>
      </c>
      <c r="O115" s="117" t="str">
        <f t="shared" ca="1" si="12"/>
        <v>3.2.14.</v>
      </c>
      <c r="P115" s="118" t="s">
        <v>956</v>
      </c>
      <c r="Q115" s="119" t="s">
        <v>1015</v>
      </c>
      <c r="R115" s="120" t="str">
        <f ca="1">IF($C115="S",REFERENCIA.Descricao,"(digite a descrição aqui)")</f>
        <v>Transporte de material betuminoso com caminhão tanque distribuidor - rodovia pavimentada</v>
      </c>
      <c r="S115" s="121" t="str">
        <f ca="1">REFERENCIA.Unidade</f>
        <v>tkm</v>
      </c>
      <c r="T115" s="122">
        <f ca="1">OFFSET(CÁLCULO!H$15,ROW($T115)-ROW(T$15),0)</f>
        <v>3140.68</v>
      </c>
      <c r="U115" s="123">
        <f t="shared" ca="1" si="27"/>
        <v>2.2200000000000002</v>
      </c>
      <c r="V115" s="124" t="s">
        <v>697</v>
      </c>
      <c r="W115" s="122">
        <f ca="1">IF($C115="S",ROUND(IF(TIPOORCAMENTO="Proposto",ORÇAMENTO.CustoUnitario*(1+$AH115),ORÇAMENTO.PrecoUnitarioLicitado),15-13*$AF$10),0)</f>
        <v>2.5499999999999998</v>
      </c>
      <c r="X115" s="125" cm="1">
        <f t="array" aca="1" ref="X115" ca="1">IF($C115="S",IF(OR(Import.TipoArredondamento&lt;&gt;"TransfereGOV",ACOMPANHAMENTO="BM"),VTOTAL1,SUM(OFFSET(CÁLCULO!$AI$15,ROW($X115)-ROW($X$15),1):OFFSET(CÁLCULO!$BB$15,ROW($X115)-ROW($X$15),-1))),IF($C115=0,0,ROUND(SomaAgrup,15-13*$AF$11)))</f>
        <v>8008.73</v>
      </c>
      <c r="Y115" s="126" t="s">
        <v>751</v>
      </c>
      <c r="Z115" t="str">
        <f t="shared" ca="1" si="13"/>
        <v>RA</v>
      </c>
      <c r="AA115" s="127">
        <f ca="1">IF($C115="S",IF($Z115="CP",$X115,IF($Z115="RA",(($X115)*QCI!$AA$3),0)),SomaAgrup)</f>
        <v>2212.1221728767264</v>
      </c>
      <c r="AB115" s="128">
        <f t="shared" ca="1" si="14"/>
        <v>0</v>
      </c>
      <c r="AC115" s="565" t="e"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IF(AND(_xlfn.SINGLE(TIPOORCAMENTO)="Licitado",$AL115=0,$AN115&gt;0),"SEM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#NAME?</v>
      </c>
      <c r="AD115" t="str">
        <f ca="1">IF(C115&lt;=CRONO.NivelExibicao,MAX($AD$15:OFFSET(AD115,-1,0))+IF($C115&lt;&gt;1,1,MAX(1,COUNTIF(QCI!$A$13:$A$24,OFFSET($E115,-1,0)))),"")</f>
        <v/>
      </c>
      <c r="AE115" s="7" t="str">
        <f ca="1">IF(AND($C115="S",ORÇAMENTO.CodBarra&lt;&gt;""),IF(ORÇAMENTO.Fonte="",ORÇAMENTO.CodBarra,CONCATENATE(ORÇAMENTO.Fonte," ",ORÇAMENTO.CodBarra)))</f>
        <v>SICRO 5914622</v>
      </c>
      <c r="AF115" s="12">
        <f ca="1">IF(ISERROR(INDIRECT(ORÇAMENTO.BancoRef)),"(abra o arquivo 'Referência "&amp;Excel_BuiltIn_Database&amp;".xlsm)",IF(OR($C115&lt;&gt;"S",ORÇAMENTO.CodBarra=""),"(Sem Código)",IF(ISERROR(MATCH($AE115,INDIRECT(ORÇAMENTO.BancoRef),0)),"(Código não identificado nas referências)",MATCH($AE115,INDIRECT(ORÇAMENTO.BancoRef),0))))</f>
        <v>21997</v>
      </c>
      <c r="AG115" s="428">
        <f ca="1">ROUND(IF(DESONERACAO="sim",REFERENCIA.Desonerado,REFERENCIA.NaoDesonerado),2)</f>
        <v>2.2200000000000002</v>
      </c>
      <c r="AH115" s="429">
        <f t="shared" ca="1" si="15"/>
        <v>0.15</v>
      </c>
      <c r="AJ115" s="431"/>
      <c r="AL115" s="439"/>
      <c r="AM115" s="336">
        <f t="shared" ca="1" si="19"/>
        <v>8008.73</v>
      </c>
      <c r="AN115" s="470">
        <f t="shared" ca="1" si="16"/>
        <v>2.5499999999999998</v>
      </c>
    </row>
    <row r="116" spans="1:40" ht="13.8" x14ac:dyDescent="0.3">
      <c r="A116">
        <f t="shared" ref="A116:A141" si="29">CHOOSE(1+LOG(1+2*(ORÇAMENTO.Nivel="Meta")+4*(ORÇAMENTO.Nivel="Nível 2")+8*(ORÇAMENTO.Nivel="Nível 3")+16*(ORÇAMENTO.Nivel="Nível 4")+32*(ORÇAMENTO.Nivel="Serviço"),2),0,1,2,3,4,"S")</f>
        <v>2</v>
      </c>
      <c r="B116">
        <f ca="1">IF(OR(C116="s",C116=0),OFFSET(B116,-1,0),C116)</f>
        <v>2</v>
      </c>
      <c r="C116">
        <f ca="1">IF(OFFSET(C116,-1,0)="L",1,IF(OFFSET(C116,-1,0)=1,2,IF(OR(A116="s",A116=0),"S",IF(AND(OFFSET(C116,-1,0)=2,A116=4),3,IF(AND(OR(OFFSET(C116,-1,0)="s",OFFSET(C116,-1,0)=0),A116&lt;&gt;"s",A116&gt;OFFSET(B116,-1,0)),OFFSET(B116,-1,0),A116)))))</f>
        <v>2</v>
      </c>
      <c r="D116">
        <f ca="1">IF(OR(C116="S",C116=0),0,IF(ISERROR(K116),J116,SMALL(J116:K116,1)))</f>
        <v>8</v>
      </c>
      <c r="E116">
        <f ca="1">IF($C116=1,OFFSET(E116,-1,0)+MAX(1,COUNTIF(QCI!$A$13:$A$24,OFFSET(ORÇAMENTO!E116,-1,0))),OFFSET(E116,-1,0))</f>
        <v>3</v>
      </c>
      <c r="F116">
        <f ca="1">IF($C116=1,0,IF($C116=2,OFFSET(F116,-1,0)+1,OFFSET(F116,-1,0)))</f>
        <v>3</v>
      </c>
      <c r="G116">
        <f ca="1">IF(AND($C116&lt;=2,$C116&lt;&gt;0),0,IF($C116=3,OFFSET(G116,-1,0)+1,OFFSET(G116,-1,0)))</f>
        <v>0</v>
      </c>
      <c r="H116">
        <f ca="1">IF(AND($C116&lt;=3,$C116&lt;&gt;0),0,IF($C116=4,OFFSET(H116,-1,0)+1,OFFSET(H116,-1,0)))</f>
        <v>0</v>
      </c>
      <c r="I116">
        <f ca="1">IF(AND($C116&lt;=4,$C116&lt;&gt;0),0,IF(AND($C116="S",$X116&gt;0),OFFSET(I116,-1,0)+1,OFFSET(I116,-1,0)))</f>
        <v>0</v>
      </c>
      <c r="J116">
        <f t="shared" ca="1" si="28"/>
        <v>17</v>
      </c>
      <c r="K116">
        <f ca="1">IF(OR($C116="S",$C116=0),0,MATCH(OFFSET($D116,0,$C116)+IF($C116&lt;&gt;1,1,COUNTIF(QCI!$A$13:$A$24,ORÇAMENTO!E116)),OFFSET($D116,1,$C116,ROW($C$165)-ROW($C116)),0))</f>
        <v>8</v>
      </c>
      <c r="L116" s="114" t="str">
        <f ca="1">IF(OR($X116&gt;0,$C116=1,$C116=2,$C116=3,$C116=4),"F","")</f>
        <v>F</v>
      </c>
      <c r="M116" s="115" t="s">
        <v>702</v>
      </c>
      <c r="N116" s="116" t="str">
        <f ca="1">CHOOSE(1+LOG(1+2*(C116=1)+4*(C116=2)+8*(C116=3)+16*(C116=4)+32*(C116="S"),2),"","Meta","Nível 2","Nível 3","Nível 4","Serviço")</f>
        <v>Nível 2</v>
      </c>
      <c r="O116" s="117" t="str">
        <f ca="1">IF(OR($C116=0,$L116=""),"-",CONCATENATE(E116&amp;".",IF(AND($A$5&gt;=2,$C116&gt;=2),F116&amp;".",""),IF(AND($A$5&gt;=3,$C116&gt;=3),G116&amp;".",""),IF(AND($A$5&gt;=4,$C116&gt;=4),H116&amp;".",""),IF($C116="S",I116&amp;".","")))</f>
        <v>3.3.</v>
      </c>
      <c r="P116" s="118" t="s">
        <v>956</v>
      </c>
      <c r="Q116" s="119"/>
      <c r="R116" s="120" t="s">
        <v>1053</v>
      </c>
      <c r="S116" s="121" t="str">
        <f ca="1">REFERENCIA.Unidade</f>
        <v>-</v>
      </c>
      <c r="T116" s="122">
        <f ca="1">OFFSET(CÁLCULO!H$15,ROW($T116)-ROW(T$15),0)</f>
        <v>0</v>
      </c>
      <c r="U116" s="123"/>
      <c r="V116" s="124" t="s">
        <v>663</v>
      </c>
      <c r="W116" s="122">
        <f ca="1">IF($C116="S",ROUND(IF(TIPOORCAMENTO="Proposto",ORÇAMENTO.CustoUnitario*(1+$AH116),ORÇAMENTO.PrecoUnitarioLicitado),15-13*$AF$10),0)</f>
        <v>0</v>
      </c>
      <c r="X116" s="125" cm="1">
        <f t="array" aca="1" ref="X116" ca="1">IF($C116="S",IF(OR(Import.TipoArredondamento&lt;&gt;"TransfereGOV",ACOMPANHAMENTO="BM"),VTOTAL1,SUM(OFFSET(CÁLCULO!$AI$15,ROW($X116)-ROW($X$15),1):OFFSET(CÁLCULO!$BB$15,ROW($X116)-ROW($X$15),-1))),IF($C116=0,0,ROUND(SomaAgrup,15-13*$AF$11)))</f>
        <v>2650.52</v>
      </c>
      <c r="Y116" s="126" t="s">
        <v>751</v>
      </c>
      <c r="Z116" t="str">
        <f ca="1">IF(AND($C116="S",$X116&gt;0),IF(ISBLANK($Y116),"RA",LEFT($Y116,2)),"")</f>
        <v/>
      </c>
      <c r="AA116" s="127">
        <f ca="1">IF($C116="S",IF($Z116="CP",$X116,IF($Z116="RA",(($X116)*QCI!$AA$3),0)),SomaAgrup)</f>
        <v>732.11034229562256</v>
      </c>
      <c r="AB116" s="128">
        <f t="shared" ref="AB116:AB141" ca="1" si="30">IF($C116="S",IF($Z116="OU",ROUND($X116,2),0),SomaAgrup)</f>
        <v>0</v>
      </c>
      <c r="AC116" s="565" t="e"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IF(AND(_xlfn.SINGLE(TIPOORCAMENTO)="Licitado",$AL116=0,$AN116&gt;0),"SEM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#NAME?</v>
      </c>
      <c r="AD116">
        <f ca="1">IF(C116&lt;=CRONO.NivelExibicao,MAX($AD$15:OFFSET(AD116,-1,0))+IF($C116&lt;&gt;1,1,MAX(1,COUNTIF(QCI!$A$13:$A$24,OFFSET($E116,-1,0)))),"")</f>
        <v>19</v>
      </c>
      <c r="AE116" s="7" t="b">
        <f ca="1">IF(AND($C116="S",ORÇAMENTO.CodBarra&lt;&gt;""),IF(ORÇAMENTO.Fonte="",ORÇAMENTO.CodBarra,CONCATENATE(ORÇAMENTO.Fonte," ",ORÇAMENTO.CodBarra)))</f>
        <v>0</v>
      </c>
      <c r="AF116" s="12" t="str">
        <f ca="1">IF(ISERROR(INDIRECT(ORÇAMENTO.BancoRef)),"(abra o arquivo 'Referência "&amp;Excel_BuiltIn_Database&amp;".xlsm)",IF(OR($C116&lt;&gt;"S",ORÇAMENTO.CodBarra=""),"(Sem Código)",IF(ISERROR(MATCH($AE116,INDIRECT(ORÇAMENTO.BancoRef),0)),"(Código não identificado nas referências)",MATCH($AE116,INDIRECT(ORÇAMENTO.BancoRef),0))))</f>
        <v>(Sem Código)</v>
      </c>
      <c r="AG116" s="428">
        <f ca="1">ROUND(IF(DESONERACAO="sim",REFERENCIA.Desonerado,REFERENCIA.NaoDesonerado),2)</f>
        <v>0</v>
      </c>
      <c r="AH116" s="429">
        <f t="shared" ref="AH116:AH141" ca="1" si="31">ROUND(IF(ISNUMBER(ORÇAMENTO.OpcaoBDI),ORÇAMENTO.OpcaoBDI,IF(LEFT(ORÇAMENTO.OpcaoBDI,3)="BDI",HLOOKUP(ORÇAMENTO.OpcaoBDI,$F$4:$H$5,2,FALSE),0)),15-11*$AF$9)</f>
        <v>0.2283</v>
      </c>
      <c r="AJ116" s="431"/>
      <c r="AL116" s="439"/>
      <c r="AM116" s="336">
        <f t="shared" ca="1" si="19"/>
        <v>2650.52</v>
      </c>
      <c r="AN116" s="470">
        <f t="shared" ref="AN116:AN141" ca="1" si="32">ROUND(ORÇAMENTO.CustoUnitario*(1+$AH116),2)</f>
        <v>0</v>
      </c>
    </row>
    <row r="117" spans="1:40" ht="13.8" x14ac:dyDescent="0.3">
      <c r="A117" t="str">
        <f t="shared" si="29"/>
        <v>S</v>
      </c>
      <c r="B117">
        <f t="shared" ref="B117:B141" ca="1" si="33">IF(OR(C117="s",C117=0),OFFSET(B117,-1,0),C117)</f>
        <v>2</v>
      </c>
      <c r="C117" t="str">
        <f t="shared" ref="C117:C141" ca="1" si="34">IF(OFFSET(C117,-1,0)="L",1,IF(OFFSET(C117,-1,0)=1,2,IF(OR(A117="s",A117=0),"S",IF(AND(OFFSET(C117,-1,0)=2,A117=4),3,IF(AND(OR(OFFSET(C117,-1,0)="s",OFFSET(C117,-1,0)=0),A117&lt;&gt;"s",A117&gt;OFFSET(B117,-1,0)),OFFSET(B117,-1,0),A117)))))</f>
        <v>S</v>
      </c>
      <c r="D117">
        <f t="shared" ref="D117:D141" ca="1" si="35">IF(OR(C117="S",C117=0),0,IF(ISERROR(K117),J117,SMALL(J117:K117,1)))</f>
        <v>0</v>
      </c>
      <c r="E117">
        <f ca="1">IF($C117=1,OFFSET(E117,-1,0)+MAX(1,COUNTIF(QCI!$A$13:$A$24,OFFSET(ORÇAMENTO!E117,-1,0))),OFFSET(E117,-1,0))</f>
        <v>3</v>
      </c>
      <c r="F117">
        <f t="shared" ref="F117:F141" ca="1" si="36">IF($C117=1,0,IF($C117=2,OFFSET(F117,-1,0)+1,OFFSET(F117,-1,0)))</f>
        <v>3</v>
      </c>
      <c r="G117">
        <f t="shared" ref="G117:G141" ca="1" si="37">IF(AND($C117&lt;=2,$C117&lt;&gt;0),0,IF($C117=3,OFFSET(G117,-1,0)+1,OFFSET(G117,-1,0)))</f>
        <v>0</v>
      </c>
      <c r="H117">
        <f t="shared" ref="H117:H141" ca="1" si="38">IF(AND($C117&lt;=3,$C117&lt;&gt;0),0,IF($C117=4,OFFSET(H117,-1,0)+1,OFFSET(H117,-1,0)))</f>
        <v>0</v>
      </c>
      <c r="I117">
        <f t="shared" ref="I117:I141" ca="1" si="39">IF(AND($C117&lt;=4,$C117&lt;&gt;0),0,IF(AND($C117="S",$X117&gt;0),OFFSET(I117,-1,0)+1,OFFSET(I117,-1,0)))</f>
        <v>1</v>
      </c>
      <c r="J117">
        <f t="shared" ca="1" si="28"/>
        <v>0</v>
      </c>
      <c r="K117">
        <f ca="1">IF(OR($C117="S",$C117=0),0,MATCH(OFFSET($D117,0,$C117)+IF($C117&lt;&gt;1,1,COUNTIF(QCI!$A$13:$A$24,ORÇAMENTO!E117)),OFFSET($D117,1,$C117,ROW($C$165)-ROW($C117)),0))</f>
        <v>0</v>
      </c>
      <c r="L117" s="114" t="str">
        <f t="shared" ref="L117:L141" ca="1" si="40">IF(OR($X117&gt;0,$C117=1,$C117=2,$C117=3,$C117=4),"F","")</f>
        <v>F</v>
      </c>
      <c r="M117" s="115" t="s">
        <v>705</v>
      </c>
      <c r="N117" s="116" t="str">
        <f t="shared" ref="N117:N141" ca="1" si="41">CHOOSE(1+LOG(1+2*(C117=1)+4*(C117=2)+8*(C117=3)+16*(C117=4)+32*(C117="S"),2),"","Meta","Nível 2","Nível 3","Nível 4","Serviço")</f>
        <v>Serviço</v>
      </c>
      <c r="O117" s="117" t="str">
        <f t="shared" ref="O117:O141" ca="1" si="42">IF(OR($C117=0,$L117=""),"-",CONCATENATE(E117&amp;".",IF(AND($A$5&gt;=2,$C117&gt;=2),F117&amp;".",""),IF(AND($A$5&gt;=3,$C117&gt;=3),G117&amp;".",""),IF(AND($A$5&gt;=4,$C117&gt;=4),H117&amp;".",""),IF($C117="S",I117&amp;".","")))</f>
        <v>3.3.1.</v>
      </c>
      <c r="P117" s="118" t="s">
        <v>956</v>
      </c>
      <c r="Q117" s="119" t="s">
        <v>1019</v>
      </c>
      <c r="R117" s="120" t="str">
        <f ca="1">IF($C117="S",REFERENCIA.Descricao,"(digite a descrição aqui)")</f>
        <v>Pintura de ligação</v>
      </c>
      <c r="S117" s="121" t="str">
        <f ca="1">REFERENCIA.Unidade</f>
        <v>m²</v>
      </c>
      <c r="T117" s="122">
        <f ca="1">OFFSET(CÁLCULO!H$15,ROW($T117)-ROW(T$15),0)</f>
        <v>28.12</v>
      </c>
      <c r="U117" s="123">
        <f t="shared" ref="U117:U123" ca="1" si="43">AG117</f>
        <v>0.46</v>
      </c>
      <c r="V117" s="124" t="s">
        <v>663</v>
      </c>
      <c r="W117" s="122">
        <f ca="1">IF($C117="S",ROUND(IF(TIPOORCAMENTO="Proposto",ORÇAMENTO.CustoUnitario*(1+$AH117),ORÇAMENTO.PrecoUnitarioLicitado),15-13*$AF$10),0)</f>
        <v>0.56999999999999995</v>
      </c>
      <c r="X117" s="125" cm="1">
        <f t="array" aca="1" ref="X117" ca="1">IF($C117="S",IF(OR(Import.TipoArredondamento&lt;&gt;"TransfereGOV",ACOMPANHAMENTO="BM"),VTOTAL1,SUM(OFFSET(CÁLCULO!$AI$15,ROW($X117)-ROW($X$15),1):OFFSET(CÁLCULO!$BB$15,ROW($X117)-ROW($X$15),-1))),IF($C117=0,0,ROUND(SomaAgrup,15-13*$AF$11)))</f>
        <v>16.03</v>
      </c>
      <c r="Y117" s="126" t="s">
        <v>751</v>
      </c>
      <c r="Z117" t="str">
        <f t="shared" ref="Z117:Z141" ca="1" si="44">IF(AND($C117="S",$X117&gt;0),IF(ISBLANK($Y117),"RA",LEFT($Y117,2)),"")</f>
        <v>RA</v>
      </c>
      <c r="AA117" s="127">
        <f ca="1">IF($C117="S",IF($Z117="CP",$X117,IF($Z117="RA",(($X117)*QCI!$AA$3),0)),SomaAgrup)</f>
        <v>4.4277080674731115</v>
      </c>
      <c r="AB117" s="128">
        <f t="shared" ca="1" si="30"/>
        <v>0</v>
      </c>
      <c r="AC117" s="565" t="e"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IF(AND(_xlfn.SINGLE(TIPOORCAMENTO)="Licitado",$AL117=0,$AN117&gt;0),"SEM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#NAME?</v>
      </c>
      <c r="AD117" t="str">
        <f ca="1">IF(C117&lt;=CRONO.NivelExibicao,MAX($AD$15:OFFSET(AD117,-1,0))+IF($C117&lt;&gt;1,1,MAX(1,COUNTIF(QCI!$A$13:$A$24,OFFSET($E117,-1,0)))),"")</f>
        <v/>
      </c>
      <c r="AE117" s="7" t="str">
        <f ca="1">IF(AND($C117="S",ORÇAMENTO.CodBarra&lt;&gt;""),IF(ORÇAMENTO.Fonte="",ORÇAMENTO.CodBarra,CONCATENATE(ORÇAMENTO.Fonte," ",ORÇAMENTO.CodBarra)))</f>
        <v>SICRO 4011353</v>
      </c>
      <c r="AF117" s="12">
        <f ca="1">IF(ISERROR(INDIRECT(ORÇAMENTO.BancoRef)),"(abra o arquivo 'Referência "&amp;Excel_BuiltIn_Database&amp;".xlsm)",IF(OR($C117&lt;&gt;"S",ORÇAMENTO.CodBarra=""),"(Sem Código)",IF(ISERROR(MATCH($AE117,INDIRECT(ORÇAMENTO.BancoRef),0)),"(Código não identificado nas referências)",MATCH($AE117,INDIRECT(ORÇAMENTO.BancoRef),0))))</f>
        <v>20424</v>
      </c>
      <c r="AG117" s="428">
        <f ca="1">ROUND(IF(DESONERACAO="sim",REFERENCIA.Desonerado,REFERENCIA.NaoDesonerado),2)</f>
        <v>0.46</v>
      </c>
      <c r="AH117" s="429">
        <f t="shared" ca="1" si="31"/>
        <v>0.2283</v>
      </c>
      <c r="AJ117" s="431"/>
      <c r="AL117" s="439"/>
      <c r="AM117" s="336">
        <f t="shared" ca="1" si="19"/>
        <v>16.03</v>
      </c>
      <c r="AN117" s="470">
        <f t="shared" ca="1" si="32"/>
        <v>0.56999999999999995</v>
      </c>
    </row>
    <row r="118" spans="1:40" ht="26.4" x14ac:dyDescent="0.3">
      <c r="A118" t="str">
        <f t="shared" si="29"/>
        <v>S</v>
      </c>
      <c r="B118">
        <f t="shared" ca="1" si="33"/>
        <v>2</v>
      </c>
      <c r="C118" t="str">
        <f t="shared" ca="1" si="34"/>
        <v>S</v>
      </c>
      <c r="D118">
        <f t="shared" ca="1" si="35"/>
        <v>0</v>
      </c>
      <c r="E118">
        <f ca="1">IF($C118=1,OFFSET(E118,-1,0)+MAX(1,COUNTIF(QCI!$A$13:$A$24,OFFSET(ORÇAMENTO!E118,-1,0))),OFFSET(E118,-1,0))</f>
        <v>3</v>
      </c>
      <c r="F118">
        <f t="shared" ca="1" si="36"/>
        <v>3</v>
      </c>
      <c r="G118">
        <f t="shared" ca="1" si="37"/>
        <v>0</v>
      </c>
      <c r="H118">
        <f t="shared" ca="1" si="38"/>
        <v>0</v>
      </c>
      <c r="I118">
        <f t="shared" ca="1" si="39"/>
        <v>2</v>
      </c>
      <c r="J118">
        <f t="shared" ca="1" si="28"/>
        <v>0</v>
      </c>
      <c r="K118">
        <f ca="1">IF(OR($C118="S",$C118=0),0,MATCH(OFFSET($D118,0,$C118)+IF($C118&lt;&gt;1,1,COUNTIF(QCI!$A$13:$A$24,ORÇAMENTO!E118)),OFFSET($D118,1,$C118,ROW($C$165)-ROW($C118)),0))</f>
        <v>0</v>
      </c>
      <c r="L118" s="114" t="str">
        <f t="shared" ca="1" si="40"/>
        <v>F</v>
      </c>
      <c r="M118" s="115" t="s">
        <v>705</v>
      </c>
      <c r="N118" s="116" t="str">
        <f t="shared" ca="1" si="41"/>
        <v>Serviço</v>
      </c>
      <c r="O118" s="117" t="str">
        <f t="shared" ca="1" si="42"/>
        <v>3.3.2.</v>
      </c>
      <c r="P118" s="118" t="s">
        <v>958</v>
      </c>
      <c r="Q118" s="119" t="s">
        <v>1020</v>
      </c>
      <c r="R118" s="120" t="str">
        <f ca="1">IF($C118="S",REFERENCIA.Descricao,"(digite a descrição aqui)")</f>
        <v>EMULSÃO ASFÁLTICA RR-1C COLETADO NA ANP, ACRESCIDO DE IMPOSTOS (ICMS, PIS, COFINS)</v>
      </c>
      <c r="S118" s="121" t="str">
        <f ca="1">REFERENCIA.Unidade</f>
        <v>KG</v>
      </c>
      <c r="T118" s="122">
        <f ca="1">OFFSET(CÁLCULO!H$15,ROW($T118)-ROW(T$15),0)</f>
        <v>12.65</v>
      </c>
      <c r="U118" s="123">
        <f t="shared" ca="1" si="43"/>
        <v>3.66</v>
      </c>
      <c r="V118" s="124" t="s">
        <v>697</v>
      </c>
      <c r="W118" s="122">
        <f ca="1">IF($C118="S",ROUND(IF(TIPOORCAMENTO="Proposto",ORÇAMENTO.CustoUnitario*(1+$AH118),ORÇAMENTO.PrecoUnitarioLicitado),15-13*$AF$10),0)</f>
        <v>4.21</v>
      </c>
      <c r="X118" s="125" cm="1">
        <f t="array" aca="1" ref="X118" ca="1">IF($C118="S",IF(OR(Import.TipoArredondamento&lt;&gt;"TransfereGOV",ACOMPANHAMENTO="BM"),VTOTAL1,SUM(OFFSET(CÁLCULO!$AI$15,ROW($X118)-ROW($X$15),1):OFFSET(CÁLCULO!$BB$15,ROW($X118)-ROW($X$15),-1))),IF($C118=0,0,ROUND(SomaAgrup,15-13*$AF$11)))</f>
        <v>53.26</v>
      </c>
      <c r="Y118" s="126" t="s">
        <v>751</v>
      </c>
      <c r="Z118" t="str">
        <f t="shared" ca="1" si="44"/>
        <v>RA</v>
      </c>
      <c r="AA118" s="127">
        <f ca="1">IF($C118="S",IF($Z118="CP",$X118,IF($Z118="RA",(($X118)*QCI!$AA$3),0)),SomaAgrup)</f>
        <v>14.711149823681714</v>
      </c>
      <c r="AB118" s="128">
        <f t="shared" ca="1" si="30"/>
        <v>0</v>
      </c>
      <c r="AC118" s="565" t="e"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IF(AND(_xlfn.SINGLE(TIPOORCAMENTO)="Licitado",$AL118=0,$AN118&gt;0),"SEM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#NAME?</v>
      </c>
      <c r="AD118" t="str">
        <f ca="1">IF(C118&lt;=CRONO.NivelExibicao,MAX($AD$15:OFFSET(AD118,-1,0))+IF($C118&lt;&gt;1,1,MAX(1,COUNTIF(QCI!$A$13:$A$24,OFFSET($E118,-1,0)))),"")</f>
        <v/>
      </c>
      <c r="AE118" s="7" t="str">
        <f ca="1">IF(AND($C118="S",ORÇAMENTO.CodBarra&lt;&gt;""),IF(ORÇAMENTO.Fonte="",ORÇAMENTO.CodBarra,CONCATENATE(ORÇAMENTO.Fonte," ",ORÇAMENTO.CodBarra)))</f>
        <v>Cotação COT 02</v>
      </c>
      <c r="AF118" s="12">
        <f ca="1">IF(ISERROR(INDIRECT(ORÇAMENTO.BancoRef)),"(abra o arquivo 'Referência "&amp;Excel_BuiltIn_Database&amp;".xlsm)",IF(OR($C118&lt;&gt;"S",ORÇAMENTO.CodBarra=""),"(Sem Código)",IF(ISERROR(MATCH($AE118,INDIRECT(ORÇAMENTO.BancoRef),0)),"(Código não identificado nas referências)",MATCH($AE118,INDIRECT(ORÇAMENTO.BancoRef),0))))</f>
        <v>30</v>
      </c>
      <c r="AG118" s="428">
        <f ca="1">ROUND(IF(DESONERACAO="sim",REFERENCIA.Desonerado,REFERENCIA.NaoDesonerado),2)</f>
        <v>3.66</v>
      </c>
      <c r="AH118" s="429">
        <f t="shared" ca="1" si="31"/>
        <v>0.15</v>
      </c>
      <c r="AJ118" s="431"/>
      <c r="AL118" s="439"/>
      <c r="AM118" s="336">
        <f t="shared" ca="1" si="19"/>
        <v>53.26</v>
      </c>
      <c r="AN118" s="470">
        <f t="shared" ca="1" si="32"/>
        <v>4.21</v>
      </c>
    </row>
    <row r="119" spans="1:40" ht="26.4" x14ac:dyDescent="0.3">
      <c r="A119" t="str">
        <f t="shared" si="29"/>
        <v>S</v>
      </c>
      <c r="B119">
        <f t="shared" ca="1" si="33"/>
        <v>2</v>
      </c>
      <c r="C119" t="str">
        <f t="shared" ca="1" si="34"/>
        <v>S</v>
      </c>
      <c r="D119">
        <f t="shared" ca="1" si="35"/>
        <v>0</v>
      </c>
      <c r="E119">
        <f ca="1">IF($C119=1,OFFSET(E119,-1,0)+MAX(1,COUNTIF(QCI!$A$13:$A$24,OFFSET(ORÇAMENTO!E119,-1,0))),OFFSET(E119,-1,0))</f>
        <v>3</v>
      </c>
      <c r="F119">
        <f t="shared" ca="1" si="36"/>
        <v>3</v>
      </c>
      <c r="G119">
        <f t="shared" ca="1" si="37"/>
        <v>0</v>
      </c>
      <c r="H119">
        <f t="shared" ca="1" si="38"/>
        <v>0</v>
      </c>
      <c r="I119">
        <f t="shared" ca="1" si="39"/>
        <v>3</v>
      </c>
      <c r="J119">
        <f t="shared" ca="1" si="28"/>
        <v>0</v>
      </c>
      <c r="K119">
        <f ca="1">IF(OR($C119="S",$C119=0),0,MATCH(OFFSET($D119,0,$C119)+IF($C119&lt;&gt;1,1,COUNTIF(QCI!$A$13:$A$24,ORÇAMENTO!E119)),OFFSET($D119,1,$C119,ROW($C$165)-ROW($C119)),0))</f>
        <v>0</v>
      </c>
      <c r="L119" s="114" t="str">
        <f t="shared" ca="1" si="40"/>
        <v>F</v>
      </c>
      <c r="M119" s="115" t="s">
        <v>705</v>
      </c>
      <c r="N119" s="116" t="str">
        <f t="shared" ca="1" si="41"/>
        <v>Serviço</v>
      </c>
      <c r="O119" s="117" t="str">
        <f t="shared" ca="1" si="42"/>
        <v>3.3.3.</v>
      </c>
      <c r="P119" s="118" t="s">
        <v>956</v>
      </c>
      <c r="Q119" s="119" t="s">
        <v>1015</v>
      </c>
      <c r="R119" s="120" t="str">
        <f ca="1">IF($C119="S",REFERENCIA.Descricao,"(digite a descrição aqui)")</f>
        <v>Transporte de material betuminoso com caminhão tanque distribuidor - rodovia pavimentada</v>
      </c>
      <c r="S119" s="121" t="str">
        <f ca="1">REFERENCIA.Unidade</f>
        <v>tkm</v>
      </c>
      <c r="T119" s="122">
        <f ca="1">OFFSET(CÁLCULO!H$15,ROW($T119)-ROW(T$15),0)</f>
        <v>4.26</v>
      </c>
      <c r="U119" s="123">
        <f t="shared" ca="1" si="43"/>
        <v>2.2200000000000002</v>
      </c>
      <c r="V119" s="124" t="s">
        <v>697</v>
      </c>
      <c r="W119" s="122">
        <f ca="1">IF($C119="S",ROUND(IF(TIPOORCAMENTO="Proposto",ORÇAMENTO.CustoUnitario*(1+$AH119),ORÇAMENTO.PrecoUnitarioLicitado),15-13*$AF$10),0)</f>
        <v>2.5499999999999998</v>
      </c>
      <c r="X119" s="125" cm="1">
        <f t="array" aca="1" ref="X119" ca="1">IF($C119="S",IF(OR(Import.TipoArredondamento&lt;&gt;"TransfereGOV",ACOMPANHAMENTO="BM"),VTOTAL1,SUM(OFFSET(CÁLCULO!$AI$15,ROW($X119)-ROW($X$15),1):OFFSET(CÁLCULO!$BB$15,ROW($X119)-ROW($X$15),-1))),IF($C119=0,0,ROUND(SomaAgrup,15-13*$AF$11)))</f>
        <v>10.86</v>
      </c>
      <c r="Y119" s="126" t="s">
        <v>751</v>
      </c>
      <c r="Z119" t="str">
        <f t="shared" ca="1" si="44"/>
        <v>RA</v>
      </c>
      <c r="AA119" s="127">
        <f ca="1">IF($C119="S",IF($Z119="CP",$X119,IF($Z119="RA",(($X119)*QCI!$AA$3),0)),SomaAgrup)</f>
        <v>2.9996824462107288</v>
      </c>
      <c r="AB119" s="128">
        <f t="shared" ca="1" si="30"/>
        <v>0</v>
      </c>
      <c r="AC119" s="565" t="e"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IF(AND(_xlfn.SINGLE(TIPOORCAMENTO)="Licitado",$AL119=0,$AN119&gt;0),"SEM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#NAME?</v>
      </c>
      <c r="AD119" t="str">
        <f ca="1">IF(C119&lt;=CRONO.NivelExibicao,MAX($AD$15:OFFSET(AD119,-1,0))+IF($C119&lt;&gt;1,1,MAX(1,COUNTIF(QCI!$A$13:$A$24,OFFSET($E119,-1,0)))),"")</f>
        <v/>
      </c>
      <c r="AE119" s="7" t="str">
        <f ca="1">IF(AND($C119="S",ORÇAMENTO.CodBarra&lt;&gt;""),IF(ORÇAMENTO.Fonte="",ORÇAMENTO.CodBarra,CONCATENATE(ORÇAMENTO.Fonte," ",ORÇAMENTO.CodBarra)))</f>
        <v>SICRO 5914622</v>
      </c>
      <c r="AF119" s="12">
        <f ca="1">IF(ISERROR(INDIRECT(ORÇAMENTO.BancoRef)),"(abra o arquivo 'Referência "&amp;Excel_BuiltIn_Database&amp;".xlsm)",IF(OR($C119&lt;&gt;"S",ORÇAMENTO.CodBarra=""),"(Sem Código)",IF(ISERROR(MATCH($AE119,INDIRECT(ORÇAMENTO.BancoRef),0)),"(Código não identificado nas referências)",MATCH($AE119,INDIRECT(ORÇAMENTO.BancoRef),0))))</f>
        <v>21997</v>
      </c>
      <c r="AG119" s="428">
        <f ca="1">ROUND(IF(DESONERACAO="sim",REFERENCIA.Desonerado,REFERENCIA.NaoDesonerado),2)</f>
        <v>2.2200000000000002</v>
      </c>
      <c r="AH119" s="429">
        <f t="shared" ca="1" si="31"/>
        <v>0.15</v>
      </c>
      <c r="AJ119" s="431"/>
      <c r="AL119" s="439"/>
      <c r="AM119" s="336">
        <f t="shared" ca="1" si="19"/>
        <v>10.86</v>
      </c>
      <c r="AN119" s="470">
        <f t="shared" ca="1" si="32"/>
        <v>2.5499999999999998</v>
      </c>
    </row>
    <row r="120" spans="1:40" ht="13.8" x14ac:dyDescent="0.3">
      <c r="A120" t="str">
        <f t="shared" si="29"/>
        <v>S</v>
      </c>
      <c r="B120">
        <f t="shared" ca="1" si="33"/>
        <v>2</v>
      </c>
      <c r="C120" t="str">
        <f t="shared" ca="1" si="34"/>
        <v>S</v>
      </c>
      <c r="D120">
        <f t="shared" ca="1" si="35"/>
        <v>0</v>
      </c>
      <c r="E120">
        <f ca="1">IF($C120=1,OFFSET(E120,-1,0)+MAX(1,COUNTIF(QCI!$A$13:$A$24,OFFSET(ORÇAMENTO!E120,-1,0))),OFFSET(E120,-1,0))</f>
        <v>3</v>
      </c>
      <c r="F120">
        <f t="shared" ca="1" si="36"/>
        <v>3</v>
      </c>
      <c r="G120">
        <f t="shared" ca="1" si="37"/>
        <v>0</v>
      </c>
      <c r="H120">
        <f t="shared" ca="1" si="38"/>
        <v>0</v>
      </c>
      <c r="I120">
        <f t="shared" ca="1" si="39"/>
        <v>4</v>
      </c>
      <c r="J120">
        <f t="shared" ca="1" si="28"/>
        <v>0</v>
      </c>
      <c r="K120">
        <f ca="1">IF(OR($C120="S",$C120=0),0,MATCH(OFFSET($D120,0,$C120)+IF($C120&lt;&gt;1,1,COUNTIF(QCI!$A$13:$A$24,ORÇAMENTO!E120)),OFFSET($D120,1,$C120,ROW($C$165)-ROW($C120)),0))</f>
        <v>0</v>
      </c>
      <c r="L120" s="114" t="str">
        <f t="shared" ca="1" si="40"/>
        <v>F</v>
      </c>
      <c r="M120" s="115" t="s">
        <v>705</v>
      </c>
      <c r="N120" s="116" t="str">
        <f t="shared" ca="1" si="41"/>
        <v>Serviço</v>
      </c>
      <c r="O120" s="117" t="str">
        <f t="shared" ca="1" si="42"/>
        <v>3.3.4.</v>
      </c>
      <c r="P120" s="118" t="s">
        <v>956</v>
      </c>
      <c r="Q120" s="119" t="s">
        <v>1021</v>
      </c>
      <c r="R120" s="120" t="str">
        <f ca="1">IF($C120="S",REFERENCIA.Descricao,"(digite a descrição aqui)")</f>
        <v>Concreto asfáltico - faixa C-12,5 - areia extraída e brita produzida</v>
      </c>
      <c r="S120" s="121" t="str">
        <f ca="1">REFERENCIA.Unidade</f>
        <v>t</v>
      </c>
      <c r="T120" s="122">
        <f ca="1">OFFSET(CÁLCULO!H$15,ROW($T120)-ROW(T$15),0)</f>
        <v>4.58</v>
      </c>
      <c r="U120" s="123">
        <f t="shared" ca="1" si="43"/>
        <v>142.19</v>
      </c>
      <c r="V120" s="124" t="s">
        <v>663</v>
      </c>
      <c r="W120" s="122">
        <f ca="1">IF($C120="S",ROUND(IF(TIPOORCAMENTO="Proposto",ORÇAMENTO.CustoUnitario*(1+$AH120),ORÇAMENTO.PrecoUnitarioLicitado),15-13*$AF$10),0)</f>
        <v>174.65</v>
      </c>
      <c r="X120" s="125" cm="1">
        <f t="array" aca="1" ref="X120" ca="1">IF($C120="S",IF(OR(Import.TipoArredondamento&lt;&gt;"TransfereGOV",ACOMPANHAMENTO="BM"),VTOTAL1,SUM(OFFSET(CÁLCULO!$AI$15,ROW($X120)-ROW($X$15),1):OFFSET(CÁLCULO!$BB$15,ROW($X120)-ROW($X$15),-1))),IF($C120=0,0,ROUND(SomaAgrup,15-13*$AF$11)))</f>
        <v>799.9</v>
      </c>
      <c r="Y120" s="126" t="s">
        <v>751</v>
      </c>
      <c r="Z120" t="str">
        <f t="shared" ca="1" si="44"/>
        <v>RA</v>
      </c>
      <c r="AA120" s="127">
        <f ca="1">IF($C120="S",IF($Z120="CP",$X120,IF($Z120="RA",(($X120)*QCI!$AA$3),0)),SomaAgrup)</f>
        <v>220.94346120846797</v>
      </c>
      <c r="AB120" s="128">
        <f t="shared" ca="1" si="30"/>
        <v>0</v>
      </c>
      <c r="AC120" s="565" t="e"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IF(AND(_xlfn.SINGLE(TIPOORCAMENTO)="Licitado",$AL120=0,$AN120&gt;0),"SEM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#NAME?</v>
      </c>
      <c r="AD120" t="str">
        <f ca="1">IF(C120&lt;=CRONO.NivelExibicao,MAX($AD$15:OFFSET(AD120,-1,0))+IF($C120&lt;&gt;1,1,MAX(1,COUNTIF(QCI!$A$13:$A$24,OFFSET($E120,-1,0)))),"")</f>
        <v/>
      </c>
      <c r="AE120" s="7" t="str">
        <f ca="1">IF(AND($C120="S",ORÇAMENTO.CodBarra&lt;&gt;""),IF(ORÇAMENTO.Fonte="",ORÇAMENTO.CodBarra,CONCATENATE(ORÇAMENTO.Fonte," ",ORÇAMENTO.CodBarra)))</f>
        <v>SICRO 4011462</v>
      </c>
      <c r="AF120" s="12">
        <f ca="1">IF(ISERROR(INDIRECT(ORÇAMENTO.BancoRef)),"(abra o arquivo 'Referência "&amp;Excel_BuiltIn_Database&amp;".xlsm)",IF(OR($C120&lt;&gt;"S",ORÇAMENTO.CodBarra=""),"(Sem Código)",IF(ISERROR(MATCH($AE120,INDIRECT(ORÇAMENTO.BancoRef),0)),"(Código não identificado nas referências)",MATCH($AE120,INDIRECT(ORÇAMENTO.BancoRef),0))))</f>
        <v>20360</v>
      </c>
      <c r="AG120" s="428">
        <f ca="1">ROUND(IF(DESONERACAO="sim",REFERENCIA.Desonerado,REFERENCIA.NaoDesonerado),2)</f>
        <v>142.19</v>
      </c>
      <c r="AH120" s="429">
        <f t="shared" ca="1" si="31"/>
        <v>0.2283</v>
      </c>
      <c r="AJ120" s="431"/>
      <c r="AL120" s="439"/>
      <c r="AM120" s="336">
        <f t="shared" ca="1" si="19"/>
        <v>799.9</v>
      </c>
      <c r="AN120" s="470">
        <f t="shared" ca="1" si="32"/>
        <v>174.65</v>
      </c>
    </row>
    <row r="121" spans="1:40" ht="13.8" x14ac:dyDescent="0.3">
      <c r="A121" t="str">
        <f t="shared" si="29"/>
        <v>S</v>
      </c>
      <c r="B121">
        <f t="shared" ca="1" si="33"/>
        <v>2</v>
      </c>
      <c r="C121" t="str">
        <f t="shared" ca="1" si="34"/>
        <v>S</v>
      </c>
      <c r="D121">
        <f t="shared" ca="1" si="35"/>
        <v>0</v>
      </c>
      <c r="E121">
        <f ca="1">IF($C121=1,OFFSET(E121,-1,0)+MAX(1,COUNTIF(QCI!$A$13:$A$24,OFFSET(ORÇAMENTO!E121,-1,0))),OFFSET(E121,-1,0))</f>
        <v>3</v>
      </c>
      <c r="F121">
        <f t="shared" ca="1" si="36"/>
        <v>3</v>
      </c>
      <c r="G121">
        <f t="shared" ca="1" si="37"/>
        <v>0</v>
      </c>
      <c r="H121">
        <f t="shared" ca="1" si="38"/>
        <v>0</v>
      </c>
      <c r="I121">
        <f t="shared" ca="1" si="39"/>
        <v>5</v>
      </c>
      <c r="J121">
        <f t="shared" ca="1" si="28"/>
        <v>0</v>
      </c>
      <c r="K121">
        <f ca="1">IF(OR($C121="S",$C121=0),0,MATCH(OFFSET($D121,0,$C121)+IF($C121&lt;&gt;1,1,COUNTIF(QCI!$A$13:$A$24,ORÇAMENTO!E121)),OFFSET($D121,1,$C121,ROW($C$165)-ROW($C121)),0))</f>
        <v>0</v>
      </c>
      <c r="L121" s="114" t="str">
        <f t="shared" ca="1" si="40"/>
        <v>F</v>
      </c>
      <c r="M121" s="115" t="s">
        <v>705</v>
      </c>
      <c r="N121" s="116" t="str">
        <f t="shared" ca="1" si="41"/>
        <v>Serviço</v>
      </c>
      <c r="O121" s="117" t="str">
        <f t="shared" ca="1" si="42"/>
        <v>3.3.5.</v>
      </c>
      <c r="P121" s="118" t="s">
        <v>956</v>
      </c>
      <c r="Q121" s="119" t="s">
        <v>1022</v>
      </c>
      <c r="R121" s="120" t="str">
        <f ca="1">IF($C121="S",REFERENCIA.Descricao,"(digite a descrição aqui)")</f>
        <v>Transporte com caminhão basculante de 10 m³ - rodovia pavimentada</v>
      </c>
      <c r="S121" s="121" t="str">
        <f ca="1">REFERENCIA.Unidade</f>
        <v>tkm</v>
      </c>
      <c r="T121" s="122">
        <f ca="1">OFFSET(CÁLCULO!H$15,ROW($T121)-ROW(T$15),0)</f>
        <v>96.18</v>
      </c>
      <c r="U121" s="123">
        <f t="shared" ca="1" si="43"/>
        <v>0.82</v>
      </c>
      <c r="V121" s="124" t="s">
        <v>663</v>
      </c>
      <c r="W121" s="122">
        <f ca="1">IF($C121="S",ROUND(IF(TIPOORCAMENTO="Proposto",ORÇAMENTO.CustoUnitario*(1+$AH121),ORÇAMENTO.PrecoUnitarioLicitado),15-13*$AF$10),0)</f>
        <v>1.01</v>
      </c>
      <c r="X121" s="125" cm="1">
        <f t="array" aca="1" ref="X121" ca="1">IF($C121="S",IF(OR(Import.TipoArredondamento&lt;&gt;"TransfereGOV",ACOMPANHAMENTO="BM"),VTOTAL1,SUM(OFFSET(CÁLCULO!$AI$15,ROW($X121)-ROW($X$15),1):OFFSET(CÁLCULO!$BB$15,ROW($X121)-ROW($X$15),-1))),IF($C121=0,0,ROUND(SomaAgrup,15-13*$AF$11)))</f>
        <v>97.14</v>
      </c>
      <c r="Y121" s="126" t="s">
        <v>751</v>
      </c>
      <c r="Z121" t="str">
        <f t="shared" ca="1" si="44"/>
        <v>RA</v>
      </c>
      <c r="AA121" s="127">
        <f ca="1">IF($C121="S",IF($Z121="CP",$X121,IF($Z121="RA",(($X121)*QCI!$AA$3),0)),SomaAgrup)</f>
        <v>26.831413703951217</v>
      </c>
      <c r="AB121" s="128">
        <f t="shared" ca="1" si="30"/>
        <v>0</v>
      </c>
      <c r="AC121" s="565" t="e"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IF(AND(_xlfn.SINGLE(TIPOORCAMENTO)="Licitado",$AL121=0,$AN121&gt;0),"SEM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#NAME?</v>
      </c>
      <c r="AD121" t="str">
        <f ca="1">IF(C121&lt;=CRONO.NivelExibicao,MAX($AD$15:OFFSET(AD121,-1,0))+IF($C121&lt;&gt;1,1,MAX(1,COUNTIF(QCI!$A$13:$A$24,OFFSET($E121,-1,0)))),"")</f>
        <v/>
      </c>
      <c r="AE121" s="7" t="str">
        <f ca="1">IF(AND($C121="S",ORÇAMENTO.CodBarra&lt;&gt;""),IF(ORÇAMENTO.Fonte="",ORÇAMENTO.CodBarra,CONCATENATE(ORÇAMENTO.Fonte," ",ORÇAMENTO.CodBarra)))</f>
        <v>SICRO 5914389</v>
      </c>
      <c r="AF121" s="12">
        <f ca="1">IF(ISERROR(INDIRECT(ORÇAMENTO.BancoRef)),"(abra o arquivo 'Referência "&amp;Excel_BuiltIn_Database&amp;".xlsm)",IF(OR($C121&lt;&gt;"S",ORÇAMENTO.CodBarra=""),"(Sem Código)",IF(ISERROR(MATCH($AE121,INDIRECT(ORÇAMENTO.BancoRef),0)),"(Código não identificado nas referências)",MATCH($AE121,INDIRECT(ORÇAMENTO.BancoRef),0))))</f>
        <v>21868</v>
      </c>
      <c r="AG121" s="428">
        <f ca="1">ROUND(IF(DESONERACAO="sim",REFERENCIA.Desonerado,REFERENCIA.NaoDesonerado),2)</f>
        <v>0.82</v>
      </c>
      <c r="AH121" s="429">
        <f t="shared" ca="1" si="31"/>
        <v>0.2283</v>
      </c>
      <c r="AJ121" s="431"/>
      <c r="AL121" s="439"/>
      <c r="AM121" s="336">
        <f t="shared" ca="1" si="19"/>
        <v>97.14</v>
      </c>
      <c r="AN121" s="470">
        <f t="shared" ca="1" si="32"/>
        <v>1.01</v>
      </c>
    </row>
    <row r="122" spans="1:40" ht="26.4" x14ac:dyDescent="0.3">
      <c r="A122" t="str">
        <f t="shared" si="29"/>
        <v>S</v>
      </c>
      <c r="B122">
        <f t="shared" ca="1" si="33"/>
        <v>2</v>
      </c>
      <c r="C122" t="str">
        <f t="shared" ca="1" si="34"/>
        <v>S</v>
      </c>
      <c r="D122">
        <f t="shared" ca="1" si="35"/>
        <v>0</v>
      </c>
      <c r="E122">
        <f ca="1">IF($C122=1,OFFSET(E122,-1,0)+MAX(1,COUNTIF(QCI!$A$13:$A$24,OFFSET(ORÇAMENTO!E122,-1,0))),OFFSET(E122,-1,0))</f>
        <v>3</v>
      </c>
      <c r="F122">
        <f t="shared" ca="1" si="36"/>
        <v>3</v>
      </c>
      <c r="G122">
        <f t="shared" ca="1" si="37"/>
        <v>0</v>
      </c>
      <c r="H122">
        <f t="shared" ca="1" si="38"/>
        <v>0</v>
      </c>
      <c r="I122">
        <f t="shared" ca="1" si="39"/>
        <v>6</v>
      </c>
      <c r="J122">
        <f t="shared" ca="1" si="28"/>
        <v>0</v>
      </c>
      <c r="K122">
        <f ca="1">IF(OR($C122="S",$C122=0),0,MATCH(OFFSET($D122,0,$C122)+IF($C122&lt;&gt;1,1,COUNTIF(QCI!$A$13:$A$24,ORÇAMENTO!E122)),OFFSET($D122,1,$C122,ROW($C$165)-ROW($C122)),0))</f>
        <v>0</v>
      </c>
      <c r="L122" s="114" t="str">
        <f t="shared" ca="1" si="40"/>
        <v>F</v>
      </c>
      <c r="M122" s="115" t="s">
        <v>705</v>
      </c>
      <c r="N122" s="116" t="str">
        <f t="shared" ca="1" si="41"/>
        <v>Serviço</v>
      </c>
      <c r="O122" s="117" t="str">
        <f t="shared" ca="1" si="42"/>
        <v>3.3.6.</v>
      </c>
      <c r="P122" s="118" t="s">
        <v>958</v>
      </c>
      <c r="Q122" s="119" t="s">
        <v>1023</v>
      </c>
      <c r="R122" s="120" t="str">
        <f ca="1">IF($C122="S",REFERENCIA.Descricao,"(digite a descrição aqui)")</f>
        <v>CIMENTO ASFÁLTICO CAP 50-70, COLETADO NA ANP, ACRESCIDO DE IMPOSTOS (ICMS, PIS, CONFINS)</v>
      </c>
      <c r="S122" s="121" t="str">
        <f ca="1">REFERENCIA.Unidade</f>
        <v>KG</v>
      </c>
      <c r="T122" s="122">
        <f ca="1">OFFSET(CÁLCULO!H$15,ROW($T122)-ROW(T$15),0)</f>
        <v>259.45999999999998</v>
      </c>
      <c r="U122" s="123">
        <f t="shared" ca="1" si="43"/>
        <v>4.8600000000000003</v>
      </c>
      <c r="V122" s="124" t="s">
        <v>697</v>
      </c>
      <c r="W122" s="122">
        <f ca="1">IF($C122="S",ROUND(IF(TIPOORCAMENTO="Proposto",ORÇAMENTO.CustoUnitario*(1+$AH122),ORÇAMENTO.PrecoUnitarioLicitado),15-13*$AF$10),0)</f>
        <v>5.59</v>
      </c>
      <c r="X122" s="125" cm="1">
        <f t="array" aca="1" ref="X122" ca="1">IF($C122="S",IF(OR(Import.TipoArredondamento&lt;&gt;"TransfereGOV",ACOMPANHAMENTO="BM"),VTOTAL1,SUM(OFFSET(CÁLCULO!$AI$15,ROW($X122)-ROW($X$15),1):OFFSET(CÁLCULO!$BB$15,ROW($X122)-ROW($X$15),-1))),IF($C122=0,0,ROUND(SomaAgrup,15-13*$AF$11)))</f>
        <v>1450.38</v>
      </c>
      <c r="Y122" s="126" t="s">
        <v>751</v>
      </c>
      <c r="Z122" t="str">
        <f t="shared" ca="1" si="44"/>
        <v>RA</v>
      </c>
      <c r="AA122" s="127">
        <f ca="1">IF($C122="S",IF($Z122="CP",$X122,IF($Z122="RA",(($X122)*QCI!$AA$3),0)),SomaAgrup)</f>
        <v>400.61504846548041</v>
      </c>
      <c r="AB122" s="128">
        <f t="shared" ca="1" si="30"/>
        <v>0</v>
      </c>
      <c r="AC122" s="565" t="e"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IF(AND(_xlfn.SINGLE(TIPOORCAMENTO)="Licitado",$AL122=0,$AN122&gt;0),"SEM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#NAME?</v>
      </c>
      <c r="AD122" t="str">
        <f ca="1">IF(C122&lt;=CRONO.NivelExibicao,MAX($AD$15:OFFSET(AD122,-1,0))+IF($C122&lt;&gt;1,1,MAX(1,COUNTIF(QCI!$A$13:$A$24,OFFSET($E122,-1,0)))),"")</f>
        <v/>
      </c>
      <c r="AE122" s="7" t="str">
        <f ca="1">IF(AND($C122="S",ORÇAMENTO.CodBarra&lt;&gt;""),IF(ORÇAMENTO.Fonte="",ORÇAMENTO.CodBarra,CONCATENATE(ORÇAMENTO.Fonte," ",ORÇAMENTO.CodBarra)))</f>
        <v>Cotação COT 03</v>
      </c>
      <c r="AF122" s="12">
        <f ca="1">IF(ISERROR(INDIRECT(ORÇAMENTO.BancoRef)),"(abra o arquivo 'Referência "&amp;Excel_BuiltIn_Database&amp;".xlsm)",IF(OR($C122&lt;&gt;"S",ORÇAMENTO.CodBarra=""),"(Sem Código)",IF(ISERROR(MATCH($AE122,INDIRECT(ORÇAMENTO.BancoRef),0)),"(Código não identificado nas referências)",MATCH($AE122,INDIRECT(ORÇAMENTO.BancoRef),0))))</f>
        <v>31</v>
      </c>
      <c r="AG122" s="428">
        <f ca="1">ROUND(IF(DESONERACAO="sim",REFERENCIA.Desonerado,REFERENCIA.NaoDesonerado),2)</f>
        <v>4.8600000000000003</v>
      </c>
      <c r="AH122" s="429">
        <f t="shared" ca="1" si="31"/>
        <v>0.15</v>
      </c>
      <c r="AJ122" s="431"/>
      <c r="AL122" s="439"/>
      <c r="AM122" s="336">
        <f t="shared" ca="1" si="19"/>
        <v>1450.38</v>
      </c>
      <c r="AN122" s="470">
        <f t="shared" ca="1" si="32"/>
        <v>5.59</v>
      </c>
    </row>
    <row r="123" spans="1:40" ht="26.4" x14ac:dyDescent="0.3">
      <c r="A123" t="str">
        <f t="shared" si="29"/>
        <v>S</v>
      </c>
      <c r="B123">
        <f t="shared" ca="1" si="33"/>
        <v>2</v>
      </c>
      <c r="C123" t="str">
        <f t="shared" ca="1" si="34"/>
        <v>S</v>
      </c>
      <c r="D123">
        <f t="shared" ca="1" si="35"/>
        <v>0</v>
      </c>
      <c r="E123">
        <f ca="1">IF($C123=1,OFFSET(E123,-1,0)+MAX(1,COUNTIF(QCI!$A$13:$A$24,OFFSET(ORÇAMENTO!E123,-1,0))),OFFSET(E123,-1,0))</f>
        <v>3</v>
      </c>
      <c r="F123">
        <f t="shared" ca="1" si="36"/>
        <v>3</v>
      </c>
      <c r="G123">
        <f t="shared" ca="1" si="37"/>
        <v>0</v>
      </c>
      <c r="H123">
        <f t="shared" ca="1" si="38"/>
        <v>0</v>
      </c>
      <c r="I123">
        <f t="shared" ca="1" si="39"/>
        <v>7</v>
      </c>
      <c r="J123">
        <f t="shared" ca="1" si="28"/>
        <v>0</v>
      </c>
      <c r="K123">
        <f ca="1">IF(OR($C123="S",$C123=0),0,MATCH(OFFSET($D123,0,$C123)+IF($C123&lt;&gt;1,1,COUNTIF(QCI!$A$13:$A$24,ORÇAMENTO!E123)),OFFSET($D123,1,$C123,ROW($C$165)-ROW($C123)),0))</f>
        <v>0</v>
      </c>
      <c r="L123" s="114" t="str">
        <f t="shared" ca="1" si="40"/>
        <v>F</v>
      </c>
      <c r="M123" s="115" t="s">
        <v>705</v>
      </c>
      <c r="N123" s="116" t="str">
        <f t="shared" ca="1" si="41"/>
        <v>Serviço</v>
      </c>
      <c r="O123" s="117" t="str">
        <f t="shared" ca="1" si="42"/>
        <v>3.3.7.</v>
      </c>
      <c r="P123" s="118" t="s">
        <v>956</v>
      </c>
      <c r="Q123" s="119" t="s">
        <v>1015</v>
      </c>
      <c r="R123" s="120" t="str">
        <f ca="1">IF($C123="S",REFERENCIA.Descricao,"(digite a descrição aqui)")</f>
        <v>Transporte de material betuminoso com caminhão tanque distribuidor - rodovia pavimentada</v>
      </c>
      <c r="S123" s="121" t="str">
        <f ca="1">REFERENCIA.Unidade</f>
        <v>tkm</v>
      </c>
      <c r="T123" s="122">
        <f ca="1">OFFSET(CÁLCULO!H$15,ROW($T123)-ROW(T$15),0)</f>
        <v>87.43</v>
      </c>
      <c r="U123" s="123">
        <f t="shared" ca="1" si="43"/>
        <v>2.2200000000000002</v>
      </c>
      <c r="V123" s="124" t="s">
        <v>697</v>
      </c>
      <c r="W123" s="122">
        <f ca="1">IF($C123="S",ROUND(IF(TIPOORCAMENTO="Proposto",ORÇAMENTO.CustoUnitario*(1+$AH123),ORÇAMENTO.PrecoUnitarioLicitado),15-13*$AF$10),0)</f>
        <v>2.5499999999999998</v>
      </c>
      <c r="X123" s="125" cm="1">
        <f t="array" aca="1" ref="X123" ca="1">IF($C123="S",IF(OR(Import.TipoArredondamento&lt;&gt;"TransfereGOV",ACOMPANHAMENTO="BM"),VTOTAL1,SUM(OFFSET(CÁLCULO!$AI$15,ROW($X123)-ROW($X$15),1):OFFSET(CÁLCULO!$BB$15,ROW($X123)-ROW($X$15),-1))),IF($C123=0,0,ROUND(SomaAgrup,15-13*$AF$11)))</f>
        <v>222.95</v>
      </c>
      <c r="Y123" s="126" t="s">
        <v>751</v>
      </c>
      <c r="Z123" t="str">
        <f t="shared" ca="1" si="44"/>
        <v>RA</v>
      </c>
      <c r="AA123" s="127">
        <f ca="1">IF($C123="S",IF($Z123="CP",$X123,IF($Z123="RA",(($X123)*QCI!$AA$3),0)),SomaAgrup)</f>
        <v>61.581878580357454</v>
      </c>
      <c r="AB123" s="128">
        <f t="shared" ca="1" si="30"/>
        <v>0</v>
      </c>
      <c r="AC123" s="565" t="e"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IF(AND(_xlfn.SINGLE(TIPOORCAMENTO)="Licitado",$AL123=0,$AN123&gt;0),"SEM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#NAME?</v>
      </c>
      <c r="AD123" t="str">
        <f ca="1">IF(C123&lt;=CRONO.NivelExibicao,MAX($AD$15:OFFSET(AD123,-1,0))+IF($C123&lt;&gt;1,1,MAX(1,COUNTIF(QCI!$A$13:$A$24,OFFSET($E123,-1,0)))),"")</f>
        <v/>
      </c>
      <c r="AE123" s="7" t="str">
        <f ca="1">IF(AND($C123="S",ORÇAMENTO.CodBarra&lt;&gt;""),IF(ORÇAMENTO.Fonte="",ORÇAMENTO.CodBarra,CONCATENATE(ORÇAMENTO.Fonte," ",ORÇAMENTO.CodBarra)))</f>
        <v>SICRO 5914622</v>
      </c>
      <c r="AF123" s="12">
        <f ca="1">IF(ISERROR(INDIRECT(ORÇAMENTO.BancoRef)),"(abra o arquivo 'Referência "&amp;Excel_BuiltIn_Database&amp;".xlsm)",IF(OR($C123&lt;&gt;"S",ORÇAMENTO.CodBarra=""),"(Sem Código)",IF(ISERROR(MATCH($AE123,INDIRECT(ORÇAMENTO.BancoRef),0)),"(Código não identificado nas referências)",MATCH($AE123,INDIRECT(ORÇAMENTO.BancoRef),0))))</f>
        <v>21997</v>
      </c>
      <c r="AG123" s="428">
        <f ca="1">ROUND(IF(DESONERACAO="sim",REFERENCIA.Desonerado,REFERENCIA.NaoDesonerado),2)</f>
        <v>2.2200000000000002</v>
      </c>
      <c r="AH123" s="429">
        <f t="shared" ca="1" si="31"/>
        <v>0.15</v>
      </c>
      <c r="AJ123" s="431"/>
      <c r="AL123" s="439"/>
      <c r="AM123" s="336">
        <f t="shared" ca="1" si="19"/>
        <v>222.95</v>
      </c>
      <c r="AN123" s="470">
        <f t="shared" ca="1" si="32"/>
        <v>2.5499999999999998</v>
      </c>
    </row>
    <row r="124" spans="1:40" ht="13.8" x14ac:dyDescent="0.3">
      <c r="A124">
        <f t="shared" si="29"/>
        <v>2</v>
      </c>
      <c r="B124">
        <f t="shared" ca="1" si="33"/>
        <v>2</v>
      </c>
      <c r="C124">
        <f t="shared" ca="1" si="34"/>
        <v>2</v>
      </c>
      <c r="D124">
        <f t="shared" ca="1" si="35"/>
        <v>4</v>
      </c>
      <c r="E124">
        <f ca="1">IF($C124=1,OFFSET(E124,-1,0)+MAX(1,COUNTIF(QCI!$A$13:$A$24,OFFSET(ORÇAMENTO!E124,-1,0))),OFFSET(E124,-1,0))</f>
        <v>3</v>
      </c>
      <c r="F124">
        <f t="shared" ca="1" si="36"/>
        <v>4</v>
      </c>
      <c r="G124">
        <f t="shared" ca="1" si="37"/>
        <v>0</v>
      </c>
      <c r="H124">
        <f t="shared" ca="1" si="38"/>
        <v>0</v>
      </c>
      <c r="I124">
        <f t="shared" ca="1" si="39"/>
        <v>0</v>
      </c>
      <c r="J124">
        <f t="shared" ca="1" si="28"/>
        <v>9</v>
      </c>
      <c r="K124">
        <f ca="1">IF(OR($C124="S",$C124=0),0,MATCH(OFFSET($D124,0,$C124)+IF($C124&lt;&gt;1,1,COUNTIF(QCI!$A$13:$A$24,ORÇAMENTO!E124)),OFFSET($D124,1,$C124,ROW($C$165)-ROW($C124)),0))</f>
        <v>4</v>
      </c>
      <c r="L124" s="114" t="str">
        <f t="shared" ca="1" si="40"/>
        <v>F</v>
      </c>
      <c r="M124" s="115" t="s">
        <v>702</v>
      </c>
      <c r="N124" s="116" t="str">
        <f t="shared" ca="1" si="41"/>
        <v>Nível 2</v>
      </c>
      <c r="O124" s="117" t="str">
        <f t="shared" ca="1" si="42"/>
        <v>3.4.</v>
      </c>
      <c r="P124" s="118" t="s">
        <v>956</v>
      </c>
      <c r="Q124" s="119"/>
      <c r="R124" s="120" t="s">
        <v>1063</v>
      </c>
      <c r="S124" s="121" t="str">
        <f ca="1">REFERENCIA.Unidade</f>
        <v>-</v>
      </c>
      <c r="T124" s="122">
        <f ca="1">OFFSET(CÁLCULO!H$15,ROW($T124)-ROW(T$15),0)</f>
        <v>0</v>
      </c>
      <c r="U124" s="123"/>
      <c r="V124" s="124" t="s">
        <v>663</v>
      </c>
      <c r="W124" s="122">
        <f ca="1">IF($C124="S",ROUND(IF(TIPOORCAMENTO="Proposto",ORÇAMENTO.CustoUnitario*(1+$AH124),ORÇAMENTO.PrecoUnitarioLicitado),15-13*$AF$10),0)</f>
        <v>0</v>
      </c>
      <c r="X124" s="125" cm="1">
        <f t="array" aca="1" ref="X124" ca="1">IF($C124="S",IF(OR(Import.TipoArredondamento&lt;&gt;"TransfereGOV",ACOMPANHAMENTO="BM"),VTOTAL1,SUM(OFFSET(CÁLCULO!$AI$15,ROW($X124)-ROW($X$15),1):OFFSET(CÁLCULO!$BB$15,ROW($X124)-ROW($X$15),-1))),IF($C124=0,0,ROUND(SomaAgrup,15-13*$AF$11)))</f>
        <v>4112.08</v>
      </c>
      <c r="Y124" s="126" t="s">
        <v>751</v>
      </c>
      <c r="Z124" t="str">
        <f t="shared" ca="1" si="44"/>
        <v/>
      </c>
      <c r="AA124" s="127">
        <f ca="1">IF($C124="S",IF($Z124="CP",$X124,IF($Z124="RA",(($X124)*QCI!$AA$3),0)),SomaAgrup)</f>
        <v>1135.8134616403513</v>
      </c>
      <c r="AB124" s="128">
        <f t="shared" ca="1" si="30"/>
        <v>0</v>
      </c>
      <c r="AC124" s="565" t="e"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IF(AND(_xlfn.SINGLE(TIPOORCAMENTO)="Licitado",$AL124=0,$AN124&gt;0),"SEM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#NAME?</v>
      </c>
      <c r="AD124">
        <f ca="1">IF(C124&lt;=CRONO.NivelExibicao,MAX($AD$15:OFFSET(AD124,-1,0))+IF($C124&lt;&gt;1,1,MAX(1,COUNTIF(QCI!$A$13:$A$24,OFFSET($E124,-1,0)))),"")</f>
        <v>20</v>
      </c>
      <c r="AE124" s="7" t="b">
        <f ca="1">IF(AND($C124="S",ORÇAMENTO.CodBarra&lt;&gt;""),IF(ORÇAMENTO.Fonte="",ORÇAMENTO.CodBarra,CONCATENATE(ORÇAMENTO.Fonte," ",ORÇAMENTO.CodBarra)))</f>
        <v>0</v>
      </c>
      <c r="AF124" s="12" t="str">
        <f ca="1">IF(ISERROR(INDIRECT(ORÇAMENTO.BancoRef)),"(abra o arquivo 'Referência "&amp;Excel_BuiltIn_Database&amp;".xlsm)",IF(OR($C124&lt;&gt;"S",ORÇAMENTO.CodBarra=""),"(Sem Código)",IF(ISERROR(MATCH($AE124,INDIRECT(ORÇAMENTO.BancoRef),0)),"(Código não identificado nas referências)",MATCH($AE124,INDIRECT(ORÇAMENTO.BancoRef),0))))</f>
        <v>(Sem Código)</v>
      </c>
      <c r="AG124" s="428">
        <f ca="1">ROUND(IF(DESONERACAO="sim",REFERENCIA.Desonerado,REFERENCIA.NaoDesonerado),2)</f>
        <v>0</v>
      </c>
      <c r="AH124" s="429">
        <f t="shared" ca="1" si="31"/>
        <v>0.2283</v>
      </c>
      <c r="AJ124" s="431"/>
      <c r="AL124" s="439"/>
      <c r="AM124" s="336">
        <f t="shared" ca="1" si="19"/>
        <v>4112.08</v>
      </c>
      <c r="AN124" s="470">
        <f t="shared" ca="1" si="32"/>
        <v>0</v>
      </c>
    </row>
    <row r="125" spans="1:40" ht="39.6" x14ac:dyDescent="0.3">
      <c r="A125" t="str">
        <f t="shared" si="29"/>
        <v>S</v>
      </c>
      <c r="B125">
        <f t="shared" ca="1" si="33"/>
        <v>2</v>
      </c>
      <c r="C125" t="str">
        <f t="shared" ca="1" si="34"/>
        <v>S</v>
      </c>
      <c r="D125">
        <f t="shared" ca="1" si="35"/>
        <v>0</v>
      </c>
      <c r="E125">
        <f ca="1">IF($C125=1,OFFSET(E125,-1,0)+MAX(1,COUNTIF(QCI!$A$13:$A$24,OFFSET(ORÇAMENTO!E125,-1,0))),OFFSET(E125,-1,0))</f>
        <v>3</v>
      </c>
      <c r="F125">
        <f t="shared" ca="1" si="36"/>
        <v>4</v>
      </c>
      <c r="G125">
        <f t="shared" ca="1" si="37"/>
        <v>0</v>
      </c>
      <c r="H125">
        <f t="shared" ca="1" si="38"/>
        <v>0</v>
      </c>
      <c r="I125">
        <f t="shared" ca="1" si="39"/>
        <v>1</v>
      </c>
      <c r="J125">
        <f t="shared" ca="1" si="28"/>
        <v>0</v>
      </c>
      <c r="K125">
        <f ca="1">IF(OR($C125="S",$C125=0),0,MATCH(OFFSET($D125,0,$C125)+IF($C125&lt;&gt;1,1,COUNTIF(QCI!$A$13:$A$24,ORÇAMENTO!E125)),OFFSET($D125,1,$C125,ROW($C$165)-ROW($C125)),0))</f>
        <v>0</v>
      </c>
      <c r="L125" s="114" t="str">
        <f t="shared" ca="1" si="40"/>
        <v>F</v>
      </c>
      <c r="M125" s="115" t="s">
        <v>705</v>
      </c>
      <c r="N125" s="116" t="str">
        <f t="shared" ca="1" si="41"/>
        <v>Serviço</v>
      </c>
      <c r="O125" s="117" t="str">
        <f t="shared" ca="1" si="42"/>
        <v>3.4.1.</v>
      </c>
      <c r="P125" s="118" t="s">
        <v>957</v>
      </c>
      <c r="Q125" s="119" t="s">
        <v>1054</v>
      </c>
      <c r="R125" s="120" t="str">
        <f ca="1">IF($C125="S",REFERENCIA.Descricao,"(digite a descrição aqui)")</f>
        <v xml:space="preserve">PINTURA DE EIXO VIÁRIO SOBRE ASFLATO COM TINTA RETRORREFLETIVA A BASE DE RESINA ACRÍLICA COM MICROESFERAS DE VIDRO, E= 10CM </v>
      </c>
      <c r="S125" s="121" t="str">
        <f ca="1">REFERENCIA.Unidade</f>
        <v>M</v>
      </c>
      <c r="T125" s="122">
        <f ca="1">OFFSET(CÁLCULO!H$15,ROW($T125)-ROW(T$15),0)</f>
        <v>201.3</v>
      </c>
      <c r="U125" s="123">
        <f ca="1">AG125</f>
        <v>5.19</v>
      </c>
      <c r="V125" s="124" t="s">
        <v>663</v>
      </c>
      <c r="W125" s="122">
        <f ca="1">IF($C125="S",ROUND(IF(TIPOORCAMENTO="Proposto",ORÇAMENTO.CustoUnitario*(1+$AH125),ORÇAMENTO.PrecoUnitarioLicitado),15-13*$AF$10),0)</f>
        <v>6.37</v>
      </c>
      <c r="X125" s="125" cm="1">
        <f t="array" aca="1" ref="X125" ca="1">IF($C125="S",IF(OR(Import.TipoArredondamento&lt;&gt;"TransfereGOV",ACOMPANHAMENTO="BM"),VTOTAL1,SUM(OFFSET(CÁLCULO!$AI$15,ROW($X125)-ROW($X$15),1):OFFSET(CÁLCULO!$BB$15,ROW($X125)-ROW($X$15),-1))),IF($C125=0,0,ROUND(SomaAgrup,15-13*$AF$11)))</f>
        <v>1282.28</v>
      </c>
      <c r="Y125" s="126" t="s">
        <v>751</v>
      </c>
      <c r="Z125" t="str">
        <f t="shared" ca="1" si="44"/>
        <v>RA</v>
      </c>
      <c r="AA125" s="127">
        <f ca="1">IF($C125="S",IF($Z125="CP",$X125,IF($Z125="RA",(($X125)*QCI!$AA$3),0)),SomaAgrup)</f>
        <v>354.1834997354598</v>
      </c>
      <c r="AB125" s="128">
        <f t="shared" ca="1" si="30"/>
        <v>0</v>
      </c>
      <c r="AC125" s="565" t="e"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IF(AND(_xlfn.SINGLE(TIPOORCAMENTO)="Licitado",$AL125=0,$AN125&gt;0),"SEM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#NAME?</v>
      </c>
      <c r="AD125" t="str">
        <f ca="1">IF(C125&lt;=CRONO.NivelExibicao,MAX($AD$15:OFFSET(AD125,-1,0))+IF($C125&lt;&gt;1,1,MAX(1,COUNTIF(QCI!$A$13:$A$24,OFFSET($E125,-1,0)))),"")</f>
        <v/>
      </c>
      <c r="AE125" s="7" t="str">
        <f ca="1">IF(AND($C125="S",ORÇAMENTO.CodBarra&lt;&gt;""),IF(ORÇAMENTO.Fonte="",ORÇAMENTO.CodBarra,CONCATENATE(ORÇAMENTO.Fonte," ",ORÇAMENTO.CodBarra)))</f>
        <v>Composição COMP 25</v>
      </c>
      <c r="AF125" s="12">
        <f ca="1">IF(ISERROR(INDIRECT(ORÇAMENTO.BancoRef)),"(abra o arquivo 'Referência "&amp;Excel_BuiltIn_Database&amp;".xlsm)",IF(OR($C125&lt;&gt;"S",ORÇAMENTO.CodBarra=""),"(Sem Código)",IF(ISERROR(MATCH($AE125,INDIRECT(ORÇAMENTO.BancoRef),0)),"(Código não identificado nas referências)",MATCH($AE125,INDIRECT(ORÇAMENTO.BancoRef),0))))</f>
        <v>27</v>
      </c>
      <c r="AG125" s="428">
        <f ca="1">ROUND(IF(DESONERACAO="sim",REFERENCIA.Desonerado,REFERENCIA.NaoDesonerado),2)</f>
        <v>5.19</v>
      </c>
      <c r="AH125" s="429">
        <f t="shared" ca="1" si="31"/>
        <v>0.2283</v>
      </c>
      <c r="AJ125" s="431"/>
      <c r="AL125" s="439"/>
      <c r="AM125" s="336">
        <f t="shared" ca="1" si="19"/>
        <v>1282.28</v>
      </c>
      <c r="AN125" s="470">
        <f t="shared" ca="1" si="32"/>
        <v>6.37</v>
      </c>
    </row>
    <row r="126" spans="1:40" ht="13.8" x14ac:dyDescent="0.3">
      <c r="A126" t="str">
        <f t="shared" si="29"/>
        <v>S</v>
      </c>
      <c r="B126">
        <f t="shared" ca="1" si="33"/>
        <v>2</v>
      </c>
      <c r="C126" t="str">
        <f t="shared" ca="1" si="34"/>
        <v>S</v>
      </c>
      <c r="D126">
        <f t="shared" ca="1" si="35"/>
        <v>0</v>
      </c>
      <c r="E126">
        <f ca="1">IF($C126=1,OFFSET(E126,-1,0)+MAX(1,COUNTIF(QCI!$A$13:$A$24,OFFSET(ORÇAMENTO!E126,-1,0))),OFFSET(E126,-1,0))</f>
        <v>3</v>
      </c>
      <c r="F126">
        <f t="shared" ca="1" si="36"/>
        <v>4</v>
      </c>
      <c r="G126">
        <f t="shared" ca="1" si="37"/>
        <v>0</v>
      </c>
      <c r="H126">
        <f t="shared" ca="1" si="38"/>
        <v>0</v>
      </c>
      <c r="I126">
        <f t="shared" ca="1" si="39"/>
        <v>2</v>
      </c>
      <c r="J126">
        <f t="shared" ca="1" si="28"/>
        <v>0</v>
      </c>
      <c r="K126">
        <f ca="1">IF(OR($C126="S",$C126=0),0,MATCH(OFFSET($D126,0,$C126)+IF($C126&lt;&gt;1,1,COUNTIF(QCI!$A$13:$A$24,ORÇAMENTO!E126)),OFFSET($D126,1,$C126,ROW($C$165)-ROW($C126)),0))</f>
        <v>0</v>
      </c>
      <c r="L126" s="114" t="str">
        <f t="shared" ca="1" si="40"/>
        <v>F</v>
      </c>
      <c r="M126" s="115" t="s">
        <v>705</v>
      </c>
      <c r="N126" s="116" t="str">
        <f t="shared" ca="1" si="41"/>
        <v>Serviço</v>
      </c>
      <c r="O126" s="117" t="str">
        <f t="shared" ca="1" si="42"/>
        <v>3.4.2.</v>
      </c>
      <c r="P126" s="118" t="s">
        <v>957</v>
      </c>
      <c r="Q126" s="119" t="s">
        <v>1055</v>
      </c>
      <c r="R126" s="120" t="str">
        <f ca="1">IF($C126="S",REFERENCIA.Descricao,"(digite a descrição aqui)")</f>
        <v>PLACA DE ADVERTÊNCIA QUADRADA LADO 0,60M</v>
      </c>
      <c r="S126" s="121" t="str">
        <f ca="1">REFERENCIA.Unidade</f>
        <v>UN</v>
      </c>
      <c r="T126" s="122">
        <f ca="1">OFFSET(CÁLCULO!H$15,ROW($T126)-ROW(T$15),0)</f>
        <v>2</v>
      </c>
      <c r="U126" s="123">
        <f ca="1">AG126</f>
        <v>784.59</v>
      </c>
      <c r="V126" s="124" t="s">
        <v>663</v>
      </c>
      <c r="W126" s="122">
        <f ca="1">IF($C126="S",ROUND(IF(TIPOORCAMENTO="Proposto",ORÇAMENTO.CustoUnitario*(1+$AH126),ORÇAMENTO.PrecoUnitarioLicitado),15-13*$AF$10),0)</f>
        <v>963.71</v>
      </c>
      <c r="X126" s="125" cm="1">
        <f t="array" aca="1" ref="X126" ca="1">IF($C126="S",IF(OR(Import.TipoArredondamento&lt;&gt;"TransfereGOV",ACOMPANHAMENTO="BM"),VTOTAL1,SUM(OFFSET(CÁLCULO!$AI$15,ROW($X126)-ROW($X$15),1):OFFSET(CÁLCULO!$BB$15,ROW($X126)-ROW($X$15),-1))),IF($C126=0,0,ROUND(SomaAgrup,15-13*$AF$11)))</f>
        <v>1927.42</v>
      </c>
      <c r="Y126" s="126" t="s">
        <v>751</v>
      </c>
      <c r="Z126" t="str">
        <f t="shared" ca="1" si="44"/>
        <v>RA</v>
      </c>
      <c r="AA126" s="127">
        <f ca="1">IF($C126="S",IF($Z126="CP",$X126,IF($Z126="RA",(($X126)*QCI!$AA$3),0)),SomaAgrup)</f>
        <v>532.38010501615872</v>
      </c>
      <c r="AB126" s="128">
        <f t="shared" ca="1" si="30"/>
        <v>0</v>
      </c>
      <c r="AC126" s="565" t="e"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IF(AND(_xlfn.SINGLE(TIPOORCAMENTO)="Licitado",$AL126=0,$AN126&gt;0),"SEM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#NAME?</v>
      </c>
      <c r="AD126" t="str">
        <f ca="1">IF(C126&lt;=CRONO.NivelExibicao,MAX($AD$15:OFFSET(AD126,-1,0))+IF($C126&lt;&gt;1,1,MAX(1,COUNTIF(QCI!$A$13:$A$24,OFFSET($E126,-1,0)))),"")</f>
        <v/>
      </c>
      <c r="AE126" s="7" t="str">
        <f ca="1">IF(AND($C126="S",ORÇAMENTO.CodBarra&lt;&gt;""),IF(ORÇAMENTO.Fonte="",ORÇAMENTO.CodBarra,CONCATENATE(ORÇAMENTO.Fonte," ",ORÇAMENTO.CodBarra)))</f>
        <v>Composição COMP 16</v>
      </c>
      <c r="AF126" s="12">
        <f ca="1">IF(ISERROR(INDIRECT(ORÇAMENTO.BancoRef)),"(abra o arquivo 'Referência "&amp;Excel_BuiltIn_Database&amp;".xlsm)",IF(OR($C126&lt;&gt;"S",ORÇAMENTO.CodBarra=""),"(Sem Código)",IF(ISERROR(MATCH($AE126,INDIRECT(ORÇAMENTO.BancoRef),0)),"(Código não identificado nas referências)",MATCH($AE126,INDIRECT(ORÇAMENTO.BancoRef),0))))</f>
        <v>18</v>
      </c>
      <c r="AG126" s="428">
        <f ca="1">ROUND(IF(DESONERACAO="sim",REFERENCIA.Desonerado,REFERENCIA.NaoDesonerado),2)</f>
        <v>784.59</v>
      </c>
      <c r="AH126" s="429">
        <f t="shared" ca="1" si="31"/>
        <v>0.2283</v>
      </c>
      <c r="AJ126" s="431"/>
      <c r="AL126" s="439"/>
      <c r="AM126" s="336">
        <f t="shared" ca="1" si="19"/>
        <v>1927.42</v>
      </c>
      <c r="AN126" s="470">
        <f t="shared" ca="1" si="32"/>
        <v>963.71</v>
      </c>
    </row>
    <row r="127" spans="1:40" ht="13.8" x14ac:dyDescent="0.3">
      <c r="A127" t="str">
        <f t="shared" si="29"/>
        <v>S</v>
      </c>
      <c r="B127">
        <f t="shared" ca="1" si="33"/>
        <v>2</v>
      </c>
      <c r="C127" t="str">
        <f t="shared" ca="1" si="34"/>
        <v>S</v>
      </c>
      <c r="D127">
        <f t="shared" ca="1" si="35"/>
        <v>0</v>
      </c>
      <c r="E127">
        <f ca="1">IF($C127=1,OFFSET(E127,-1,0)+MAX(1,COUNTIF(QCI!$A$13:$A$24,OFFSET(ORÇAMENTO!E127,-1,0))),OFFSET(E127,-1,0))</f>
        <v>3</v>
      </c>
      <c r="F127">
        <f t="shared" ca="1" si="36"/>
        <v>4</v>
      </c>
      <c r="G127">
        <f t="shared" ca="1" si="37"/>
        <v>0</v>
      </c>
      <c r="H127">
        <f t="shared" ca="1" si="38"/>
        <v>0</v>
      </c>
      <c r="I127">
        <f t="shared" ca="1" si="39"/>
        <v>3</v>
      </c>
      <c r="J127">
        <f t="shared" ca="1" si="28"/>
        <v>0</v>
      </c>
      <c r="K127">
        <f ca="1">IF(OR($C127="S",$C127=0),0,MATCH(OFFSET($D127,0,$C127)+IF($C127&lt;&gt;1,1,COUNTIF(QCI!$A$13:$A$24,ORÇAMENTO!E127)),OFFSET($D127,1,$C127,ROW($C$165)-ROW($C127)),0))</f>
        <v>0</v>
      </c>
      <c r="L127" s="114" t="str">
        <f t="shared" ca="1" si="40"/>
        <v>F</v>
      </c>
      <c r="M127" s="115" t="s">
        <v>705</v>
      </c>
      <c r="N127" s="116" t="str">
        <f t="shared" ca="1" si="41"/>
        <v>Serviço</v>
      </c>
      <c r="O127" s="117" t="str">
        <f t="shared" ca="1" si="42"/>
        <v>3.4.3.</v>
      </c>
      <c r="P127" s="118" t="s">
        <v>957</v>
      </c>
      <c r="Q127" s="119" t="s">
        <v>1049</v>
      </c>
      <c r="R127" s="120" t="str">
        <f ca="1">IF($C127="S",REFERENCIA.Descricao,"(digite a descrição aqui)")</f>
        <v>PLACA DE REGULAMENTAÇÃO OCTOGONAL LADO 0,25M</v>
      </c>
      <c r="S127" s="121" t="str">
        <f ca="1">REFERENCIA.Unidade</f>
        <v>UN</v>
      </c>
      <c r="T127" s="122">
        <f ca="1">OFFSET(CÁLCULO!H$15,ROW($T127)-ROW(T$15),0)</f>
        <v>1</v>
      </c>
      <c r="U127" s="123">
        <f ca="1">AG127</f>
        <v>734.66</v>
      </c>
      <c r="V127" s="124" t="s">
        <v>663</v>
      </c>
      <c r="W127" s="122">
        <f ca="1">IF($C127="S",ROUND(IF(TIPOORCAMENTO="Proposto",ORÇAMENTO.CustoUnitario*(1+$AH127),ORÇAMENTO.PrecoUnitarioLicitado),15-13*$AF$10),0)</f>
        <v>902.38</v>
      </c>
      <c r="X127" s="125" cm="1">
        <f t="array" aca="1" ref="X127" ca="1">IF($C127="S",IF(OR(Import.TipoArredondamento&lt;&gt;"TransfereGOV",ACOMPANHAMENTO="BM"),VTOTAL1,SUM(OFFSET(CÁLCULO!$AI$15,ROW($X127)-ROW($X$15),1):OFFSET(CÁLCULO!$BB$15,ROW($X127)-ROW($X$15),-1))),IF($C127=0,0,ROUND(SomaAgrup,15-13*$AF$11)))</f>
        <v>902.38</v>
      </c>
      <c r="Y127" s="126" t="s">
        <v>751</v>
      </c>
      <c r="Z127" t="str">
        <f t="shared" ca="1" si="44"/>
        <v>RA</v>
      </c>
      <c r="AA127" s="127">
        <f ca="1">IF($C127="S",IF($Z127="CP",$X127,IF($Z127="RA",(($X127)*QCI!$AA$3),0)),SomaAgrup)</f>
        <v>249.24985688873275</v>
      </c>
      <c r="AB127" s="128">
        <f t="shared" ca="1" si="30"/>
        <v>0</v>
      </c>
      <c r="AC127" s="565" t="e"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IF(AND(_xlfn.SINGLE(TIPOORCAMENTO)="Licitado",$AL127=0,$AN127&gt;0),"SEM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#NAME?</v>
      </c>
      <c r="AD127" t="str">
        <f ca="1">IF(C127&lt;=CRONO.NivelExibicao,MAX($AD$15:OFFSET(AD127,-1,0))+IF($C127&lt;&gt;1,1,MAX(1,COUNTIF(QCI!$A$13:$A$24,OFFSET($E127,-1,0)))),"")</f>
        <v/>
      </c>
      <c r="AE127" s="7" t="str">
        <f ca="1">IF(AND($C127="S",ORÇAMENTO.CodBarra&lt;&gt;""),IF(ORÇAMENTO.Fonte="",ORÇAMENTO.CodBarra,CONCATENATE(ORÇAMENTO.Fonte," ",ORÇAMENTO.CodBarra)))</f>
        <v>Composição COMP 18</v>
      </c>
      <c r="AF127" s="12">
        <f ca="1">IF(ISERROR(INDIRECT(ORÇAMENTO.BancoRef)),"(abra o arquivo 'Referência "&amp;Excel_BuiltIn_Database&amp;".xlsm)",IF(OR($C127&lt;&gt;"S",ORÇAMENTO.CodBarra=""),"(Sem Código)",IF(ISERROR(MATCH($AE127,INDIRECT(ORÇAMENTO.BancoRef),0)),"(Código não identificado nas referências)",MATCH($AE127,INDIRECT(ORÇAMENTO.BancoRef),0))))</f>
        <v>20</v>
      </c>
      <c r="AG127" s="428">
        <f ca="1">ROUND(IF(DESONERACAO="sim",REFERENCIA.Desonerado,REFERENCIA.NaoDesonerado),2)</f>
        <v>734.66</v>
      </c>
      <c r="AH127" s="429">
        <f t="shared" ca="1" si="31"/>
        <v>0.2283</v>
      </c>
      <c r="AJ127" s="431"/>
      <c r="AL127" s="439"/>
      <c r="AM127" s="336">
        <f t="shared" ca="1" si="19"/>
        <v>902.38</v>
      </c>
      <c r="AN127" s="470">
        <f t="shared" ca="1" si="32"/>
        <v>902.38</v>
      </c>
    </row>
    <row r="128" spans="1:40" ht="13.8" x14ac:dyDescent="0.3">
      <c r="A128">
        <f t="shared" si="29"/>
        <v>2</v>
      </c>
      <c r="B128">
        <f t="shared" ca="1" si="33"/>
        <v>2</v>
      </c>
      <c r="C128">
        <f t="shared" ca="1" si="34"/>
        <v>2</v>
      </c>
      <c r="D128">
        <f t="shared" ca="1" si="35"/>
        <v>5</v>
      </c>
      <c r="E128">
        <f ca="1">IF($C128=1,OFFSET(E128,-1,0)+MAX(1,COUNTIF(QCI!$A$13:$A$24,OFFSET(ORÇAMENTO!E128,-1,0))),OFFSET(E128,-1,0))</f>
        <v>3</v>
      </c>
      <c r="F128">
        <f t="shared" ca="1" si="36"/>
        <v>5</v>
      </c>
      <c r="G128">
        <f t="shared" ca="1" si="37"/>
        <v>0</v>
      </c>
      <c r="H128">
        <f t="shared" ca="1" si="38"/>
        <v>0</v>
      </c>
      <c r="I128">
        <f t="shared" ca="1" si="39"/>
        <v>0</v>
      </c>
      <c r="J128">
        <f t="shared" ca="1" si="28"/>
        <v>5</v>
      </c>
      <c r="K128" t="e">
        <f ca="1">IF(OR($C128="S",$C128=0),0,MATCH(OFFSET($D128,0,$C128)+IF($C128&lt;&gt;1,1,COUNTIF(QCI!$A$13:$A$24,ORÇAMENTO!E128)),OFFSET($D128,1,$C128,ROW($C$165)-ROW($C128)),0))</f>
        <v>#N/A</v>
      </c>
      <c r="L128" s="114" t="str">
        <f t="shared" ca="1" si="40"/>
        <v>F</v>
      </c>
      <c r="M128" s="115" t="s">
        <v>702</v>
      </c>
      <c r="N128" s="116" t="str">
        <f t="shared" ca="1" si="41"/>
        <v>Nível 2</v>
      </c>
      <c r="O128" s="117" t="str">
        <f t="shared" ca="1" si="42"/>
        <v>3.5.</v>
      </c>
      <c r="P128" s="118" t="s">
        <v>750</v>
      </c>
      <c r="Q128" s="119"/>
      <c r="R128" s="120" t="s">
        <v>1057</v>
      </c>
      <c r="S128" s="121" t="str">
        <f ca="1">REFERENCIA.Unidade</f>
        <v>-</v>
      </c>
      <c r="T128" s="122">
        <f ca="1">OFFSET(CÁLCULO!H$15,ROW($T128)-ROW(T$15),0)</f>
        <v>0</v>
      </c>
      <c r="U128" s="123"/>
      <c r="V128" s="124" t="s">
        <v>663</v>
      </c>
      <c r="W128" s="122">
        <f ca="1">IF($C128="S",ROUND(IF(TIPOORCAMENTO="Proposto",ORÇAMENTO.CustoUnitario*(1+$AH128),ORÇAMENTO.PrecoUnitarioLicitado),15-13*$AF$10),0)</f>
        <v>0</v>
      </c>
      <c r="X128" s="125" cm="1">
        <f t="array" aca="1" ref="X128" ca="1">IF($C128="S",IF(OR(Import.TipoArredondamento&lt;&gt;"TransfereGOV",ACOMPANHAMENTO="BM"),VTOTAL1,SUM(OFFSET(CÁLCULO!$AI$15,ROW($X128)-ROW($X$15),1):OFFSET(CÁLCULO!$BB$15,ROW($X128)-ROW($X$15),-1))),IF($C128=0,0,ROUND(SomaAgrup,15-13*$AF$11)))</f>
        <v>1131.9100000000001</v>
      </c>
      <c r="Y128" s="126" t="s">
        <v>751</v>
      </c>
      <c r="Z128" t="str">
        <f t="shared" ca="1" si="44"/>
        <v/>
      </c>
      <c r="AA128" s="127">
        <f ca="1">IF($C128="S",IF($Z128="CP",$X128,IF($Z128="RA",(($X128)*QCI!$AA$3),0)),SomaAgrup)</f>
        <v>312.64922262342412</v>
      </c>
      <c r="AB128" s="128">
        <f t="shared" ca="1" si="30"/>
        <v>0</v>
      </c>
      <c r="AC128" s="565" t="e"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IF(AND(_xlfn.SINGLE(TIPOORCAMENTO)="Licitado",$AL128=0,$AN128&gt;0),"SEM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#NAME?</v>
      </c>
      <c r="AD128">
        <f ca="1">IF(C128&lt;=CRONO.NivelExibicao,MAX($AD$15:OFFSET(AD128,-1,0))+IF($C128&lt;&gt;1,1,MAX(1,COUNTIF(QCI!$A$13:$A$24,OFFSET($E128,-1,0)))),"")</f>
        <v>21</v>
      </c>
      <c r="AE128" s="7" t="b">
        <f ca="1">IF(AND($C128="S",ORÇAMENTO.CodBarra&lt;&gt;""),IF(ORÇAMENTO.Fonte="",ORÇAMENTO.CodBarra,CONCATENATE(ORÇAMENTO.Fonte," ",ORÇAMENTO.CodBarra)))</f>
        <v>0</v>
      </c>
      <c r="AF128" s="12" t="str">
        <f ca="1">IF(ISERROR(INDIRECT(ORÇAMENTO.BancoRef)),"(abra o arquivo 'Referência "&amp;Excel_BuiltIn_Database&amp;".xlsm)",IF(OR($C128&lt;&gt;"S",ORÇAMENTO.CodBarra=""),"(Sem Código)",IF(ISERROR(MATCH($AE128,INDIRECT(ORÇAMENTO.BancoRef),0)),"(Código não identificado nas referências)",MATCH($AE128,INDIRECT(ORÇAMENTO.BancoRef),0))))</f>
        <v>(Sem Código)</v>
      </c>
      <c r="AG128" s="428">
        <f ca="1">ROUND(IF(DESONERACAO="sim",REFERENCIA.Desonerado,REFERENCIA.NaoDesonerado),2)</f>
        <v>0</v>
      </c>
      <c r="AH128" s="429">
        <f t="shared" ca="1" si="31"/>
        <v>0.2283</v>
      </c>
      <c r="AJ128" s="431"/>
      <c r="AL128" s="439"/>
      <c r="AM128" s="336">
        <f t="shared" ca="1" si="19"/>
        <v>1131.9100000000001</v>
      </c>
      <c r="AN128" s="470">
        <f t="shared" ca="1" si="32"/>
        <v>0</v>
      </c>
    </row>
    <row r="129" spans="1:40" ht="26.4" x14ac:dyDescent="0.3">
      <c r="A129" t="str">
        <f t="shared" si="29"/>
        <v>S</v>
      </c>
      <c r="B129">
        <f t="shared" ca="1" si="33"/>
        <v>2</v>
      </c>
      <c r="C129" t="str">
        <f t="shared" ca="1" si="34"/>
        <v>S</v>
      </c>
      <c r="D129">
        <f t="shared" ca="1" si="35"/>
        <v>0</v>
      </c>
      <c r="E129">
        <f ca="1">IF($C129=1,OFFSET(E129,-1,0)+MAX(1,COUNTIF(QCI!$A$13:$A$24,OFFSET(ORÇAMENTO!E129,-1,0))),OFFSET(E129,-1,0))</f>
        <v>3</v>
      </c>
      <c r="F129">
        <f t="shared" ca="1" si="36"/>
        <v>5</v>
      </c>
      <c r="G129">
        <f t="shared" ca="1" si="37"/>
        <v>0</v>
      </c>
      <c r="H129">
        <f t="shared" ca="1" si="38"/>
        <v>0</v>
      </c>
      <c r="I129">
        <f t="shared" ca="1" si="39"/>
        <v>1</v>
      </c>
      <c r="J129">
        <f t="shared" ca="1" si="28"/>
        <v>0</v>
      </c>
      <c r="K129">
        <f ca="1">IF(OR($C129="S",$C129=0),0,MATCH(OFFSET($D129,0,$C129)+IF($C129&lt;&gt;1,1,COUNTIF(QCI!$A$13:$A$24,ORÇAMENTO!E129)),OFFSET($D129,1,$C129,ROW($C$165)-ROW($C129)),0))</f>
        <v>0</v>
      </c>
      <c r="L129" s="114" t="str">
        <f t="shared" ca="1" si="40"/>
        <v>F</v>
      </c>
      <c r="M129" s="115" t="s">
        <v>705</v>
      </c>
      <c r="N129" s="116" t="str">
        <f t="shared" ca="1" si="41"/>
        <v>Serviço</v>
      </c>
      <c r="O129" s="117" t="str">
        <f t="shared" ca="1" si="42"/>
        <v>3.5.1.</v>
      </c>
      <c r="P129" s="118" t="s">
        <v>957</v>
      </c>
      <c r="Q129" s="119" t="s">
        <v>1027</v>
      </c>
      <c r="R129" s="120" t="str">
        <f ca="1">IF($C129="S",REFERENCIA.Descricao,"(digite a descrição aqui)")</f>
        <v>ENSAIO DE DETERMINAÇÃO DO TEOR DE BETUME - SOXHLET - CIMENTO ASFALTICO DE PETROLEO</v>
      </c>
      <c r="S129" s="121" t="str">
        <f ca="1">REFERENCIA.Unidade</f>
        <v>UN</v>
      </c>
      <c r="T129" s="122">
        <f ca="1">OFFSET(CÁLCULO!H$15,ROW($T129)-ROW(T$15),0)</f>
        <v>1</v>
      </c>
      <c r="U129" s="123">
        <f ca="1">AG129</f>
        <v>212.32</v>
      </c>
      <c r="V129" s="124" t="s">
        <v>663</v>
      </c>
      <c r="W129" s="122">
        <f ca="1">IF($C129="S",ROUND(IF(TIPOORCAMENTO="Proposto",ORÇAMENTO.CustoUnitario*(1+$AH129),ORÇAMENTO.PrecoUnitarioLicitado),15-13*$AF$10),0)</f>
        <v>260.79000000000002</v>
      </c>
      <c r="X129" s="125" cm="1">
        <f t="array" aca="1" ref="X129" ca="1">IF($C129="S",IF(OR(Import.TipoArredondamento&lt;&gt;"TransfereGOV",ACOMPANHAMENTO="BM"),VTOTAL1,SUM(OFFSET(CÁLCULO!$AI$15,ROW($X129)-ROW($X$15),1):OFFSET(CÁLCULO!$BB$15,ROW($X129)-ROW($X$15),-1))),IF($C129=0,0,ROUND(SomaAgrup,15-13*$AF$11)))</f>
        <v>260.79000000000002</v>
      </c>
      <c r="Y129" s="126" t="s">
        <v>751</v>
      </c>
      <c r="Z129" t="str">
        <f t="shared" ca="1" si="44"/>
        <v>RA</v>
      </c>
      <c r="AA129" s="127">
        <f ca="1">IF($C129="S",IF($Z129="CP",$X129,IF($Z129="RA",(($X129)*QCI!$AA$3),0)),SomaAgrup)</f>
        <v>72.033810787043834</v>
      </c>
      <c r="AB129" s="128">
        <f t="shared" ca="1" si="30"/>
        <v>0</v>
      </c>
      <c r="AC129" s="565" t="e"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IF(AND(_xlfn.SINGLE(TIPOORCAMENTO)="Licitado",$AL129=0,$AN129&gt;0),"SEM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#NAME?</v>
      </c>
      <c r="AD129" t="str">
        <f ca="1">IF(C129&lt;=CRONO.NivelExibicao,MAX($AD$15:OFFSET(AD129,-1,0))+IF($C129&lt;&gt;1,1,MAX(1,COUNTIF(QCI!$A$13:$A$24,OFFSET($E129,-1,0)))),"")</f>
        <v/>
      </c>
      <c r="AE129" s="7" t="str">
        <f ca="1">IF(AND($C129="S",ORÇAMENTO.CodBarra&lt;&gt;""),IF(ORÇAMENTO.Fonte="",ORÇAMENTO.CodBarra,CONCATENATE(ORÇAMENTO.Fonte," ",ORÇAMENTO.CodBarra)))</f>
        <v>Composição COMP 07</v>
      </c>
      <c r="AF129" s="12">
        <f ca="1">IF(ISERROR(INDIRECT(ORÇAMENTO.BancoRef)),"(abra o arquivo 'Referência "&amp;Excel_BuiltIn_Database&amp;".xlsm)",IF(OR($C129&lt;&gt;"S",ORÇAMENTO.CodBarra=""),"(Sem Código)",IF(ISERROR(MATCH($AE129,INDIRECT(ORÇAMENTO.BancoRef),0)),"(Código não identificado nas referências)",MATCH($AE129,INDIRECT(ORÇAMENTO.BancoRef),0))))</f>
        <v>9</v>
      </c>
      <c r="AG129" s="428">
        <f ca="1">ROUND(IF(DESONERACAO="sim",REFERENCIA.Desonerado,REFERENCIA.NaoDesonerado),2)</f>
        <v>212.32</v>
      </c>
      <c r="AH129" s="429">
        <f t="shared" ca="1" si="31"/>
        <v>0.2283</v>
      </c>
      <c r="AJ129" s="431"/>
      <c r="AL129" s="439"/>
      <c r="AM129" s="336">
        <f t="shared" ca="1" si="19"/>
        <v>260.79000000000002</v>
      </c>
      <c r="AN129" s="470">
        <f t="shared" ca="1" si="32"/>
        <v>260.79000000000002</v>
      </c>
    </row>
    <row r="130" spans="1:40" ht="13.8" x14ac:dyDescent="0.3">
      <c r="A130" t="str">
        <f t="shared" si="29"/>
        <v>S</v>
      </c>
      <c r="B130">
        <f t="shared" ca="1" si="33"/>
        <v>2</v>
      </c>
      <c r="C130" t="str">
        <f t="shared" ca="1" si="34"/>
        <v>S</v>
      </c>
      <c r="D130">
        <f t="shared" ca="1" si="35"/>
        <v>0</v>
      </c>
      <c r="E130">
        <f ca="1">IF($C130=1,OFFSET(E130,-1,0)+MAX(1,COUNTIF(QCI!$A$13:$A$24,OFFSET(ORÇAMENTO!E130,-1,0))),OFFSET(E130,-1,0))</f>
        <v>3</v>
      </c>
      <c r="F130">
        <f t="shared" ca="1" si="36"/>
        <v>5</v>
      </c>
      <c r="G130">
        <f t="shared" ca="1" si="37"/>
        <v>0</v>
      </c>
      <c r="H130">
        <f t="shared" ca="1" si="38"/>
        <v>0</v>
      </c>
      <c r="I130">
        <f t="shared" ca="1" si="39"/>
        <v>2</v>
      </c>
      <c r="J130">
        <f t="shared" ca="1" si="28"/>
        <v>0</v>
      </c>
      <c r="K130">
        <f ca="1">IF(OR($C130="S",$C130=0),0,MATCH(OFFSET($D130,0,$C130)+IF($C130&lt;&gt;1,1,COUNTIF(QCI!$A$13:$A$24,ORÇAMENTO!E130)),OFFSET($D130,1,$C130,ROW($C$165)-ROW($C130)),0))</f>
        <v>0</v>
      </c>
      <c r="L130" s="114" t="str">
        <f t="shared" ca="1" si="40"/>
        <v>F</v>
      </c>
      <c r="M130" s="115" t="s">
        <v>705</v>
      </c>
      <c r="N130" s="116" t="str">
        <f t="shared" ca="1" si="41"/>
        <v>Serviço</v>
      </c>
      <c r="O130" s="117" t="str">
        <f t="shared" ca="1" si="42"/>
        <v>3.5.2.</v>
      </c>
      <c r="P130" s="118" t="s">
        <v>957</v>
      </c>
      <c r="Q130" s="119" t="s">
        <v>1028</v>
      </c>
      <c r="R130" s="120" t="str">
        <f ca="1">IF($C130="S",REFERENCIA.Descricao,"(digite a descrição aqui)")</f>
        <v xml:space="preserve">ENSAIO MARSHALL - MISTURA BETUMINOSA À QUENTE </v>
      </c>
      <c r="S130" s="121" t="str">
        <f ca="1">REFERENCIA.Unidade</f>
        <v>UN</v>
      </c>
      <c r="T130" s="122">
        <f ca="1">OFFSET(CÁLCULO!H$15,ROW($T130)-ROW(T$15),0)</f>
        <v>1</v>
      </c>
      <c r="U130" s="123">
        <f ca="1">AG130</f>
        <v>424.66</v>
      </c>
      <c r="V130" s="124" t="s">
        <v>663</v>
      </c>
      <c r="W130" s="122">
        <f ca="1">IF($C130="S",ROUND(IF(TIPOORCAMENTO="Proposto",ORÇAMENTO.CustoUnitario*(1+$AH130),ORÇAMENTO.PrecoUnitarioLicitado),15-13*$AF$10),0)</f>
        <v>521.61</v>
      </c>
      <c r="X130" s="125" cm="1">
        <f t="array" aca="1" ref="X130" ca="1">IF($C130="S",IF(OR(Import.TipoArredondamento&lt;&gt;"TransfereGOV",ACOMPANHAMENTO="BM"),VTOTAL1,SUM(OFFSET(CÁLCULO!$AI$15,ROW($X130)-ROW($X$15),1):OFFSET(CÁLCULO!$BB$15,ROW($X130)-ROW($X$15),-1))),IF($C130=0,0,ROUND(SomaAgrup,15-13*$AF$11)))</f>
        <v>521.61</v>
      </c>
      <c r="Y130" s="126" t="s">
        <v>751</v>
      </c>
      <c r="Z130" t="str">
        <f t="shared" ca="1" si="44"/>
        <v>RA</v>
      </c>
      <c r="AA130" s="127">
        <f ca="1">IF($C130="S",IF($Z130="CP",$X130,IF($Z130="RA",(($X130)*QCI!$AA$3),0)),SomaAgrup)</f>
        <v>144.07590798968494</v>
      </c>
      <c r="AB130" s="128">
        <f t="shared" ca="1" si="30"/>
        <v>0</v>
      </c>
      <c r="AC130" s="565" t="e"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IF(AND(_xlfn.SINGLE(TIPOORCAMENTO)="Licitado",$AL130=0,$AN130&gt;0),"SEM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#NAME?</v>
      </c>
      <c r="AD130" t="str">
        <f ca="1">IF(C130&lt;=CRONO.NivelExibicao,MAX($AD$15:OFFSET(AD130,-1,0))+IF($C130&lt;&gt;1,1,MAX(1,COUNTIF(QCI!$A$13:$A$24,OFFSET($E130,-1,0)))),"")</f>
        <v/>
      </c>
      <c r="AE130" s="7" t="str">
        <f ca="1">IF(AND($C130="S",ORÇAMENTO.CodBarra&lt;&gt;""),IF(ORÇAMENTO.Fonte="",ORÇAMENTO.CodBarra,CONCATENATE(ORÇAMENTO.Fonte," ",ORÇAMENTO.CodBarra)))</f>
        <v>Composição COMP 08</v>
      </c>
      <c r="AF130" s="12">
        <f ca="1">IF(ISERROR(INDIRECT(ORÇAMENTO.BancoRef)),"(abra o arquivo 'Referência "&amp;Excel_BuiltIn_Database&amp;".xlsm)",IF(OR($C130&lt;&gt;"S",ORÇAMENTO.CodBarra=""),"(Sem Código)",IF(ISERROR(MATCH($AE130,INDIRECT(ORÇAMENTO.BancoRef),0)),"(Código não identificado nas referências)",MATCH($AE130,INDIRECT(ORÇAMENTO.BancoRef),0))))</f>
        <v>10</v>
      </c>
      <c r="AG130" s="428">
        <f ca="1">ROUND(IF(DESONERACAO="sim",REFERENCIA.Desonerado,REFERENCIA.NaoDesonerado),2)</f>
        <v>424.66</v>
      </c>
      <c r="AH130" s="429">
        <f t="shared" ca="1" si="31"/>
        <v>0.2283</v>
      </c>
      <c r="AJ130" s="431"/>
      <c r="AL130" s="439"/>
      <c r="AM130" s="336">
        <f t="shared" ca="1" si="19"/>
        <v>521.61</v>
      </c>
      <c r="AN130" s="470">
        <f t="shared" ca="1" si="32"/>
        <v>521.61</v>
      </c>
    </row>
    <row r="131" spans="1:40" ht="39.6" x14ac:dyDescent="0.3">
      <c r="A131" t="str">
        <f t="shared" si="29"/>
        <v>S</v>
      </c>
      <c r="B131">
        <f t="shared" ca="1" si="33"/>
        <v>2</v>
      </c>
      <c r="C131" t="str">
        <f t="shared" ca="1" si="34"/>
        <v>S</v>
      </c>
      <c r="D131">
        <f t="shared" ca="1" si="35"/>
        <v>0</v>
      </c>
      <c r="E131">
        <f ca="1">IF($C131=1,OFFSET(E131,-1,0)+MAX(1,COUNTIF(QCI!$A$13:$A$24,OFFSET(ORÇAMENTO!E131,-1,0))),OFFSET(E131,-1,0))</f>
        <v>3</v>
      </c>
      <c r="F131">
        <f t="shared" ca="1" si="36"/>
        <v>5</v>
      </c>
      <c r="G131">
        <f t="shared" ca="1" si="37"/>
        <v>0</v>
      </c>
      <c r="H131">
        <f t="shared" ca="1" si="38"/>
        <v>0</v>
      </c>
      <c r="I131">
        <f t="shared" ca="1" si="39"/>
        <v>3</v>
      </c>
      <c r="J131">
        <f t="shared" ca="1" si="28"/>
        <v>0</v>
      </c>
      <c r="K131">
        <f ca="1">IF(OR($C131="S",$C131=0),0,MATCH(OFFSET($D131,0,$C131)+IF($C131&lt;&gt;1,1,COUNTIF(QCI!$A$13:$A$24,ORÇAMENTO!E131)),OFFSET($D131,1,$C131,ROW($C$165)-ROW($C131)),0))</f>
        <v>0</v>
      </c>
      <c r="L131" s="114" t="str">
        <f t="shared" ca="1" si="40"/>
        <v>F</v>
      </c>
      <c r="M131" s="115" t="s">
        <v>705</v>
      </c>
      <c r="N131" s="116" t="str">
        <f t="shared" ca="1" si="41"/>
        <v>Serviço</v>
      </c>
      <c r="O131" s="117" t="str">
        <f t="shared" ca="1" si="42"/>
        <v>3.5.3.</v>
      </c>
      <c r="P131" s="118" t="s">
        <v>957</v>
      </c>
      <c r="Q131" s="119" t="s">
        <v>1029</v>
      </c>
      <c r="R131" s="120" t="str">
        <f ca="1">IF($C131="S",REFERENCIA.Descricao,"(digite a descrição aqui)")</f>
        <v xml:space="preserve">ENSAIO DE CONTROLE DO GRAU DE COMPACTAÇÃO, DENSIDADE E ESPESSURA DA MASSA ASFÁLTICA COM COLETA ATRAVÉS DE SONDA ROTATIVA </v>
      </c>
      <c r="S131" s="121" t="str">
        <f ca="1">REFERENCIA.Unidade</f>
        <v>UN</v>
      </c>
      <c r="T131" s="122">
        <f ca="1">OFFSET(CÁLCULO!H$15,ROW($T131)-ROW(T$15),0)</f>
        <v>1</v>
      </c>
      <c r="U131" s="123">
        <f ca="1">AG131</f>
        <v>111.32</v>
      </c>
      <c r="V131" s="124" t="s">
        <v>663</v>
      </c>
      <c r="W131" s="122">
        <f ca="1">IF($C131="S",ROUND(IF(TIPOORCAMENTO="Proposto",ORÇAMENTO.CustoUnitario*(1+$AH131),ORÇAMENTO.PrecoUnitarioLicitado),15-13*$AF$10),0)</f>
        <v>136.72999999999999</v>
      </c>
      <c r="X131" s="125" cm="1">
        <f t="array" aca="1" ref="X131" ca="1">IF($C131="S",IF(OR(Import.TipoArredondamento&lt;&gt;"TransfereGOV",ACOMPANHAMENTO="BM"),VTOTAL1,SUM(OFFSET(CÁLCULO!$AI$15,ROW($X131)-ROW($X$15),1):OFFSET(CÁLCULO!$BB$15,ROW($X131)-ROW($X$15),-1))),IF($C131=0,0,ROUND(SomaAgrup,15-13*$AF$11)))</f>
        <v>136.72999999999999</v>
      </c>
      <c r="Y131" s="126" t="s">
        <v>751</v>
      </c>
      <c r="Z131" t="str">
        <f t="shared" ca="1" si="44"/>
        <v>RA</v>
      </c>
      <c r="AA131" s="127">
        <f ca="1">IF($C131="S",IF($Z131="CP",$X131,IF($Z131="RA",(($X131)*QCI!$AA$3),0)),SomaAgrup)</f>
        <v>37.766720153811505</v>
      </c>
      <c r="AB131" s="128">
        <f t="shared" ca="1" si="30"/>
        <v>0</v>
      </c>
      <c r="AC131" s="565" t="e"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IF(AND(_xlfn.SINGLE(TIPOORCAMENTO)="Licitado",$AL131=0,$AN131&gt;0),"SEM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#NAME?</v>
      </c>
      <c r="AD131" t="str">
        <f ca="1">IF(C131&lt;=CRONO.NivelExibicao,MAX($AD$15:OFFSET(AD131,-1,0))+IF($C131&lt;&gt;1,1,MAX(1,COUNTIF(QCI!$A$13:$A$24,OFFSET($E131,-1,0)))),"")</f>
        <v/>
      </c>
      <c r="AE131" s="7" t="str">
        <f ca="1">IF(AND($C131="S",ORÇAMENTO.CodBarra&lt;&gt;""),IF(ORÇAMENTO.Fonte="",ORÇAMENTO.CodBarra,CONCATENATE(ORÇAMENTO.Fonte," ",ORÇAMENTO.CodBarra)))</f>
        <v>Composição COMP 09</v>
      </c>
      <c r="AF131" s="12">
        <f ca="1">IF(ISERROR(INDIRECT(ORÇAMENTO.BancoRef)),"(abra o arquivo 'Referência "&amp;Excel_BuiltIn_Database&amp;".xlsm)",IF(OR($C131&lt;&gt;"S",ORÇAMENTO.CodBarra=""),"(Sem Código)",IF(ISERROR(MATCH($AE131,INDIRECT(ORÇAMENTO.BancoRef),0)),"(Código não identificado nas referências)",MATCH($AE131,INDIRECT(ORÇAMENTO.BancoRef),0))))</f>
        <v>11</v>
      </c>
      <c r="AG131" s="428">
        <f ca="1">ROUND(IF(DESONERACAO="sim",REFERENCIA.Desonerado,REFERENCIA.NaoDesonerado),2)</f>
        <v>111.32</v>
      </c>
      <c r="AH131" s="429">
        <f t="shared" ca="1" si="31"/>
        <v>0.2283</v>
      </c>
      <c r="AJ131" s="431"/>
      <c r="AL131" s="439"/>
      <c r="AM131" s="336">
        <f t="shared" ca="1" si="19"/>
        <v>136.72999999999999</v>
      </c>
      <c r="AN131" s="470">
        <f t="shared" ca="1" si="32"/>
        <v>136.72999999999999</v>
      </c>
    </row>
    <row r="132" spans="1:40" ht="13.8" x14ac:dyDescent="0.3">
      <c r="A132" t="str">
        <f t="shared" si="29"/>
        <v>S</v>
      </c>
      <c r="B132">
        <f t="shared" ca="1" si="33"/>
        <v>2</v>
      </c>
      <c r="C132" t="str">
        <f t="shared" ca="1" si="34"/>
        <v>S</v>
      </c>
      <c r="D132">
        <f t="shared" ca="1" si="35"/>
        <v>0</v>
      </c>
      <c r="E132">
        <f ca="1">IF($C132=1,OFFSET(E132,-1,0)+MAX(1,COUNTIF(QCI!$A$13:$A$24,OFFSET(ORÇAMENTO!E132,-1,0))),OFFSET(E132,-1,0))</f>
        <v>3</v>
      </c>
      <c r="F132">
        <f t="shared" ca="1" si="36"/>
        <v>5</v>
      </c>
      <c r="G132">
        <f t="shared" ca="1" si="37"/>
        <v>0</v>
      </c>
      <c r="H132">
        <f t="shared" ca="1" si="38"/>
        <v>0</v>
      </c>
      <c r="I132">
        <f t="shared" ca="1" si="39"/>
        <v>4</v>
      </c>
      <c r="J132">
        <f t="shared" ca="1" si="28"/>
        <v>0</v>
      </c>
      <c r="K132">
        <f ca="1">IF(OR($C132="S",$C132=0),0,MATCH(OFFSET($D132,0,$C132)+IF($C132&lt;&gt;1,1,COUNTIF(QCI!$A$13:$A$24,ORÇAMENTO!E132)),OFFSET($D132,1,$C132,ROW($C$165)-ROW($C132)),0))</f>
        <v>0</v>
      </c>
      <c r="L132" s="114" t="str">
        <f t="shared" ca="1" si="40"/>
        <v>F</v>
      </c>
      <c r="M132" s="115" t="s">
        <v>705</v>
      </c>
      <c r="N132" s="116" t="str">
        <f t="shared" ca="1" si="41"/>
        <v>Serviço</v>
      </c>
      <c r="O132" s="117" t="str">
        <f t="shared" ca="1" si="42"/>
        <v>3.5.4.</v>
      </c>
      <c r="P132" s="118" t="s">
        <v>957</v>
      </c>
      <c r="Q132" s="119" t="s">
        <v>1031</v>
      </c>
      <c r="R132" s="120" t="str">
        <f ca="1">IF($C132="S",REFERENCIA.Descricao,"(digite a descrição aqui)")</f>
        <v xml:space="preserve">ENSAIO BANDEJA DO LIGANTE DE PINTURA </v>
      </c>
      <c r="S132" s="121" t="str">
        <f ca="1">REFERENCIA.Unidade</f>
        <v>UN</v>
      </c>
      <c r="T132" s="122">
        <f ca="1">OFFSET(CÁLCULO!H$15,ROW($T132)-ROW(T$15),0)</f>
        <v>1</v>
      </c>
      <c r="U132" s="123">
        <f ca="1">AG132</f>
        <v>173.23</v>
      </c>
      <c r="V132" s="124" t="s">
        <v>663</v>
      </c>
      <c r="W132" s="122">
        <f ca="1">IF($C132="S",ROUND(IF(TIPOORCAMENTO="Proposto",ORÇAMENTO.CustoUnitario*(1+$AH132),ORÇAMENTO.PrecoUnitarioLicitado),15-13*$AF$10),0)</f>
        <v>212.78</v>
      </c>
      <c r="X132" s="125" cm="1">
        <f t="array" aca="1" ref="X132" ca="1">IF($C132="S",IF(OR(Import.TipoArredondamento&lt;&gt;"TransfereGOV",ACOMPANHAMENTO="BM"),VTOTAL1,SUM(OFFSET(CÁLCULO!$AI$15,ROW($X132)-ROW($X$15),1):OFFSET(CÁLCULO!$BB$15,ROW($X132)-ROW($X$15),-1))),IF($C132=0,0,ROUND(SomaAgrup,15-13*$AF$11)))</f>
        <v>212.78</v>
      </c>
      <c r="Y132" s="126" t="s">
        <v>751</v>
      </c>
      <c r="Z132" t="str">
        <f t="shared" ca="1" si="44"/>
        <v>RA</v>
      </c>
      <c r="AA132" s="127">
        <f ca="1">IF($C132="S",IF($Z132="CP",$X132,IF($Z132="RA",(($X132)*QCI!$AA$3),0)),SomaAgrup)</f>
        <v>58.772783692883877</v>
      </c>
      <c r="AB132" s="128">
        <f t="shared" ca="1" si="30"/>
        <v>0</v>
      </c>
      <c r="AC132" s="565" t="e"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IF(AND(_xlfn.SINGLE(TIPOORCAMENTO)="Licitado",$AL132=0,$AN132&gt;0),"SEM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#NAME?</v>
      </c>
      <c r="AD132" t="str">
        <f ca="1">IF(C132&lt;=CRONO.NivelExibicao,MAX($AD$15:OFFSET(AD132,-1,0))+IF($C132&lt;&gt;1,1,MAX(1,COUNTIF(QCI!$A$13:$A$24,OFFSET($E132,-1,0)))),"")</f>
        <v/>
      </c>
      <c r="AE132" s="7" t="str">
        <f ca="1">IF(AND($C132="S",ORÇAMENTO.CodBarra&lt;&gt;""),IF(ORÇAMENTO.Fonte="",ORÇAMENTO.CodBarra,CONCATENATE(ORÇAMENTO.Fonte," ",ORÇAMENTO.CodBarra)))</f>
        <v>Composição COMP 10</v>
      </c>
      <c r="AF132" s="12">
        <f ca="1">IF(ISERROR(INDIRECT(ORÇAMENTO.BancoRef)),"(abra o arquivo 'Referência "&amp;Excel_BuiltIn_Database&amp;".xlsm)",IF(OR($C132&lt;&gt;"S",ORÇAMENTO.CodBarra=""),"(Sem Código)",IF(ISERROR(MATCH($AE132,INDIRECT(ORÇAMENTO.BancoRef),0)),"(Código não identificado nas referências)",MATCH($AE132,INDIRECT(ORÇAMENTO.BancoRef),0))))</f>
        <v>12</v>
      </c>
      <c r="AG132" s="428">
        <f ca="1">ROUND(IF(DESONERACAO="sim",REFERENCIA.Desonerado,REFERENCIA.NaoDesonerado),2)</f>
        <v>173.23</v>
      </c>
      <c r="AH132" s="429">
        <f t="shared" ca="1" si="31"/>
        <v>0.2283</v>
      </c>
      <c r="AJ132" s="431"/>
      <c r="AL132" s="439"/>
      <c r="AM132" s="336">
        <f t="shared" ca="1" si="19"/>
        <v>212.78</v>
      </c>
      <c r="AN132" s="470">
        <f t="shared" ca="1" si="32"/>
        <v>212.78</v>
      </c>
    </row>
    <row r="133" spans="1:40" ht="13.8" x14ac:dyDescent="0.3">
      <c r="A133">
        <f t="shared" si="29"/>
        <v>1</v>
      </c>
      <c r="B133">
        <f t="shared" ca="1" si="33"/>
        <v>1</v>
      </c>
      <c r="C133">
        <f t="shared" ca="1" si="34"/>
        <v>1</v>
      </c>
      <c r="D133">
        <f t="shared" ca="1" si="35"/>
        <v>32</v>
      </c>
      <c r="E133">
        <f ca="1">IF($C133=1,OFFSET(E133,-1,0)+MAX(1,COUNTIF(QCI!$A$13:$A$24,OFFSET(ORÇAMENTO!E133,-1,0))),OFFSET(E133,-1,0))</f>
        <v>4</v>
      </c>
      <c r="F133">
        <f t="shared" ca="1" si="36"/>
        <v>0</v>
      </c>
      <c r="G133">
        <f t="shared" ca="1" si="37"/>
        <v>0</v>
      </c>
      <c r="H133">
        <f t="shared" ca="1" si="38"/>
        <v>0</v>
      </c>
      <c r="I133">
        <f t="shared" ca="1" si="39"/>
        <v>0</v>
      </c>
      <c r="J133">
        <f t="shared" ca="1" si="28"/>
        <v>32</v>
      </c>
      <c r="K133" t="e">
        <f ca="1">IF(OR($C133="S",$C133=0),0,MATCH(OFFSET($D133,0,$C133)+IF($C133&lt;&gt;1,1,COUNTIF(QCI!$A$13:$A$24,ORÇAMENTO!E133)),OFFSET($D133,1,$C133,ROW($C$165)-ROW($C133)),0))</f>
        <v>#N/A</v>
      </c>
      <c r="L133" s="114" t="str">
        <f t="shared" ca="1" si="40"/>
        <v>F</v>
      </c>
      <c r="M133" s="115" t="s">
        <v>701</v>
      </c>
      <c r="N133" s="116" t="str">
        <f t="shared" ca="1" si="41"/>
        <v>Meta</v>
      </c>
      <c r="O133" s="117" t="str">
        <f t="shared" ca="1" si="42"/>
        <v>4.</v>
      </c>
      <c r="P133" s="118" t="s">
        <v>750</v>
      </c>
      <c r="Q133" s="119"/>
      <c r="R133" s="120" t="s">
        <v>1064</v>
      </c>
      <c r="S133" s="121" t="str">
        <f ca="1">REFERENCIA.Unidade</f>
        <v>-</v>
      </c>
      <c r="T133" s="122">
        <f ca="1">OFFSET(CÁLCULO!H$15,ROW($T133)-ROW(T$15),0)</f>
        <v>0</v>
      </c>
      <c r="U133" s="123"/>
      <c r="V133" s="124" t="s">
        <v>663</v>
      </c>
      <c r="W133" s="122">
        <f ca="1">IF($C133="S",ROUND(IF(TIPOORCAMENTO="Proposto",ORÇAMENTO.CustoUnitario*(1+$AH133),ORÇAMENTO.PrecoUnitarioLicitado),15-13*$AF$10),0)</f>
        <v>0</v>
      </c>
      <c r="X133" s="125" cm="1">
        <f t="array" aca="1" ref="X133" ca="1">IF($C133="S",IF(OR(Import.TipoArredondamento&lt;&gt;"TransfereGOV",ACOMPANHAMENTO="BM"),VTOTAL1,SUM(OFFSET(CÁLCULO!$AI$15,ROW($X133)-ROW($X$15),1):OFFSET(CÁLCULO!$BB$15,ROW($X133)-ROW($X$15),-1))),IF($C133=0,0,ROUND(SomaAgrup,15-13*$AF$11)))</f>
        <v>404585.45</v>
      </c>
      <c r="Y133" s="126" t="s">
        <v>751</v>
      </c>
      <c r="Z133" t="str">
        <f t="shared" ca="1" si="44"/>
        <v/>
      </c>
      <c r="AA133" s="127">
        <f ca="1">IF($C133="S",IF($Z133="CP",$X133,IF($Z133="RA",(($X133)*QCI!$AA$3),0)),SomaAgrup)</f>
        <v>111752.10611024573</v>
      </c>
      <c r="AB133" s="128">
        <f t="shared" ca="1" si="30"/>
        <v>0</v>
      </c>
      <c r="AC133" s="565" t="e"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IF(AND(_xlfn.SINGLE(TIPOORCAMENTO)="Licitado",$AL133=0,$AN133&gt;0),"SEM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#NAME?</v>
      </c>
      <c r="AD133">
        <f ca="1">IF(C133&lt;=CRONO.NivelExibicao,MAX($AD$15:OFFSET(AD133,-1,0))+IF($C133&lt;&gt;1,1,MAX(1,COUNTIF(QCI!$A$13:$A$24,OFFSET($E133,-1,0)))),"")</f>
        <v>22</v>
      </c>
      <c r="AE133" s="7" t="b">
        <f ca="1">IF(AND($C133="S",ORÇAMENTO.CodBarra&lt;&gt;""),IF(ORÇAMENTO.Fonte="",ORÇAMENTO.CodBarra,CONCATENATE(ORÇAMENTO.Fonte," ",ORÇAMENTO.CodBarra)))</f>
        <v>0</v>
      </c>
      <c r="AF133" s="12" t="str">
        <f ca="1">IF(ISERROR(INDIRECT(ORÇAMENTO.BancoRef)),"(abra o arquivo 'Referência "&amp;Excel_BuiltIn_Database&amp;".xlsm)",IF(OR($C133&lt;&gt;"S",ORÇAMENTO.CodBarra=""),"(Sem Código)",IF(ISERROR(MATCH($AE133,INDIRECT(ORÇAMENTO.BancoRef),0)),"(Código não identificado nas referências)",MATCH($AE133,INDIRECT(ORÇAMENTO.BancoRef),0))))</f>
        <v>(Sem Código)</v>
      </c>
      <c r="AG133" s="428">
        <f ca="1">ROUND(IF(DESONERACAO="sim",REFERENCIA.Desonerado,REFERENCIA.NaoDesonerado),2)</f>
        <v>0</v>
      </c>
      <c r="AH133" s="429">
        <f t="shared" ca="1" si="31"/>
        <v>0.2283</v>
      </c>
      <c r="AJ133" s="431"/>
      <c r="AL133" s="439"/>
      <c r="AM133" s="336">
        <f t="shared" ca="1" si="19"/>
        <v>404585.45</v>
      </c>
      <c r="AN133" s="470">
        <f t="shared" ca="1" si="32"/>
        <v>0</v>
      </c>
    </row>
    <row r="134" spans="1:40" ht="13.8" x14ac:dyDescent="0.3">
      <c r="A134" t="str">
        <f t="shared" si="29"/>
        <v>S</v>
      </c>
      <c r="B134">
        <f t="shared" ca="1" si="33"/>
        <v>2</v>
      </c>
      <c r="C134">
        <f t="shared" ca="1" si="34"/>
        <v>2</v>
      </c>
      <c r="D134">
        <f t="shared" ca="1" si="35"/>
        <v>7</v>
      </c>
      <c r="E134">
        <f ca="1">IF($C134=1,OFFSET(E134,-1,0)+MAX(1,COUNTIF(QCI!$A$13:$A$24,OFFSET(ORÇAMENTO!E134,-1,0))),OFFSET(E134,-1,0))</f>
        <v>4</v>
      </c>
      <c r="F134">
        <f t="shared" ca="1" si="36"/>
        <v>1</v>
      </c>
      <c r="G134">
        <f t="shared" ca="1" si="37"/>
        <v>0</v>
      </c>
      <c r="H134">
        <f t="shared" ca="1" si="38"/>
        <v>0</v>
      </c>
      <c r="I134">
        <f t="shared" ca="1" si="39"/>
        <v>0</v>
      </c>
      <c r="J134">
        <f t="shared" ca="1" si="28"/>
        <v>31</v>
      </c>
      <c r="K134">
        <f ca="1">IF(OR($C134="S",$C134=0),0,MATCH(OFFSET($D134,0,$C134)+IF($C134&lt;&gt;1,1,COUNTIF(QCI!$A$13:$A$24,ORÇAMENTO!E134)),OFFSET($D134,1,$C134,ROW($C$165)-ROW($C134)),0))</f>
        <v>7</v>
      </c>
      <c r="L134" s="114" t="str">
        <f t="shared" ca="1" si="40"/>
        <v>F</v>
      </c>
      <c r="M134" s="115" t="s">
        <v>705</v>
      </c>
      <c r="N134" s="116" t="str">
        <f t="shared" ca="1" si="41"/>
        <v>Nível 2</v>
      </c>
      <c r="O134" s="117" t="str">
        <f t="shared" ca="1" si="42"/>
        <v>4.1.</v>
      </c>
      <c r="P134" s="118" t="s">
        <v>750</v>
      </c>
      <c r="Q134" s="119"/>
      <c r="R134" s="120" t="s">
        <v>1005</v>
      </c>
      <c r="S134" s="121" t="str">
        <f ca="1">REFERENCIA.Unidade</f>
        <v>-</v>
      </c>
      <c r="T134" s="122">
        <f ca="1">OFFSET(CÁLCULO!H$15,ROW($T134)-ROW(T$15),0)</f>
        <v>0</v>
      </c>
      <c r="U134" s="123"/>
      <c r="V134" s="124" t="s">
        <v>663</v>
      </c>
      <c r="W134" s="122">
        <f ca="1">IF($C134="S",ROUND(IF(TIPOORCAMENTO="Proposto",ORÇAMENTO.CustoUnitario*(1+$AH134),ORÇAMENTO.PrecoUnitarioLicitado),15-13*$AF$10),0)</f>
        <v>0</v>
      </c>
      <c r="X134" s="125" cm="1">
        <f t="array" aca="1" ref="X134" ca="1">IF($C134="S",IF(OR(Import.TipoArredondamento&lt;&gt;"TransfereGOV",ACOMPANHAMENTO="BM"),VTOTAL1,SUM(OFFSET(CÁLCULO!$AI$15,ROW($X134)-ROW($X$15),1):OFFSET(CÁLCULO!$BB$15,ROW($X134)-ROW($X$15),-1))),IF($C134=0,0,ROUND(SomaAgrup,15-13*$AF$11)))</f>
        <v>53617.29</v>
      </c>
      <c r="Y134" s="126" t="s">
        <v>751</v>
      </c>
      <c r="Z134" t="str">
        <f t="shared" ca="1" si="44"/>
        <v/>
      </c>
      <c r="AA134" s="127">
        <f ca="1">IF($C134="S",IF($Z134="CP",$X134,IF($Z134="RA",(($X134)*QCI!$AA$3),0)),SomaAgrup)</f>
        <v>14809.838271306637</v>
      </c>
      <c r="AB134" s="128">
        <f t="shared" ca="1" si="30"/>
        <v>0</v>
      </c>
      <c r="AC134" s="565" t="e"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IF(AND(_xlfn.SINGLE(TIPOORCAMENTO)="Licitado",$AL134=0,$AN134&gt;0),"SEM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#NAME?</v>
      </c>
      <c r="AD134">
        <f ca="1">IF(C134&lt;=CRONO.NivelExibicao,MAX($AD$15:OFFSET(AD134,-1,0))+IF($C134&lt;&gt;1,1,MAX(1,COUNTIF(QCI!$A$13:$A$24,OFFSET($E134,-1,0)))),"")</f>
        <v>23</v>
      </c>
      <c r="AE134" s="7" t="b">
        <f ca="1">IF(AND($C134="S",ORÇAMENTO.CodBarra&lt;&gt;""),IF(ORÇAMENTO.Fonte="",ORÇAMENTO.CodBarra,CONCATENATE(ORÇAMENTO.Fonte," ",ORÇAMENTO.CodBarra)))</f>
        <v>0</v>
      </c>
      <c r="AF134" s="12" t="str">
        <f ca="1">IF(ISERROR(INDIRECT(ORÇAMENTO.BancoRef)),"(abra o arquivo 'Referência "&amp;Excel_BuiltIn_Database&amp;".xlsm)",IF(OR($C134&lt;&gt;"S",ORÇAMENTO.CodBarra=""),"(Sem Código)",IF(ISERROR(MATCH($AE134,INDIRECT(ORÇAMENTO.BancoRef),0)),"(Código não identificado nas referências)",MATCH($AE134,INDIRECT(ORÇAMENTO.BancoRef),0))))</f>
        <v>(Sem Código)</v>
      </c>
      <c r="AG134" s="428">
        <f ca="1">ROUND(IF(DESONERACAO="sim",REFERENCIA.Desonerado,REFERENCIA.NaoDesonerado),2)</f>
        <v>0</v>
      </c>
      <c r="AH134" s="429">
        <f t="shared" ca="1" si="31"/>
        <v>0.2283</v>
      </c>
      <c r="AJ134" s="431"/>
      <c r="AL134" s="439"/>
      <c r="AM134" s="336">
        <f t="shared" ca="1" si="19"/>
        <v>53617.29</v>
      </c>
      <c r="AN134" s="470">
        <f t="shared" ca="1" si="32"/>
        <v>0</v>
      </c>
    </row>
    <row r="135" spans="1:40" ht="13.8" x14ac:dyDescent="0.3">
      <c r="A135" t="str">
        <f t="shared" si="29"/>
        <v>S</v>
      </c>
      <c r="B135">
        <f t="shared" ca="1" si="33"/>
        <v>2</v>
      </c>
      <c r="C135" t="str">
        <f t="shared" ca="1" si="34"/>
        <v>S</v>
      </c>
      <c r="D135">
        <f t="shared" ca="1" si="35"/>
        <v>0</v>
      </c>
      <c r="E135">
        <f ca="1">IF($C135=1,OFFSET(E135,-1,0)+MAX(1,COUNTIF(QCI!$A$13:$A$24,OFFSET(ORÇAMENTO!E135,-1,0))),OFFSET(E135,-1,0))</f>
        <v>4</v>
      </c>
      <c r="F135">
        <f t="shared" ca="1" si="36"/>
        <v>1</v>
      </c>
      <c r="G135">
        <f t="shared" ca="1" si="37"/>
        <v>0</v>
      </c>
      <c r="H135">
        <f t="shared" ca="1" si="38"/>
        <v>0</v>
      </c>
      <c r="I135">
        <f t="shared" ca="1" si="39"/>
        <v>1</v>
      </c>
      <c r="J135">
        <f t="shared" ca="1" si="28"/>
        <v>0</v>
      </c>
      <c r="K135">
        <f ca="1">IF(OR($C135="S",$C135=0),0,MATCH(OFFSET($D135,0,$C135)+IF($C135&lt;&gt;1,1,COUNTIF(QCI!$A$13:$A$24,ORÇAMENTO!E135)),OFFSET($D135,1,$C135,ROW($C$165)-ROW($C135)),0))</f>
        <v>0</v>
      </c>
      <c r="L135" s="114" t="str">
        <f t="shared" ca="1" si="40"/>
        <v>F</v>
      </c>
      <c r="M135" s="115" t="s">
        <v>705</v>
      </c>
      <c r="N135" s="116" t="str">
        <f t="shared" ca="1" si="41"/>
        <v>Serviço</v>
      </c>
      <c r="O135" s="117" t="str">
        <f t="shared" ca="1" si="42"/>
        <v>4.1.1.</v>
      </c>
      <c r="P135" s="118" t="s">
        <v>956</v>
      </c>
      <c r="Q135" s="119" t="s">
        <v>1006</v>
      </c>
      <c r="R135" s="120" t="str">
        <f ca="1">IF($C135="S",REFERENCIA.Descricao,"(digite a descrição aqui)")</f>
        <v>Escavação mecânica com retroescavadeira em material de 1ª categoria</v>
      </c>
      <c r="S135" s="121" t="str">
        <f ca="1">REFERENCIA.Unidade</f>
        <v>m³</v>
      </c>
      <c r="T135" s="122">
        <f ca="1">OFFSET(CÁLCULO!H$15,ROW($T135)-ROW(T$15),0)</f>
        <v>62.72</v>
      </c>
      <c r="U135" s="123">
        <f t="shared" ref="U135:U140" ca="1" si="45">AG135</f>
        <v>7.38</v>
      </c>
      <c r="V135" s="124" t="s">
        <v>663</v>
      </c>
      <c r="W135" s="122">
        <f ca="1">IF($C135="S",ROUND(IF(TIPOORCAMENTO="Proposto",ORÇAMENTO.CustoUnitario*(1+$AH135),ORÇAMENTO.PrecoUnitarioLicitado),15-13*$AF$10),0)</f>
        <v>9.06</v>
      </c>
      <c r="X135" s="125" cm="1">
        <f t="array" aca="1" ref="X135" ca="1">IF($C135="S",IF(OR(Import.TipoArredondamento&lt;&gt;"TransfereGOV",ACOMPANHAMENTO="BM"),VTOTAL1,SUM(OFFSET(CÁLCULO!$AI$15,ROW($X135)-ROW($X$15),1):OFFSET(CÁLCULO!$BB$15,ROW($X135)-ROW($X$15),-1))),IF($C135=0,0,ROUND(SomaAgrup,15-13*$AF$11)))</f>
        <v>568.24</v>
      </c>
      <c r="Y135" s="126" t="s">
        <v>751</v>
      </c>
      <c r="Z135" t="str">
        <f t="shared" ca="1" si="44"/>
        <v>RA</v>
      </c>
      <c r="AA135" s="127">
        <f ca="1">IF($C135="S",IF($Z135="CP",$X135,IF($Z135="RA",(($X135)*QCI!$AA$3),0)),SomaAgrup)</f>
        <v>156.95575996637061</v>
      </c>
      <c r="AB135" s="128">
        <f t="shared" ca="1" si="30"/>
        <v>0</v>
      </c>
      <c r="AC135" s="565" t="e"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IF(AND(_xlfn.SINGLE(TIPOORCAMENTO)="Licitado",$AL135=0,$AN135&gt;0),"SEM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#NAME?</v>
      </c>
      <c r="AD135" t="str">
        <f ca="1">IF(C135&lt;=CRONO.NivelExibicao,MAX($AD$15:OFFSET(AD135,-1,0))+IF($C135&lt;&gt;1,1,MAX(1,COUNTIF(QCI!$A$13:$A$24,OFFSET($E135,-1,0)))),"")</f>
        <v/>
      </c>
      <c r="AE135" s="7" t="str">
        <f ca="1">IF(AND($C135="S",ORÇAMENTO.CodBarra&lt;&gt;""),IF(ORÇAMENTO.Fonte="",ORÇAMENTO.CodBarra,CONCATENATE(ORÇAMENTO.Fonte," ",ORÇAMENTO.CodBarra)))</f>
        <v>SICRO 5501706</v>
      </c>
      <c r="AF135" s="12">
        <f ca="1">IF(ISERROR(INDIRECT(ORÇAMENTO.BancoRef)),"(abra o arquivo 'Referência "&amp;Excel_BuiltIn_Database&amp;".xlsm)",IF(OR($C135&lt;&gt;"S",ORÇAMENTO.CodBarra=""),"(Sem Código)",IF(ISERROR(MATCH($AE135,INDIRECT(ORÇAMENTO.BancoRef),0)),"(Código não identificado nas referências)",MATCH($AE135,INDIRECT(ORÇAMENTO.BancoRef),0))))</f>
        <v>21440</v>
      </c>
      <c r="AG135" s="428">
        <f ca="1">ROUND(IF(DESONERACAO="sim",REFERENCIA.Desonerado,REFERENCIA.NaoDesonerado),2)</f>
        <v>7.38</v>
      </c>
      <c r="AH135" s="429">
        <f t="shared" ca="1" si="31"/>
        <v>0.2283</v>
      </c>
      <c r="AJ135" s="431"/>
      <c r="AL135" s="439"/>
      <c r="AM135" s="336">
        <f t="shared" ca="1" si="19"/>
        <v>568.24</v>
      </c>
      <c r="AN135" s="470">
        <f t="shared" ca="1" si="32"/>
        <v>9.06</v>
      </c>
    </row>
    <row r="136" spans="1:40" ht="26.4" x14ac:dyDescent="0.3">
      <c r="A136" t="str">
        <f t="shared" si="29"/>
        <v>S</v>
      </c>
      <c r="B136">
        <f t="shared" ca="1" si="33"/>
        <v>2</v>
      </c>
      <c r="C136" t="str">
        <f t="shared" ca="1" si="34"/>
        <v>S</v>
      </c>
      <c r="D136">
        <f t="shared" ca="1" si="35"/>
        <v>0</v>
      </c>
      <c r="E136">
        <f ca="1">IF($C136=1,OFFSET(E136,-1,0)+MAX(1,COUNTIF(QCI!$A$13:$A$24,OFFSET(ORÇAMENTO!E136,-1,0))),OFFSET(E136,-1,0))</f>
        <v>4</v>
      </c>
      <c r="F136">
        <f t="shared" ca="1" si="36"/>
        <v>1</v>
      </c>
      <c r="G136">
        <f t="shared" ca="1" si="37"/>
        <v>0</v>
      </c>
      <c r="H136">
        <f t="shared" ca="1" si="38"/>
        <v>0</v>
      </c>
      <c r="I136">
        <f t="shared" ca="1" si="39"/>
        <v>2</v>
      </c>
      <c r="J136">
        <f t="shared" ca="1" si="28"/>
        <v>0</v>
      </c>
      <c r="K136">
        <f ca="1">IF(OR($C136="S",$C136=0),0,MATCH(OFFSET($D136,0,$C136)+IF($C136&lt;&gt;1,1,COUNTIF(QCI!$A$13:$A$24,ORÇAMENTO!E136)),OFFSET($D136,1,$C136,ROW($C$165)-ROW($C136)),0))</f>
        <v>0</v>
      </c>
      <c r="L136" s="114" t="str">
        <f t="shared" ca="1" si="40"/>
        <v>F</v>
      </c>
      <c r="M136" s="115" t="s">
        <v>705</v>
      </c>
      <c r="N136" s="116" t="str">
        <f t="shared" ca="1" si="41"/>
        <v>Serviço</v>
      </c>
      <c r="O136" s="117" t="str">
        <f t="shared" ca="1" si="42"/>
        <v>4.1.2.</v>
      </c>
      <c r="P136" s="118" t="s">
        <v>957</v>
      </c>
      <c r="Q136" s="119" t="s">
        <v>1065</v>
      </c>
      <c r="R136" s="120" t="str">
        <f ca="1">IF($C136="S",REFERENCIA.Descricao,"(digite a descrição aqui)")</f>
        <v>Tubo de concreto PA1 comercial para drenagem - D = 0,40 m - fornecimento e instalação</v>
      </c>
      <c r="S136" s="121" t="str">
        <f ca="1">REFERENCIA.Unidade</f>
        <v>M</v>
      </c>
      <c r="T136" s="122">
        <f ca="1">OFFSET(CÁLCULO!H$15,ROW($T136)-ROW(T$15),0)</f>
        <v>98</v>
      </c>
      <c r="U136" s="123">
        <f t="shared" ca="1" si="45"/>
        <v>305.99</v>
      </c>
      <c r="V136" s="124" t="s">
        <v>663</v>
      </c>
      <c r="W136" s="122">
        <f ca="1">IF($C136="S",ROUND(IF(TIPOORCAMENTO="Proposto",ORÇAMENTO.CustoUnitario*(1+$AH136),ORÇAMENTO.PrecoUnitarioLicitado),15-13*$AF$10),0)</f>
        <v>375.85</v>
      </c>
      <c r="X136" s="125" cm="1">
        <f t="array" aca="1" ref="X136" ca="1">IF($C136="S",IF(OR(Import.TipoArredondamento&lt;&gt;"TransfereGOV",ACOMPANHAMENTO="BM"),VTOTAL1,SUM(OFFSET(CÁLCULO!$AI$15,ROW($X136)-ROW($X$15),1):OFFSET(CÁLCULO!$BB$15,ROW($X136)-ROW($X$15),-1))),IF($C136=0,0,ROUND(SomaAgrup,15-13*$AF$11)))</f>
        <v>36833.300000000003</v>
      </c>
      <c r="Y136" s="126" t="s">
        <v>751</v>
      </c>
      <c r="Z136" t="str">
        <f t="shared" ca="1" si="44"/>
        <v>RA</v>
      </c>
      <c r="AA136" s="127">
        <f ca="1">IF($C136="S",IF($Z136="CP",$X136,IF($Z136="RA",(($X136)*QCI!$AA$3),0)),SomaAgrup)</f>
        <v>10173.867720627408</v>
      </c>
      <c r="AB136" s="128">
        <f t="shared" ca="1" si="30"/>
        <v>0</v>
      </c>
      <c r="AC136" s="565" t="e"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IF(AND(_xlfn.SINGLE(TIPOORCAMENTO)="Licitado",$AL136=0,$AN136&gt;0),"SEM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#NAME?</v>
      </c>
      <c r="AD136" t="str">
        <f ca="1">IF(C136&lt;=CRONO.NivelExibicao,MAX($AD$15:OFFSET(AD136,-1,0))+IF($C136&lt;&gt;1,1,MAX(1,COUNTIF(QCI!$A$13:$A$24,OFFSET($E136,-1,0)))),"")</f>
        <v/>
      </c>
      <c r="AE136" s="7" t="str">
        <f ca="1">IF(AND($C136="S",ORÇAMENTO.CodBarra&lt;&gt;""),IF(ORÇAMENTO.Fonte="",ORÇAMENTO.CodBarra,CONCATENATE(ORÇAMENTO.Fonte," ",ORÇAMENTO.CodBarra)))</f>
        <v>Composição COMP 26</v>
      </c>
      <c r="AF136" s="12">
        <f ca="1">IF(ISERROR(INDIRECT(ORÇAMENTO.BancoRef)),"(abra o arquivo 'Referência "&amp;Excel_BuiltIn_Database&amp;".xlsm)",IF(OR($C136&lt;&gt;"S",ORÇAMENTO.CodBarra=""),"(Sem Código)",IF(ISERROR(MATCH($AE136,INDIRECT(ORÇAMENTO.BancoRef),0)),"(Código não identificado nas referências)",MATCH($AE136,INDIRECT(ORÇAMENTO.BancoRef),0))))</f>
        <v>28</v>
      </c>
      <c r="AG136" s="428">
        <f ca="1">ROUND(IF(DESONERACAO="sim",REFERENCIA.Desonerado,REFERENCIA.NaoDesonerado),2)</f>
        <v>305.99</v>
      </c>
      <c r="AH136" s="429">
        <f t="shared" ca="1" si="31"/>
        <v>0.2283</v>
      </c>
      <c r="AJ136" s="431"/>
      <c r="AL136" s="439"/>
      <c r="AM136" s="336">
        <f t="shared" ca="1" si="19"/>
        <v>36833.300000000003</v>
      </c>
      <c r="AN136" s="470">
        <f t="shared" ca="1" si="32"/>
        <v>375.85</v>
      </c>
    </row>
    <row r="137" spans="1:40" ht="13.8" x14ac:dyDescent="0.3">
      <c r="A137" t="str">
        <f t="shared" si="29"/>
        <v>S</v>
      </c>
      <c r="B137">
        <f t="shared" ca="1" si="33"/>
        <v>2</v>
      </c>
      <c r="C137" t="str">
        <f t="shared" ca="1" si="34"/>
        <v>S</v>
      </c>
      <c r="D137">
        <f t="shared" ca="1" si="35"/>
        <v>0</v>
      </c>
      <c r="E137">
        <f ca="1">IF($C137=1,OFFSET(E137,-1,0)+MAX(1,COUNTIF(QCI!$A$13:$A$24,OFFSET(ORÇAMENTO!E137,-1,0))),OFFSET(E137,-1,0))</f>
        <v>4</v>
      </c>
      <c r="F137">
        <f t="shared" ca="1" si="36"/>
        <v>1</v>
      </c>
      <c r="G137">
        <f t="shared" ca="1" si="37"/>
        <v>0</v>
      </c>
      <c r="H137">
        <f t="shared" ca="1" si="38"/>
        <v>0</v>
      </c>
      <c r="I137">
        <f t="shared" ca="1" si="39"/>
        <v>3</v>
      </c>
      <c r="J137">
        <f t="shared" ca="1" si="28"/>
        <v>0</v>
      </c>
      <c r="K137">
        <f ca="1">IF(OR($C137="S",$C137=0),0,MATCH(OFFSET($D137,0,$C137)+IF($C137&lt;&gt;1,1,COUNTIF(QCI!$A$13:$A$24,ORÇAMENTO!E137)),OFFSET($D137,1,$C137,ROW($C$165)-ROW($C137)),0))</f>
        <v>0</v>
      </c>
      <c r="L137" s="114" t="str">
        <f t="shared" ca="1" si="40"/>
        <v>F</v>
      </c>
      <c r="M137" s="115" t="s">
        <v>705</v>
      </c>
      <c r="N137" s="116" t="str">
        <f t="shared" ca="1" si="41"/>
        <v>Serviço</v>
      </c>
      <c r="O137" s="117" t="str">
        <f t="shared" ca="1" si="42"/>
        <v>4.1.3.</v>
      </c>
      <c r="P137" s="118" t="s">
        <v>956</v>
      </c>
      <c r="Q137" s="119" t="s">
        <v>1060</v>
      </c>
      <c r="R137" s="120" t="str">
        <f ca="1">IF($C137="S",REFERENCIA.Descricao,"(digite a descrição aqui)")</f>
        <v>Reaterro e compactação com soquete vibratório</v>
      </c>
      <c r="S137" s="121" t="str">
        <f ca="1">REFERENCIA.Unidade</f>
        <v>m³</v>
      </c>
      <c r="T137" s="122">
        <f ca="1">OFFSET(CÁLCULO!H$15,ROW($T137)-ROW(T$15),0)</f>
        <v>43.12</v>
      </c>
      <c r="U137" s="123">
        <f t="shared" ca="1" si="45"/>
        <v>20.09</v>
      </c>
      <c r="V137" s="124" t="s">
        <v>663</v>
      </c>
      <c r="W137" s="122">
        <f ca="1">IF($C137="S",ROUND(IF(TIPOORCAMENTO="Proposto",ORÇAMENTO.CustoUnitario*(1+$AH137),ORÇAMENTO.PrecoUnitarioLicitado),15-13*$AF$10),0)</f>
        <v>24.68</v>
      </c>
      <c r="X137" s="125" cm="1">
        <f t="array" aca="1" ref="X137" ca="1">IF($C137="S",IF(OR(Import.TipoArredondamento&lt;&gt;"TransfereGOV",ACOMPANHAMENTO="BM"),VTOTAL1,SUM(OFFSET(CÁLCULO!$AI$15,ROW($X137)-ROW($X$15),1):OFFSET(CÁLCULO!$BB$15,ROW($X137)-ROW($X$15),-1))),IF($C137=0,0,ROUND(SomaAgrup,15-13*$AF$11)))</f>
        <v>1064.2</v>
      </c>
      <c r="Y137" s="126" t="s">
        <v>751</v>
      </c>
      <c r="Z137" t="str">
        <f t="shared" ca="1" si="44"/>
        <v>RA</v>
      </c>
      <c r="AA137" s="127">
        <f ca="1">IF($C137="S",IF($Z137="CP",$X137,IF($Z137="RA",(($X137)*QCI!$AA$3),0)),SomaAgrup)</f>
        <v>293.94678262039207</v>
      </c>
      <c r="AB137" s="128">
        <f t="shared" ca="1" si="30"/>
        <v>0</v>
      </c>
      <c r="AC137" s="565" t="e"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IF(AND(_xlfn.SINGLE(TIPOORCAMENTO)="Licitado",$AL137=0,$AN137&gt;0),"SEM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#NAME?</v>
      </c>
      <c r="AD137" t="str">
        <f ca="1">IF(C137&lt;=CRONO.NivelExibicao,MAX($AD$15:OFFSET(AD137,-1,0))+IF($C137&lt;&gt;1,1,MAX(1,COUNTIF(QCI!$A$13:$A$24,OFFSET($E137,-1,0)))),"")</f>
        <v/>
      </c>
      <c r="AE137" s="7" t="str">
        <f ca="1">IF(AND($C137="S",ORÇAMENTO.CodBarra&lt;&gt;""),IF(ORÇAMENTO.Fonte="",ORÇAMENTO.CodBarra,CONCATENATE(ORÇAMENTO.Fonte," ",ORÇAMENTO.CodBarra)))</f>
        <v>SICRO 4815671</v>
      </c>
      <c r="AF137" s="12">
        <f ca="1">IF(ISERROR(INDIRECT(ORÇAMENTO.BancoRef)),"(abra o arquivo 'Referência "&amp;Excel_BuiltIn_Database&amp;".xlsm)",IF(OR($C137&lt;&gt;"S",ORÇAMENTO.CodBarra=""),"(Sem Código)",IF(ISERROR(MATCH($AE137,INDIRECT(ORÇAMENTO.BancoRef),0)),"(Código não identificado nas referências)",MATCH($AE137,INDIRECT(ORÇAMENTO.BancoRef),0))))</f>
        <v>20813</v>
      </c>
      <c r="AG137" s="428">
        <f ca="1">ROUND(IF(DESONERACAO="sim",REFERENCIA.Desonerado,REFERENCIA.NaoDesonerado),2)</f>
        <v>20.09</v>
      </c>
      <c r="AH137" s="429">
        <f t="shared" ca="1" si="31"/>
        <v>0.2283</v>
      </c>
      <c r="AJ137" s="431"/>
      <c r="AL137" s="439"/>
      <c r="AM137" s="336">
        <f t="shared" ca="1" si="19"/>
        <v>1064.2</v>
      </c>
      <c r="AN137" s="470">
        <f t="shared" ca="1" si="32"/>
        <v>24.68</v>
      </c>
    </row>
    <row r="138" spans="1:40" ht="26.4" x14ac:dyDescent="0.3">
      <c r="A138" t="str">
        <f t="shared" si="29"/>
        <v>S</v>
      </c>
      <c r="B138">
        <f t="shared" ca="1" si="33"/>
        <v>2</v>
      </c>
      <c r="C138" t="str">
        <f t="shared" ca="1" si="34"/>
        <v>S</v>
      </c>
      <c r="D138">
        <f t="shared" ca="1" si="35"/>
        <v>0</v>
      </c>
      <c r="E138">
        <f ca="1">IF($C138=1,OFFSET(E138,-1,0)+MAX(1,COUNTIF(QCI!$A$13:$A$24,OFFSET(ORÇAMENTO!E138,-1,0))),OFFSET(E138,-1,0))</f>
        <v>4</v>
      </c>
      <c r="F138">
        <f t="shared" ca="1" si="36"/>
        <v>1</v>
      </c>
      <c r="G138">
        <f t="shared" ca="1" si="37"/>
        <v>0</v>
      </c>
      <c r="H138">
        <f t="shared" ca="1" si="38"/>
        <v>0</v>
      </c>
      <c r="I138">
        <f t="shared" ca="1" si="39"/>
        <v>4</v>
      </c>
      <c r="J138">
        <f t="shared" ca="1" si="28"/>
        <v>0</v>
      </c>
      <c r="K138">
        <f ca="1">IF(OR($C138="S",$C138=0),0,MATCH(OFFSET($D138,0,$C138)+IF($C138&lt;&gt;1,1,COUNTIF(QCI!$A$13:$A$24,ORÇAMENTO!E138)),OFFSET($D138,1,$C138,ROW($C$165)-ROW($C138)),0))</f>
        <v>0</v>
      </c>
      <c r="L138" s="114" t="str">
        <f t="shared" ca="1" si="40"/>
        <v>F</v>
      </c>
      <c r="M138" s="115" t="s">
        <v>705</v>
      </c>
      <c r="N138" s="116" t="str">
        <f t="shared" ca="1" si="41"/>
        <v>Serviço</v>
      </c>
      <c r="O138" s="117" t="str">
        <f t="shared" ca="1" si="42"/>
        <v>4.1.4.</v>
      </c>
      <c r="P138" s="118" t="s">
        <v>956</v>
      </c>
      <c r="Q138" s="119" t="s">
        <v>1040</v>
      </c>
      <c r="R138" s="120" t="str">
        <f ca="1">IF($C138="S",REFERENCIA.Descricao,"(digite a descrição aqui)")</f>
        <v>Boca de lobo combinada - chapéu e grelha simples - BLC 01 - areia e brita comerciais</v>
      </c>
      <c r="S138" s="121" t="str">
        <f ca="1">REFERENCIA.Unidade</f>
        <v>un</v>
      </c>
      <c r="T138" s="122">
        <f ca="1">OFFSET(CÁLCULO!H$15,ROW($T138)-ROW(T$15),0)</f>
        <v>1</v>
      </c>
      <c r="U138" s="123">
        <f t="shared" ca="1" si="45"/>
        <v>2427.9899999999998</v>
      </c>
      <c r="V138" s="124" t="s">
        <v>663</v>
      </c>
      <c r="W138" s="122">
        <f ca="1">IF($C138="S",ROUND(IF(TIPOORCAMENTO="Proposto",ORÇAMENTO.CustoUnitario*(1+$AH138),ORÇAMENTO.PrecoUnitarioLicitado),15-13*$AF$10),0)</f>
        <v>2982.3</v>
      </c>
      <c r="X138" s="125" cm="1">
        <f t="array" aca="1" ref="X138" ca="1">IF($C138="S",IF(OR(Import.TipoArredondamento&lt;&gt;"TransfereGOV",ACOMPANHAMENTO="BM"),VTOTAL1,SUM(OFFSET(CÁLCULO!$AI$15,ROW($X138)-ROW($X$15),1):OFFSET(CÁLCULO!$BB$15,ROW($X138)-ROW($X$15),-1))),IF($C138=0,0,ROUND(SomaAgrup,15-13*$AF$11)))</f>
        <v>2982.3</v>
      </c>
      <c r="Y138" s="126" t="s">
        <v>751</v>
      </c>
      <c r="Z138" t="str">
        <f t="shared" ca="1" si="44"/>
        <v>RA</v>
      </c>
      <c r="AA138" s="127">
        <f ca="1">IF($C138="S",IF($Z138="CP",$X138,IF($Z138="RA",(($X138)*QCI!$AA$3),0)),SomaAgrup)</f>
        <v>823.75257452433311</v>
      </c>
      <c r="AB138" s="128">
        <f t="shared" ca="1" si="30"/>
        <v>0</v>
      </c>
      <c r="AC138" s="565" t="e"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IF(AND(_xlfn.SINGLE(TIPOORCAMENTO)="Licitado",$AL138=0,$AN138&gt;0),"SEM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#NAME?</v>
      </c>
      <c r="AD138" t="str">
        <f ca="1">IF(C138&lt;=CRONO.NivelExibicao,MAX($AD$15:OFFSET(AD138,-1,0))+IF($C138&lt;&gt;1,1,MAX(1,COUNTIF(QCI!$A$13:$A$24,OFFSET($E138,-1,0)))),"")</f>
        <v/>
      </c>
      <c r="AE138" s="7" t="str">
        <f ca="1">IF(AND($C138="S",ORÇAMENTO.CodBarra&lt;&gt;""),IF(ORÇAMENTO.Fonte="",ORÇAMENTO.CodBarra,CONCATENATE(ORÇAMENTO.Fonte," ",ORÇAMENTO.CodBarra)))</f>
        <v>SICRO 2003622</v>
      </c>
      <c r="AF138" s="12">
        <f ca="1">IF(ISERROR(INDIRECT(ORÇAMENTO.BancoRef)),"(abra o arquivo 'Referência "&amp;Excel_BuiltIn_Database&amp;".xlsm)",IF(OR($C138&lt;&gt;"S",ORÇAMENTO.CodBarra=""),"(Sem Código)",IF(ISERROR(MATCH($AE138,INDIRECT(ORÇAMENTO.BancoRef),0)),"(Código não identificado nas referências)",MATCH($AE138,INDIRECT(ORÇAMENTO.BancoRef),0))))</f>
        <v>18593</v>
      </c>
      <c r="AG138" s="428">
        <f ca="1">ROUND(IF(DESONERACAO="sim",REFERENCIA.Desonerado,REFERENCIA.NaoDesonerado),2)</f>
        <v>2427.9899999999998</v>
      </c>
      <c r="AH138" s="429">
        <f t="shared" ca="1" si="31"/>
        <v>0.2283</v>
      </c>
      <c r="AJ138" s="431"/>
      <c r="AL138" s="439"/>
      <c r="AM138" s="336">
        <f t="shared" ca="1" si="19"/>
        <v>2982.3</v>
      </c>
      <c r="AN138" s="470">
        <f t="shared" ca="1" si="32"/>
        <v>2982.3</v>
      </c>
    </row>
    <row r="139" spans="1:40" ht="26.4" x14ac:dyDescent="0.3">
      <c r="A139" t="str">
        <f t="shared" si="29"/>
        <v>S</v>
      </c>
      <c r="B139">
        <f t="shared" ca="1" si="33"/>
        <v>2</v>
      </c>
      <c r="C139" t="str">
        <f t="shared" ca="1" si="34"/>
        <v>S</v>
      </c>
      <c r="D139">
        <f t="shared" ca="1" si="35"/>
        <v>0</v>
      </c>
      <c r="E139">
        <f ca="1">IF($C139=1,OFFSET(E139,-1,0)+MAX(1,COUNTIF(QCI!$A$13:$A$24,OFFSET(ORÇAMENTO!E139,-1,0))),OFFSET(E139,-1,0))</f>
        <v>4</v>
      </c>
      <c r="F139">
        <f t="shared" ca="1" si="36"/>
        <v>1</v>
      </c>
      <c r="G139">
        <f t="shared" ca="1" si="37"/>
        <v>0</v>
      </c>
      <c r="H139">
        <f t="shared" ca="1" si="38"/>
        <v>0</v>
      </c>
      <c r="I139">
        <f t="shared" ca="1" si="39"/>
        <v>5</v>
      </c>
      <c r="J139">
        <f t="shared" ca="1" si="28"/>
        <v>0</v>
      </c>
      <c r="K139">
        <f ca="1">IF(OR($C139="S",$C139=0),0,MATCH(OFFSET($D139,0,$C139)+IF($C139&lt;&gt;1,1,COUNTIF(QCI!$A$13:$A$24,ORÇAMENTO!E139)),OFFSET($D139,1,$C139,ROW($C$165)-ROW($C139)),0))</f>
        <v>0</v>
      </c>
      <c r="L139" s="114" t="str">
        <f t="shared" ca="1" si="40"/>
        <v>F</v>
      </c>
      <c r="M139" s="115" t="s">
        <v>705</v>
      </c>
      <c r="N139" s="116" t="str">
        <f t="shared" ca="1" si="41"/>
        <v>Serviço</v>
      </c>
      <c r="O139" s="117" t="str">
        <f t="shared" ca="1" si="42"/>
        <v>4.1.5.</v>
      </c>
      <c r="P139" s="118" t="s">
        <v>956</v>
      </c>
      <c r="Q139" s="119" t="s">
        <v>1061</v>
      </c>
      <c r="R139" s="120" t="str">
        <f ca="1">IF($C139="S",REFERENCIA.Descricao,"(digite a descrição aqui)")</f>
        <v>Meio-fio de concreto - MFC 05 moldado no local com extrusora e concreto usinado - areia e brita comerciais</v>
      </c>
      <c r="S139" s="121" t="str">
        <f ca="1">REFERENCIA.Unidade</f>
        <v>m</v>
      </c>
      <c r="T139" s="122">
        <f ca="1">OFFSET(CÁLCULO!H$15,ROW($T139)-ROW(T$15),0)</f>
        <v>390</v>
      </c>
      <c r="U139" s="123">
        <f t="shared" ca="1" si="45"/>
        <v>23.88</v>
      </c>
      <c r="V139" s="124" t="s">
        <v>663</v>
      </c>
      <c r="W139" s="122">
        <f ca="1">IF($C139="S",ROUND(IF(TIPOORCAMENTO="Proposto",ORÇAMENTO.CustoUnitario*(1+$AH139),ORÇAMENTO.PrecoUnitarioLicitado),15-13*$AF$10),0)</f>
        <v>29.33</v>
      </c>
      <c r="X139" s="125" cm="1">
        <f t="array" aca="1" ref="X139" ca="1">IF($C139="S",IF(OR(Import.TipoArredondamento&lt;&gt;"TransfereGOV",ACOMPANHAMENTO="BM"),VTOTAL1,SUM(OFFSET(CÁLCULO!$AI$15,ROW($X139)-ROW($X$15),1):OFFSET(CÁLCULO!$BB$15,ROW($X139)-ROW($X$15),-1))),IF($C139=0,0,ROUND(SomaAgrup,15-13*$AF$11)))</f>
        <v>11438.7</v>
      </c>
      <c r="Y139" s="126" t="s">
        <v>751</v>
      </c>
      <c r="Z139" t="str">
        <f t="shared" ca="1" si="44"/>
        <v>RA</v>
      </c>
      <c r="AA139" s="127">
        <f ca="1">IF($C139="S",IF($Z139="CP",$X139,IF($Z139="RA",(($X139)*QCI!$AA$3),0)),SomaAgrup)</f>
        <v>3159.5274030820137</v>
      </c>
      <c r="AB139" s="128">
        <f t="shared" ca="1" si="30"/>
        <v>0</v>
      </c>
      <c r="AC139" s="565" t="e"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IF(AND(_xlfn.SINGLE(TIPOORCAMENTO)="Licitado",$AL139=0,$AN139&gt;0),"SEM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#NAME?</v>
      </c>
      <c r="AD139" t="str">
        <f ca="1">IF(C139&lt;=CRONO.NivelExibicao,MAX($AD$15:OFFSET(AD139,-1,0))+IF($C139&lt;&gt;1,1,MAX(1,COUNTIF(QCI!$A$13:$A$24,OFFSET($E139,-1,0)))),"")</f>
        <v/>
      </c>
      <c r="AE139" s="7" t="str">
        <f ca="1">IF(AND($C139="S",ORÇAMENTO.CodBarra&lt;&gt;""),IF(ORÇAMENTO.Fonte="",ORÇAMENTO.CodBarra,CONCATENATE(ORÇAMENTO.Fonte," ",ORÇAMENTO.CodBarra)))</f>
        <v>SICRO 2003947</v>
      </c>
      <c r="AF139" s="12">
        <f ca="1">IF(ISERROR(INDIRECT(ORÇAMENTO.BancoRef)),"(abra o arquivo 'Referência "&amp;Excel_BuiltIn_Database&amp;".xlsm)",IF(OR($C139&lt;&gt;"S",ORÇAMENTO.CodBarra=""),"(Sem Código)",IF(ISERROR(MATCH($AE139,INDIRECT(ORÇAMENTO.BancoRef),0)),"(Código não identificado nas referências)",MATCH($AE139,INDIRECT(ORÇAMENTO.BancoRef),0))))</f>
        <v>19142</v>
      </c>
      <c r="AG139" s="428">
        <f ca="1">ROUND(IF(DESONERACAO="sim",REFERENCIA.Desonerado,REFERENCIA.NaoDesonerado),2)</f>
        <v>23.88</v>
      </c>
      <c r="AH139" s="429">
        <f t="shared" ca="1" si="31"/>
        <v>0.2283</v>
      </c>
      <c r="AJ139" s="431"/>
      <c r="AL139" s="439"/>
      <c r="AM139" s="336">
        <f t="shared" ca="1" si="19"/>
        <v>11438.7</v>
      </c>
      <c r="AN139" s="470">
        <f t="shared" ca="1" si="32"/>
        <v>29.33</v>
      </c>
    </row>
    <row r="140" spans="1:40" ht="13.8" x14ac:dyDescent="0.3">
      <c r="A140" t="str">
        <f t="shared" si="29"/>
        <v>S</v>
      </c>
      <c r="B140">
        <f t="shared" ca="1" si="33"/>
        <v>2</v>
      </c>
      <c r="C140" t="str">
        <f t="shared" ca="1" si="34"/>
        <v>S</v>
      </c>
      <c r="D140">
        <f t="shared" ca="1" si="35"/>
        <v>0</v>
      </c>
      <c r="E140">
        <f ca="1">IF($C140=1,OFFSET(E140,-1,0)+MAX(1,COUNTIF(QCI!$A$13:$A$24,OFFSET(ORÇAMENTO!E140,-1,0))),OFFSET(E140,-1,0))</f>
        <v>4</v>
      </c>
      <c r="F140">
        <f t="shared" ca="1" si="36"/>
        <v>1</v>
      </c>
      <c r="G140">
        <f t="shared" ca="1" si="37"/>
        <v>0</v>
      </c>
      <c r="H140">
        <f t="shared" ca="1" si="38"/>
        <v>0</v>
      </c>
      <c r="I140">
        <f t="shared" ca="1" si="39"/>
        <v>6</v>
      </c>
      <c r="J140">
        <f t="shared" ca="1" si="28"/>
        <v>0</v>
      </c>
      <c r="K140">
        <f ca="1">IF(OR($C140="S",$C140=0),0,MATCH(OFFSET($D140,0,$C140)+IF($C140&lt;&gt;1,1,COUNTIF(QCI!$A$13:$A$24,ORÇAMENTO!E140)),OFFSET($D140,1,$C140,ROW($C$165)-ROW($C140)),0))</f>
        <v>0</v>
      </c>
      <c r="L140" s="114" t="str">
        <f t="shared" ca="1" si="40"/>
        <v>F</v>
      </c>
      <c r="M140" s="115" t="s">
        <v>705</v>
      </c>
      <c r="N140" s="116" t="str">
        <f t="shared" ca="1" si="41"/>
        <v>Serviço</v>
      </c>
      <c r="O140" s="117" t="str">
        <f t="shared" ca="1" si="42"/>
        <v>4.1.6.</v>
      </c>
      <c r="P140" s="118" t="s">
        <v>956</v>
      </c>
      <c r="Q140" s="119" t="s">
        <v>1062</v>
      </c>
      <c r="R140" s="120" t="str">
        <f ca="1">IF($C140="S",REFERENCIA.Descricao,"(digite a descrição aqui)")</f>
        <v>Caiação manual com fixador de cal</v>
      </c>
      <c r="S140" s="121" t="str">
        <f ca="1">REFERENCIA.Unidade</f>
        <v>m²</v>
      </c>
      <c r="T140" s="122">
        <f ca="1">OFFSET(CÁLCULO!H$15,ROW($T140)-ROW(T$15),0)</f>
        <v>163.80000000000001</v>
      </c>
      <c r="U140" s="123">
        <f t="shared" ca="1" si="45"/>
        <v>3.63</v>
      </c>
      <c r="V140" s="124" t="s">
        <v>663</v>
      </c>
      <c r="W140" s="122">
        <f ca="1">IF($C140="S",ROUND(IF(TIPOORCAMENTO="Proposto",ORÇAMENTO.CustoUnitario*(1+$AH140),ORÇAMENTO.PrecoUnitarioLicitado),15-13*$AF$10),0)</f>
        <v>4.46</v>
      </c>
      <c r="X140" s="125" cm="1">
        <f t="array" aca="1" ref="X140" ca="1">IF($C140="S",IF(OR(Import.TipoArredondamento&lt;&gt;"TransfereGOV",ACOMPANHAMENTO="BM"),VTOTAL1,SUM(OFFSET(CÁLCULO!$AI$15,ROW($X140)-ROW($X$15),1):OFFSET(CÁLCULO!$BB$15,ROW($X140)-ROW($X$15),-1))),IF($C140=0,0,ROUND(SomaAgrup,15-13*$AF$11)))</f>
        <v>730.55</v>
      </c>
      <c r="Y140" s="126" t="s">
        <v>751</v>
      </c>
      <c r="Z140" t="str">
        <f t="shared" ca="1" si="44"/>
        <v>RA</v>
      </c>
      <c r="AA140" s="127">
        <f ca="1">IF($C140="S",IF($Z140="CP",$X140,IF($Z140="RA",(($X140)*QCI!$AA$3),0)),SomaAgrup)</f>
        <v>201.7880304861186</v>
      </c>
      <c r="AB140" s="128">
        <f t="shared" ca="1" si="30"/>
        <v>0</v>
      </c>
      <c r="AC140" s="565" t="e"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IF(AND(_xlfn.SINGLE(TIPOORCAMENTO)="Licitado",$AL140=0,$AN140&gt;0),"SEM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#NAME?</v>
      </c>
      <c r="AD140" t="str">
        <f ca="1">IF(C140&lt;=CRONO.NivelExibicao,MAX($AD$15:OFFSET(AD140,-1,0))+IF($C140&lt;&gt;1,1,MAX(1,COUNTIF(QCI!$A$13:$A$24,OFFSET($E140,-1,0)))),"")</f>
        <v/>
      </c>
      <c r="AE140" s="7" t="str">
        <f ca="1">IF(AND($C140="S",ORÇAMENTO.CodBarra&lt;&gt;""),IF(ORÇAMENTO.Fonte="",ORÇAMENTO.CodBarra,CONCATENATE(ORÇAMENTO.Fonte," ",ORÇAMENTO.CodBarra)))</f>
        <v>SICRO 4915723</v>
      </c>
      <c r="AF140" s="12">
        <f ca="1">IF(ISERROR(INDIRECT(ORÇAMENTO.BancoRef)),"(abra o arquivo 'Referência "&amp;Excel_BuiltIn_Database&amp;".xlsm)",IF(OR($C140&lt;&gt;"S",ORÇAMENTO.CodBarra=""),"(Sem Código)",IF(ISERROR(MATCH($AE140,INDIRECT(ORÇAMENTO.BancoRef),0)),"(Código não identificado nas referências)",MATCH($AE140,INDIRECT(ORÇAMENTO.BancoRef),0))))</f>
        <v>20823</v>
      </c>
      <c r="AG140" s="428">
        <f ca="1">ROUND(IF(DESONERACAO="sim",REFERENCIA.Desonerado,REFERENCIA.NaoDesonerado),2)</f>
        <v>3.63</v>
      </c>
      <c r="AH140" s="429">
        <f t="shared" ca="1" si="31"/>
        <v>0.2283</v>
      </c>
      <c r="AJ140" s="431"/>
      <c r="AL140" s="439"/>
      <c r="AM140" s="336">
        <f t="shared" ca="1" si="19"/>
        <v>730.55</v>
      </c>
      <c r="AN140" s="470">
        <f t="shared" ca="1" si="32"/>
        <v>4.46</v>
      </c>
    </row>
    <row r="141" spans="1:40" ht="13.8" x14ac:dyDescent="0.3">
      <c r="A141">
        <f t="shared" si="29"/>
        <v>2</v>
      </c>
      <c r="B141">
        <f t="shared" ca="1" si="33"/>
        <v>2</v>
      </c>
      <c r="C141">
        <f t="shared" ca="1" si="34"/>
        <v>2</v>
      </c>
      <c r="D141">
        <f t="shared" ca="1" si="35"/>
        <v>15</v>
      </c>
      <c r="E141">
        <f ca="1">IF($C141=1,OFFSET(E141,-1,0)+MAX(1,COUNTIF(QCI!$A$13:$A$24,OFFSET(ORÇAMENTO!E141,-1,0))),OFFSET(E141,-1,0))</f>
        <v>4</v>
      </c>
      <c r="F141">
        <f t="shared" ca="1" si="36"/>
        <v>2</v>
      </c>
      <c r="G141">
        <f t="shared" ca="1" si="37"/>
        <v>0</v>
      </c>
      <c r="H141">
        <f t="shared" ca="1" si="38"/>
        <v>0</v>
      </c>
      <c r="I141">
        <f t="shared" ca="1" si="39"/>
        <v>0</v>
      </c>
      <c r="J141">
        <f t="shared" ca="1" si="28"/>
        <v>24</v>
      </c>
      <c r="K141">
        <f ca="1">IF(OR($C141="S",$C141=0),0,MATCH(OFFSET($D141,0,$C141)+IF($C141&lt;&gt;1,1,COUNTIF(QCI!$A$13:$A$24,ORÇAMENTO!E141)),OFFSET($D141,1,$C141,ROW($C$165)-ROW($C141)),0))</f>
        <v>15</v>
      </c>
      <c r="L141" s="114" t="str">
        <f t="shared" ca="1" si="40"/>
        <v>F</v>
      </c>
      <c r="M141" s="115" t="s">
        <v>702</v>
      </c>
      <c r="N141" s="116" t="str">
        <f t="shared" ca="1" si="41"/>
        <v>Nível 2</v>
      </c>
      <c r="O141" s="117" t="str">
        <f t="shared" ca="1" si="42"/>
        <v>4.2.</v>
      </c>
      <c r="P141" s="118" t="s">
        <v>956</v>
      </c>
      <c r="Q141" s="119"/>
      <c r="R141" s="120" t="s">
        <v>1012</v>
      </c>
      <c r="S141" s="121" t="str">
        <f ca="1">REFERENCIA.Unidade</f>
        <v>-</v>
      </c>
      <c r="T141" s="122">
        <f ca="1">OFFSET(CÁLCULO!H$15,ROW($T141)-ROW(T$15),0)</f>
        <v>0</v>
      </c>
      <c r="U141" s="123"/>
      <c r="V141" s="124" t="s">
        <v>663</v>
      </c>
      <c r="W141" s="122">
        <f ca="1">IF($C141="S",ROUND(IF(TIPOORCAMENTO="Proposto",ORÇAMENTO.CustoUnitario*(1+$AH141),ORÇAMENTO.PrecoUnitarioLicitado),15-13*$AF$10),0)</f>
        <v>0</v>
      </c>
      <c r="X141" s="125" cm="1">
        <f t="array" aca="1" ref="X141" ca="1">IF($C141="S",IF(OR(Import.TipoArredondamento&lt;&gt;"TransfereGOV",ACOMPANHAMENTO="BM"),VTOTAL1,SUM(OFFSET(CÁLCULO!$AI$15,ROW($X141)-ROW($X$15),1):OFFSET(CÁLCULO!$BB$15,ROW($X141)-ROW($X$15),-1))),IF($C141=0,0,ROUND(SomaAgrup,15-13*$AF$11)))</f>
        <v>346698.34</v>
      </c>
      <c r="Y141" s="126" t="s">
        <v>751</v>
      </c>
      <c r="Z141" t="str">
        <f t="shared" ca="1" si="44"/>
        <v/>
      </c>
      <c r="AA141" s="127">
        <f ca="1">IF($C141="S",IF($Z141="CP",$X141,IF($Z141="RA",(($X141)*QCI!$AA$3),0)),SomaAgrup)</f>
        <v>95762.884404088327</v>
      </c>
      <c r="AB141" s="128">
        <f t="shared" ca="1" si="30"/>
        <v>0</v>
      </c>
      <c r="AC141" s="565" t="e"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IF(AND(_xlfn.SINGLE(TIPOORCAMENTO)="Licitado",$AL141=0,$AN141&gt;0),"SEM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#NAME?</v>
      </c>
      <c r="AD141">
        <f ca="1">IF(C141&lt;=CRONO.NivelExibicao,MAX($AD$15:OFFSET(AD141,-1,0))+IF($C141&lt;&gt;1,1,MAX(1,COUNTIF(QCI!$A$13:$A$24,OFFSET($E141,-1,0)))),"")</f>
        <v>24</v>
      </c>
      <c r="AE141" s="7" t="b">
        <f ca="1">IF(AND($C141="S",ORÇAMENTO.CodBarra&lt;&gt;""),IF(ORÇAMENTO.Fonte="",ORÇAMENTO.CodBarra,CONCATENATE(ORÇAMENTO.Fonte," ",ORÇAMENTO.CodBarra)))</f>
        <v>0</v>
      </c>
      <c r="AF141" s="12" t="str">
        <f ca="1">IF(ISERROR(INDIRECT(ORÇAMENTO.BancoRef)),"(abra o arquivo 'Referência "&amp;Excel_BuiltIn_Database&amp;".xlsm)",IF(OR($C141&lt;&gt;"S",ORÇAMENTO.CodBarra=""),"(Sem Código)",IF(ISERROR(MATCH($AE141,INDIRECT(ORÇAMENTO.BancoRef),0)),"(Código não identificado nas referências)",MATCH($AE141,INDIRECT(ORÇAMENTO.BancoRef),0))))</f>
        <v>(Sem Código)</v>
      </c>
      <c r="AG141" s="428">
        <f ca="1">ROUND(IF(DESONERACAO="sim",REFERENCIA.Desonerado,REFERENCIA.NaoDesonerado),2)</f>
        <v>0</v>
      </c>
      <c r="AH141" s="429">
        <f t="shared" ca="1" si="31"/>
        <v>0.2283</v>
      </c>
      <c r="AJ141" s="431"/>
      <c r="AL141" s="439"/>
      <c r="AM141" s="336">
        <f t="shared" ca="1" si="19"/>
        <v>346698.34</v>
      </c>
      <c r="AN141" s="470">
        <f t="shared" ca="1" si="32"/>
        <v>0</v>
      </c>
    </row>
    <row r="142" spans="1:40" ht="26.4" x14ac:dyDescent="0.3">
      <c r="A142" t="str">
        <f t="shared" si="1"/>
        <v>S</v>
      </c>
      <c r="B142">
        <f t="shared" ca="1" si="2"/>
        <v>2</v>
      </c>
      <c r="C142" t="str">
        <f t="shared" ca="1" si="3"/>
        <v>S</v>
      </c>
      <c r="D142">
        <f t="shared" ca="1" si="4"/>
        <v>0</v>
      </c>
      <c r="E142">
        <f ca="1">IF($C142=1,OFFSET(E142,-1,0)+MAX(1,COUNTIF(QCI!$A$13:$A$24,OFFSET(ORÇAMENTO!E142,-1,0))),OFFSET(E142,-1,0))</f>
        <v>4</v>
      </c>
      <c r="F142">
        <f t="shared" ca="1" si="5"/>
        <v>2</v>
      </c>
      <c r="G142">
        <f t="shared" ca="1" si="6"/>
        <v>0</v>
      </c>
      <c r="H142">
        <f t="shared" ca="1" si="7"/>
        <v>0</v>
      </c>
      <c r="I142">
        <f t="shared" ca="1" si="8"/>
        <v>1</v>
      </c>
      <c r="J142">
        <f t="shared" ca="1" si="28"/>
        <v>0</v>
      </c>
      <c r="K142">
        <f ca="1">IF(OR($C142="S",$C142=0),0,MATCH(OFFSET($D142,0,$C142)+IF($C142&lt;&gt;1,1,COUNTIF(QCI!$A$13:$A$24,ORÇAMENTO!E142)),OFFSET($D142,1,$C142,ROW($C$165)-ROW($C142)),0))</f>
        <v>0</v>
      </c>
      <c r="L142" s="114" t="str">
        <f t="shared" ca="1" si="10"/>
        <v>F</v>
      </c>
      <c r="M142" s="115" t="s">
        <v>705</v>
      </c>
      <c r="N142" s="116" t="str">
        <f t="shared" ca="1" si="11"/>
        <v>Serviço</v>
      </c>
      <c r="O142" s="117" t="str">
        <f t="shared" ca="1" si="12"/>
        <v>4.2.1.</v>
      </c>
      <c r="P142" s="118" t="s">
        <v>956</v>
      </c>
      <c r="Q142" s="119" t="s">
        <v>1032</v>
      </c>
      <c r="R142" s="120" t="str">
        <f ca="1">IF($C142="S",REFERENCIA.Descricao,"(digite a descrição aqui)")</f>
        <v>Base ou sub-base de macadame seco com brita comercial - 100% Proctor modificado</v>
      </c>
      <c r="S142" s="121" t="str">
        <f ca="1">REFERENCIA.Unidade</f>
        <v>m³</v>
      </c>
      <c r="T142" s="122">
        <f ca="1">OFFSET(CÁLCULO!H$15,ROW($T142)-ROW(T$15),0)</f>
        <v>341.1</v>
      </c>
      <c r="U142" s="123">
        <f t="shared" ref="U142:U155" ca="1" si="46">AG142</f>
        <v>199.07</v>
      </c>
      <c r="V142" s="124" t="s">
        <v>663</v>
      </c>
      <c r="W142" s="122">
        <f ca="1">IF($C142="S",ROUND(IF(TIPOORCAMENTO="Proposto",ORÇAMENTO.CustoUnitario*(1+$AH142),ORÇAMENTO.PrecoUnitarioLicitado),15-13*$AF$10),0)</f>
        <v>244.52</v>
      </c>
      <c r="X142" s="125" cm="1">
        <f t="array" aca="1" ref="X142" ca="1">IF($C142="S",IF(OR(Import.TipoArredondamento&lt;&gt;"TransfereGOV",ACOMPANHAMENTO="BM"),VTOTAL1,SUM(OFFSET(CÁLCULO!$AI$15,ROW($X142)-ROW($X$15),1):OFFSET(CÁLCULO!$BB$15,ROW($X142)-ROW($X$15),-1))),IF($C142=0,0,ROUND(SomaAgrup,15-13*$AF$11)))</f>
        <v>83405.77</v>
      </c>
      <c r="Y142" s="126" t="s">
        <v>751</v>
      </c>
      <c r="Z142" t="str">
        <f t="shared" ca="1" si="13"/>
        <v>RA</v>
      </c>
      <c r="AA142" s="127">
        <f ca="1">IF($C142="S",IF($Z142="CP",$X142,IF($Z142="RA",(($X142)*QCI!$AA$3),0)),SomaAgrup)</f>
        <v>23037.829114336044</v>
      </c>
      <c r="AB142" s="128">
        <f t="shared" ca="1" si="14"/>
        <v>0</v>
      </c>
      <c r="AC142" s="565" t="e"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IF(AND(_xlfn.SINGLE(TIPOORCAMENTO)="Licitado",$AL142=0,$AN142&gt;0),"SEM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#NAME?</v>
      </c>
      <c r="AD142" t="str">
        <f ca="1">IF(C142&lt;=CRONO.NivelExibicao,MAX($AD$15:OFFSET(AD142,-1,0))+IF($C142&lt;&gt;1,1,MAX(1,COUNTIF(QCI!$A$13:$A$24,OFFSET($E142,-1,0)))),"")</f>
        <v/>
      </c>
      <c r="AE142" s="7" t="str">
        <f ca="1">IF(AND($C142="S",ORÇAMENTO.CodBarra&lt;&gt;""),IF(ORÇAMENTO.Fonte="",ORÇAMENTO.CodBarra,CONCATENATE(ORÇAMENTO.Fonte," ",ORÇAMENTO.CodBarra)))</f>
        <v>SICRO 4011279</v>
      </c>
      <c r="AF142" s="12">
        <f ca="1">IF(ISERROR(INDIRECT(ORÇAMENTO.BancoRef)),"(abra o arquivo 'Referência "&amp;Excel_BuiltIn_Database&amp;".xlsm)",IF(OR($C142&lt;&gt;"S",ORÇAMENTO.CodBarra=""),"(Sem Código)",IF(ISERROR(MATCH($AE142,INDIRECT(ORÇAMENTO.BancoRef),0)),"(Código não identificado nas referências)",MATCH($AE142,INDIRECT(ORÇAMENTO.BancoRef),0))))</f>
        <v>20341</v>
      </c>
      <c r="AG142" s="428">
        <f ca="1">ROUND(IF(DESONERACAO="sim",REFERENCIA.Desonerado,REFERENCIA.NaoDesonerado),2)</f>
        <v>199.07</v>
      </c>
      <c r="AH142" s="429">
        <f t="shared" ca="1" si="15"/>
        <v>0.2283</v>
      </c>
      <c r="AJ142" s="431"/>
      <c r="AL142" s="439"/>
      <c r="AM142" s="336">
        <f t="shared" ca="1" si="19"/>
        <v>83405.77</v>
      </c>
      <c r="AN142" s="470">
        <f t="shared" ca="1" si="16"/>
        <v>244.52</v>
      </c>
    </row>
    <row r="143" spans="1:40" ht="13.8" x14ac:dyDescent="0.3">
      <c r="A143" t="str">
        <f t="shared" si="1"/>
        <v>S</v>
      </c>
      <c r="B143">
        <f t="shared" ca="1" si="2"/>
        <v>2</v>
      </c>
      <c r="C143" t="str">
        <f t="shared" ca="1" si="3"/>
        <v>S</v>
      </c>
      <c r="D143">
        <f t="shared" ca="1" si="4"/>
        <v>0</v>
      </c>
      <c r="E143">
        <f ca="1">IF($C143=1,OFFSET(E143,-1,0)+MAX(1,COUNTIF(QCI!$A$13:$A$24,OFFSET(ORÇAMENTO!E143,-1,0))),OFFSET(E143,-1,0))</f>
        <v>4</v>
      </c>
      <c r="F143">
        <f t="shared" ca="1" si="5"/>
        <v>2</v>
      </c>
      <c r="G143">
        <f t="shared" ca="1" si="6"/>
        <v>0</v>
      </c>
      <c r="H143">
        <f t="shared" ca="1" si="7"/>
        <v>0</v>
      </c>
      <c r="I143">
        <f t="shared" ca="1" si="8"/>
        <v>2</v>
      </c>
      <c r="J143">
        <f t="shared" ca="1" si="28"/>
        <v>0</v>
      </c>
      <c r="K143">
        <f ca="1">IF(OR($C143="S",$C143=0),0,MATCH(OFFSET($D143,0,$C143)+IF($C143&lt;&gt;1,1,COUNTIF(QCI!$A$13:$A$24,ORÇAMENTO!E143)),OFFSET($D143,1,$C143,ROW($C$165)-ROW($C143)),0))</f>
        <v>0</v>
      </c>
      <c r="L143" s="114" t="str">
        <f t="shared" ca="1" si="10"/>
        <v>F</v>
      </c>
      <c r="M143" s="115" t="s">
        <v>705</v>
      </c>
      <c r="N143" s="116" t="str">
        <f t="shared" ca="1" si="11"/>
        <v>Serviço</v>
      </c>
      <c r="O143" s="117" t="str">
        <f t="shared" ca="1" si="12"/>
        <v>4.2.2.</v>
      </c>
      <c r="P143" s="118" t="s">
        <v>956</v>
      </c>
      <c r="Q143" s="119" t="s">
        <v>1022</v>
      </c>
      <c r="R143" s="120" t="str">
        <f ca="1">IF($C143="S",REFERENCIA.Descricao,"(digite a descrição aqui)")</f>
        <v>Transporte com caminhão basculante de 10 m³ - rodovia pavimentada</v>
      </c>
      <c r="S143" s="121" t="str">
        <f ca="1">REFERENCIA.Unidade</f>
        <v>tkm</v>
      </c>
      <c r="T143" s="122">
        <f ca="1">OFFSET(CÁLCULO!H$15,ROW($T143)-ROW(T$15),0)</f>
        <v>10744.65</v>
      </c>
      <c r="U143" s="123">
        <f t="shared" ca="1" si="46"/>
        <v>0.82</v>
      </c>
      <c r="V143" s="124" t="s">
        <v>663</v>
      </c>
      <c r="W143" s="122">
        <f ca="1">IF($C143="S",ROUND(IF(TIPOORCAMENTO="Proposto",ORÇAMENTO.CustoUnitario*(1+$AH143),ORÇAMENTO.PrecoUnitarioLicitado),15-13*$AF$10),0)</f>
        <v>1.01</v>
      </c>
      <c r="X143" s="125" cm="1">
        <f t="array" aca="1" ref="X143" ca="1">IF($C143="S",IF(OR(Import.TipoArredondamento&lt;&gt;"TransfereGOV",ACOMPANHAMENTO="BM"),VTOTAL1,SUM(OFFSET(CÁLCULO!$AI$15,ROW($X143)-ROW($X$15),1):OFFSET(CÁLCULO!$BB$15,ROW($X143)-ROW($X$15),-1))),IF($C143=0,0,ROUND(SomaAgrup,15-13*$AF$11)))</f>
        <v>10852.1</v>
      </c>
      <c r="Y143" s="126" t="s">
        <v>751</v>
      </c>
      <c r="Z143" t="str">
        <f t="shared" ca="1" si="13"/>
        <v>RA</v>
      </c>
      <c r="AA143" s="127">
        <f ca="1">IF($C143="S",IF($Z143="CP",$X143,IF($Z143="RA",(($X143)*QCI!$AA$3),0)),SomaAgrup)</f>
        <v>2997.5003567701156</v>
      </c>
      <c r="AB143" s="128">
        <f t="shared" ca="1" si="14"/>
        <v>0</v>
      </c>
      <c r="AC143" s="565" t="e"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IF(AND(_xlfn.SINGLE(TIPOORCAMENTO)="Licitado",$AL143=0,$AN143&gt;0),"SEM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#NAME?</v>
      </c>
      <c r="AD143" t="str">
        <f ca="1">IF(C143&lt;=CRONO.NivelExibicao,MAX($AD$15:OFFSET(AD143,-1,0))+IF($C143&lt;&gt;1,1,MAX(1,COUNTIF(QCI!$A$13:$A$24,OFFSET($E143,-1,0)))),"")</f>
        <v/>
      </c>
      <c r="AE143" s="7" t="str">
        <f ca="1">IF(AND($C143="S",ORÇAMENTO.CodBarra&lt;&gt;""),IF(ORÇAMENTO.Fonte="",ORÇAMENTO.CodBarra,CONCATENATE(ORÇAMENTO.Fonte," ",ORÇAMENTO.CodBarra)))</f>
        <v>SICRO 5914389</v>
      </c>
      <c r="AF143" s="12">
        <f ca="1">IF(ISERROR(INDIRECT(ORÇAMENTO.BancoRef)),"(abra o arquivo 'Referência "&amp;Excel_BuiltIn_Database&amp;".xlsm)",IF(OR($C143&lt;&gt;"S",ORÇAMENTO.CodBarra=""),"(Sem Código)",IF(ISERROR(MATCH($AE143,INDIRECT(ORÇAMENTO.BancoRef),0)),"(Código não identificado nas referências)",MATCH($AE143,INDIRECT(ORÇAMENTO.BancoRef),0))))</f>
        <v>21868</v>
      </c>
      <c r="AG143" s="428">
        <f ca="1">ROUND(IF(DESONERACAO="sim",REFERENCIA.Desonerado,REFERENCIA.NaoDesonerado),2)</f>
        <v>0.82</v>
      </c>
      <c r="AH143" s="429">
        <f t="shared" ca="1" si="15"/>
        <v>0.2283</v>
      </c>
      <c r="AJ143" s="431"/>
      <c r="AL143" s="439"/>
      <c r="AM143" s="336">
        <f t="shared" ca="1" si="0"/>
        <v>10852.1</v>
      </c>
      <c r="AN143" s="470">
        <f t="shared" ca="1" si="16"/>
        <v>1.01</v>
      </c>
    </row>
    <row r="144" spans="1:40" ht="26.4" x14ac:dyDescent="0.3">
      <c r="A144" t="str">
        <f t="shared" si="1"/>
        <v>S</v>
      </c>
      <c r="B144">
        <f t="shared" ca="1" si="2"/>
        <v>2</v>
      </c>
      <c r="C144" t="str">
        <f t="shared" ca="1" si="3"/>
        <v>S</v>
      </c>
      <c r="D144">
        <f t="shared" ca="1" si="4"/>
        <v>0</v>
      </c>
      <c r="E144">
        <f ca="1">IF($C144=1,OFFSET(E144,-1,0)+MAX(1,COUNTIF(QCI!$A$13:$A$24,OFFSET(ORÇAMENTO!E144,-1,0))),OFFSET(E144,-1,0))</f>
        <v>4</v>
      </c>
      <c r="F144">
        <f t="shared" ca="1" si="5"/>
        <v>2</v>
      </c>
      <c r="G144">
        <f t="shared" ca="1" si="6"/>
        <v>0</v>
      </c>
      <c r="H144">
        <f t="shared" ca="1" si="7"/>
        <v>0</v>
      </c>
      <c r="I144">
        <f t="shared" ca="1" si="8"/>
        <v>3</v>
      </c>
      <c r="J144">
        <f t="shared" ref="J144:J164" ca="1" si="47">IF(OR($C144="S",$C144=0),0,MATCH(0,OFFSET($D144,1,$C144,ROW($C$165)-ROW($C144)),0))</f>
        <v>0</v>
      </c>
      <c r="K144">
        <f ca="1">IF(OR($C144="S",$C144=0),0,MATCH(OFFSET($D144,0,$C144)+IF($C144&lt;&gt;1,1,COUNTIF(QCI!$A$13:$A$24,ORÇAMENTO!E144)),OFFSET($D144,1,$C144,ROW($C$165)-ROW($C144)),0))</f>
        <v>0</v>
      </c>
      <c r="L144" s="114" t="str">
        <f t="shared" ca="1" si="10"/>
        <v>F</v>
      </c>
      <c r="M144" s="115" t="s">
        <v>705</v>
      </c>
      <c r="N144" s="116" t="str">
        <f t="shared" ca="1" si="11"/>
        <v>Serviço</v>
      </c>
      <c r="O144" s="117" t="str">
        <f t="shared" ca="1" si="12"/>
        <v>4.2.3.</v>
      </c>
      <c r="P144" s="118" t="s">
        <v>956</v>
      </c>
      <c r="Q144" s="119" t="s">
        <v>1033</v>
      </c>
      <c r="R144" s="120" t="str">
        <f ca="1">IF($C144="S",REFERENCIA.Descricao,"(digite a descrição aqui)")</f>
        <v>Base ou sub-base de brita graduada com brita comercial - 100% Proctor modificado</v>
      </c>
      <c r="S144" s="121" t="str">
        <f ca="1">REFERENCIA.Unidade</f>
        <v>m³</v>
      </c>
      <c r="T144" s="122">
        <f ca="1">OFFSET(CÁLCULO!H$15,ROW($T144)-ROW(T$15),0)</f>
        <v>272.88</v>
      </c>
      <c r="U144" s="123">
        <f t="shared" ca="1" si="46"/>
        <v>237.49</v>
      </c>
      <c r="V144" s="124" t="s">
        <v>663</v>
      </c>
      <c r="W144" s="122">
        <f ca="1">IF($C144="S",ROUND(IF(TIPOORCAMENTO="Proposto",ORÇAMENTO.CustoUnitario*(1+$AH144),ORÇAMENTO.PrecoUnitarioLicitado),15-13*$AF$10),0)</f>
        <v>291.70999999999998</v>
      </c>
      <c r="X144" s="125" cm="1">
        <f t="array" aca="1" ref="X144" ca="1">IF($C144="S",IF(OR(Import.TipoArredondamento&lt;&gt;"TransfereGOV",ACOMPANHAMENTO="BM"),VTOTAL1,SUM(OFFSET(CÁLCULO!$AI$15,ROW($X144)-ROW($X$15),1):OFFSET(CÁLCULO!$BB$15,ROW($X144)-ROW($X$15),-1))),IF($C144=0,0,ROUND(SomaAgrup,15-13*$AF$11)))</f>
        <v>79601.820000000007</v>
      </c>
      <c r="Y144" s="126" t="s">
        <v>751</v>
      </c>
      <c r="Z144" t="str">
        <f t="shared" ca="1" si="13"/>
        <v>RA</v>
      </c>
      <c r="AA144" s="127">
        <f ca="1">IF($C144="S",IF($Z144="CP",$X144,IF($Z144="RA",(($X144)*QCI!$AA$3),0)),SomaAgrup)</f>
        <v>21987.125427295225</v>
      </c>
      <c r="AB144" s="128">
        <f t="shared" ca="1" si="14"/>
        <v>0</v>
      </c>
      <c r="AC144" s="565" t="e"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IF(AND(_xlfn.SINGLE(TIPOORCAMENTO)="Licitado",$AL144=0,$AN144&gt;0),"SEM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#NAME?</v>
      </c>
      <c r="AD144" t="str">
        <f ca="1">IF(C144&lt;=CRONO.NivelExibicao,MAX($AD$15:OFFSET(AD144,-1,0))+IF($C144&lt;&gt;1,1,MAX(1,COUNTIF(QCI!$A$13:$A$24,OFFSET($E144,-1,0)))),"")</f>
        <v/>
      </c>
      <c r="AE144" s="7" t="str">
        <f ca="1">IF(AND($C144="S",ORÇAMENTO.CodBarra&lt;&gt;""),IF(ORÇAMENTO.Fonte="",ORÇAMENTO.CodBarra,CONCATENATE(ORÇAMENTO.Fonte," ",ORÇAMENTO.CodBarra)))</f>
        <v>SICRO 4011276</v>
      </c>
      <c r="AF144" s="12">
        <f ca="1">IF(ISERROR(INDIRECT(ORÇAMENTO.BancoRef)),"(abra o arquivo 'Referência "&amp;Excel_BuiltIn_Database&amp;".xlsm)",IF(OR($C144&lt;&gt;"S",ORÇAMENTO.CodBarra=""),"(Sem Código)",IF(ISERROR(MATCH($AE144,INDIRECT(ORÇAMENTO.BancoRef),0)),"(Código não identificado nas referências)",MATCH($AE144,INDIRECT(ORÇAMENTO.BancoRef),0))))</f>
        <v>20331</v>
      </c>
      <c r="AG144" s="428">
        <f ca="1">ROUND(IF(DESONERACAO="sim",REFERENCIA.Desonerado,REFERENCIA.NaoDesonerado),2)</f>
        <v>237.49</v>
      </c>
      <c r="AH144" s="429">
        <f t="shared" ca="1" si="15"/>
        <v>0.2283</v>
      </c>
      <c r="AJ144" s="431"/>
      <c r="AL144" s="439"/>
      <c r="AM144" s="336">
        <f t="shared" ca="1" si="0"/>
        <v>79601.820000000007</v>
      </c>
      <c r="AN144" s="470">
        <f t="shared" ca="1" si="16"/>
        <v>291.70999999999998</v>
      </c>
    </row>
    <row r="145" spans="1:40" ht="13.8" x14ac:dyDescent="0.3">
      <c r="A145" t="str">
        <f t="shared" si="1"/>
        <v>S</v>
      </c>
      <c r="B145">
        <f t="shared" ca="1" si="2"/>
        <v>2</v>
      </c>
      <c r="C145" t="str">
        <f t="shared" ca="1" si="3"/>
        <v>S</v>
      </c>
      <c r="D145">
        <f t="shared" ca="1" si="4"/>
        <v>0</v>
      </c>
      <c r="E145">
        <f ca="1">IF($C145=1,OFFSET(E145,-1,0)+MAX(1,COUNTIF(QCI!$A$13:$A$24,OFFSET(ORÇAMENTO!E145,-1,0))),OFFSET(E145,-1,0))</f>
        <v>4</v>
      </c>
      <c r="F145">
        <f t="shared" ca="1" si="5"/>
        <v>2</v>
      </c>
      <c r="G145">
        <f t="shared" ca="1" si="6"/>
        <v>0</v>
      </c>
      <c r="H145">
        <f t="shared" ca="1" si="7"/>
        <v>0</v>
      </c>
      <c r="I145">
        <f t="shared" ca="1" si="8"/>
        <v>4</v>
      </c>
      <c r="J145">
        <f t="shared" ca="1" si="47"/>
        <v>0</v>
      </c>
      <c r="K145">
        <f ca="1">IF(OR($C145="S",$C145=0),0,MATCH(OFFSET($D145,0,$C145)+IF($C145&lt;&gt;1,1,COUNTIF(QCI!$A$13:$A$24,ORÇAMENTO!E145)),OFFSET($D145,1,$C145,ROW($C$165)-ROW($C145)),0))</f>
        <v>0</v>
      </c>
      <c r="L145" s="114" t="str">
        <f t="shared" ca="1" si="10"/>
        <v>F</v>
      </c>
      <c r="M145" s="115" t="s">
        <v>705</v>
      </c>
      <c r="N145" s="116" t="str">
        <f t="shared" ca="1" si="11"/>
        <v>Serviço</v>
      </c>
      <c r="O145" s="117" t="str">
        <f t="shared" ca="1" si="12"/>
        <v>4.2.4.</v>
      </c>
      <c r="P145" s="118" t="s">
        <v>956</v>
      </c>
      <c r="Q145" s="119" t="s">
        <v>1022</v>
      </c>
      <c r="R145" s="120" t="str">
        <f ca="1">IF($C145="S",REFERENCIA.Descricao,"(digite a descrição aqui)")</f>
        <v>Transporte com caminhão basculante de 10 m³ - rodovia pavimentada</v>
      </c>
      <c r="S145" s="121" t="str">
        <f ca="1">REFERENCIA.Unidade</f>
        <v>tkm</v>
      </c>
      <c r="T145" s="122">
        <f ca="1">OFFSET(CÁLCULO!H$15,ROW($T145)-ROW(T$15),0)</f>
        <v>8595.7199999999993</v>
      </c>
      <c r="U145" s="123">
        <f t="shared" ca="1" si="46"/>
        <v>0.82</v>
      </c>
      <c r="V145" s="124" t="s">
        <v>663</v>
      </c>
      <c r="W145" s="122">
        <f ca="1">IF($C145="S",ROUND(IF(TIPOORCAMENTO="Proposto",ORÇAMENTO.CustoUnitario*(1+$AH145),ORÇAMENTO.PrecoUnitarioLicitado),15-13*$AF$10),0)</f>
        <v>1.01</v>
      </c>
      <c r="X145" s="125" cm="1">
        <f t="array" aca="1" ref="X145" ca="1">IF($C145="S",IF(OR(Import.TipoArredondamento&lt;&gt;"TransfereGOV",ACOMPANHAMENTO="BM"),VTOTAL1,SUM(OFFSET(CÁLCULO!$AI$15,ROW($X145)-ROW($X$15),1):OFFSET(CÁLCULO!$BB$15,ROW($X145)-ROW($X$15),-1))),IF($C145=0,0,ROUND(SomaAgrup,15-13*$AF$11)))</f>
        <v>8681.68</v>
      </c>
      <c r="Y145" s="126" t="s">
        <v>751</v>
      </c>
      <c r="Z145" t="str">
        <f t="shared" ca="1" si="13"/>
        <v>RA</v>
      </c>
      <c r="AA145" s="127">
        <f ca="1">IF($C145="S",IF($Z145="CP",$X145,IF($Z145="RA",(($X145)*QCI!$AA$3),0)),SomaAgrup)</f>
        <v>2398.0002854160921</v>
      </c>
      <c r="AB145" s="128">
        <f t="shared" ca="1" si="14"/>
        <v>0</v>
      </c>
      <c r="AC145" s="565" t="e"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IF(AND(_xlfn.SINGLE(TIPOORCAMENTO)="Licitado",$AL145=0,$AN145&gt;0),"SEM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#NAME?</v>
      </c>
      <c r="AD145" t="str">
        <f ca="1">IF(C145&lt;=CRONO.NivelExibicao,MAX($AD$15:OFFSET(AD145,-1,0))+IF($C145&lt;&gt;1,1,MAX(1,COUNTIF(QCI!$A$13:$A$24,OFFSET($E145,-1,0)))),"")</f>
        <v/>
      </c>
      <c r="AE145" s="7" t="str">
        <f ca="1">IF(AND($C145="S",ORÇAMENTO.CodBarra&lt;&gt;""),IF(ORÇAMENTO.Fonte="",ORÇAMENTO.CodBarra,CONCATENATE(ORÇAMENTO.Fonte," ",ORÇAMENTO.CodBarra)))</f>
        <v>SICRO 5914389</v>
      </c>
      <c r="AF145" s="12">
        <f ca="1">IF(ISERROR(INDIRECT(ORÇAMENTO.BancoRef)),"(abra o arquivo 'Referência "&amp;Excel_BuiltIn_Database&amp;".xlsm)",IF(OR($C145&lt;&gt;"S",ORÇAMENTO.CodBarra=""),"(Sem Código)",IF(ISERROR(MATCH($AE145,INDIRECT(ORÇAMENTO.BancoRef),0)),"(Código não identificado nas referências)",MATCH($AE145,INDIRECT(ORÇAMENTO.BancoRef),0))))</f>
        <v>21868</v>
      </c>
      <c r="AG145" s="428">
        <f ca="1">ROUND(IF(DESONERACAO="sim",REFERENCIA.Desonerado,REFERENCIA.NaoDesonerado),2)</f>
        <v>0.82</v>
      </c>
      <c r="AH145" s="429">
        <f t="shared" ca="1" si="15"/>
        <v>0.2283</v>
      </c>
      <c r="AJ145" s="431"/>
      <c r="AL145" s="439"/>
      <c r="AM145" s="336">
        <f t="shared" ca="1" si="0"/>
        <v>8681.68</v>
      </c>
      <c r="AN145" s="470">
        <f t="shared" ca="1" si="16"/>
        <v>1.01</v>
      </c>
    </row>
    <row r="146" spans="1:40" ht="13.8" x14ac:dyDescent="0.3">
      <c r="A146" t="str">
        <f t="shared" si="1"/>
        <v>S</v>
      </c>
      <c r="B146">
        <f t="shared" ca="1" si="2"/>
        <v>2</v>
      </c>
      <c r="C146" t="str">
        <f t="shared" ca="1" si="3"/>
        <v>S</v>
      </c>
      <c r="D146">
        <f t="shared" ca="1" si="4"/>
        <v>0</v>
      </c>
      <c r="E146">
        <f ca="1">IF($C146=1,OFFSET(E146,-1,0)+MAX(1,COUNTIF(QCI!$A$13:$A$24,OFFSET(ORÇAMENTO!E146,-1,0))),OFFSET(E146,-1,0))</f>
        <v>4</v>
      </c>
      <c r="F146">
        <f t="shared" ca="1" si="5"/>
        <v>2</v>
      </c>
      <c r="G146">
        <f t="shared" ca="1" si="6"/>
        <v>0</v>
      </c>
      <c r="H146">
        <f t="shared" ca="1" si="7"/>
        <v>0</v>
      </c>
      <c r="I146">
        <f t="shared" ca="1" si="8"/>
        <v>5</v>
      </c>
      <c r="J146">
        <f t="shared" ca="1" si="47"/>
        <v>0</v>
      </c>
      <c r="K146">
        <f ca="1">IF(OR($C146="S",$C146=0),0,MATCH(OFFSET($D146,0,$C146)+IF($C146&lt;&gt;1,1,COUNTIF(QCI!$A$13:$A$24,ORÇAMENTO!E146)),OFFSET($D146,1,$C146,ROW($C$165)-ROW($C146)),0))</f>
        <v>0</v>
      </c>
      <c r="L146" s="114" t="str">
        <f t="shared" ca="1" si="10"/>
        <v>F</v>
      </c>
      <c r="M146" s="115" t="s">
        <v>705</v>
      </c>
      <c r="N146" s="116" t="str">
        <f t="shared" ca="1" si="11"/>
        <v>Serviço</v>
      </c>
      <c r="O146" s="117" t="str">
        <f t="shared" ca="1" si="12"/>
        <v>4.2.5.</v>
      </c>
      <c r="P146" s="118" t="s">
        <v>956</v>
      </c>
      <c r="Q146" s="119" t="s">
        <v>1013</v>
      </c>
      <c r="R146" s="120" t="str">
        <f ca="1">IF($C146="S",REFERENCIA.Descricao,"(digite a descrição aqui)")</f>
        <v>Imprimação com emulsão asfáltica</v>
      </c>
      <c r="S146" s="121" t="str">
        <f ca="1">REFERENCIA.Unidade</f>
        <v>m²</v>
      </c>
      <c r="T146" s="122">
        <f ca="1">OFFSET(CÁLCULO!H$15,ROW($T146)-ROW(T$15),0)</f>
        <v>2274</v>
      </c>
      <c r="U146" s="123">
        <f t="shared" ca="1" si="46"/>
        <v>0.66</v>
      </c>
      <c r="V146" s="124" t="s">
        <v>663</v>
      </c>
      <c r="W146" s="122">
        <f ca="1">IF($C146="S",ROUND(IF(TIPOORCAMENTO="Proposto",ORÇAMENTO.CustoUnitario*(1+$AH146),ORÇAMENTO.PrecoUnitarioLicitado),15-13*$AF$10),0)</f>
        <v>0.81</v>
      </c>
      <c r="X146" s="125" cm="1">
        <f t="array" aca="1" ref="X146" ca="1">IF($C146="S",IF(OR(Import.TipoArredondamento&lt;&gt;"TransfereGOV",ACOMPANHAMENTO="BM"),VTOTAL1,SUM(OFFSET(CÁLCULO!$AI$15,ROW($X146)-ROW($X$15),1):OFFSET(CÁLCULO!$BB$15,ROW($X146)-ROW($X$15),-1))),IF($C146=0,0,ROUND(SomaAgrup,15-13*$AF$11)))</f>
        <v>1841.94</v>
      </c>
      <c r="Y146" s="126" t="s">
        <v>751</v>
      </c>
      <c r="Z146" t="str">
        <f t="shared" ca="1" si="13"/>
        <v>RA</v>
      </c>
      <c r="AA146" s="127">
        <f ca="1">IF($C146="S",IF($Z146="CP",$X146,IF($Z146="RA",(($X146)*QCI!$AA$3),0)),SomaAgrup)</f>
        <v>508.76934484101201</v>
      </c>
      <c r="AB146" s="128">
        <f t="shared" ca="1" si="14"/>
        <v>0</v>
      </c>
      <c r="AC146" s="565" t="e"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IF(AND(_xlfn.SINGLE(TIPOORCAMENTO)="Licitado",$AL146=0,$AN146&gt;0),"SEM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#NAME?</v>
      </c>
      <c r="AD146" t="str">
        <f ca="1">IF(C146&lt;=CRONO.NivelExibicao,MAX($AD$15:OFFSET(AD146,-1,0))+IF($C146&lt;&gt;1,1,MAX(1,COUNTIF(QCI!$A$13:$A$24,OFFSET($E146,-1,0)))),"")</f>
        <v/>
      </c>
      <c r="AE146" s="7" t="str">
        <f ca="1">IF(AND($C146="S",ORÇAMENTO.CodBarra&lt;&gt;""),IF(ORÇAMENTO.Fonte="",ORÇAMENTO.CodBarra,CONCATENATE(ORÇAMENTO.Fonte," ",ORÇAMENTO.CodBarra)))</f>
        <v>SICRO 4011352</v>
      </c>
      <c r="AF146" s="12">
        <f ca="1">IF(ISERROR(INDIRECT(ORÇAMENTO.BancoRef)),"(abra o arquivo 'Referência "&amp;Excel_BuiltIn_Database&amp;".xlsm)",IF(OR($C146&lt;&gt;"S",ORÇAMENTO.CodBarra=""),"(Sem Código)",IF(ISERROR(MATCH($AE146,INDIRECT(ORÇAMENTO.BancoRef),0)),"(Código não identificado nas referências)",MATCH($AE146,INDIRECT(ORÇAMENTO.BancoRef),0))))</f>
        <v>20389</v>
      </c>
      <c r="AG146" s="428">
        <f ca="1">ROUND(IF(DESONERACAO="sim",REFERENCIA.Desonerado,REFERENCIA.NaoDesonerado),2)</f>
        <v>0.66</v>
      </c>
      <c r="AH146" s="429">
        <f t="shared" ca="1" si="15"/>
        <v>0.2283</v>
      </c>
      <c r="AJ146" s="431"/>
      <c r="AL146" s="439"/>
      <c r="AM146" s="336">
        <f t="shared" ca="1" si="0"/>
        <v>1841.94</v>
      </c>
      <c r="AN146" s="470">
        <f t="shared" ca="1" si="16"/>
        <v>0.81</v>
      </c>
    </row>
    <row r="147" spans="1:40" ht="26.4" x14ac:dyDescent="0.3">
      <c r="A147" t="str">
        <f t="shared" si="1"/>
        <v>S</v>
      </c>
      <c r="B147">
        <f t="shared" ca="1" si="2"/>
        <v>2</v>
      </c>
      <c r="C147" t="str">
        <f t="shared" ca="1" si="3"/>
        <v>S</v>
      </c>
      <c r="D147">
        <f t="shared" ca="1" si="4"/>
        <v>0</v>
      </c>
      <c r="E147">
        <f ca="1">IF($C147=1,OFFSET(E147,-1,0)+MAX(1,COUNTIF(QCI!$A$13:$A$24,OFFSET(ORÇAMENTO!E147,-1,0))),OFFSET(E147,-1,0))</f>
        <v>4</v>
      </c>
      <c r="F147">
        <f t="shared" ca="1" si="5"/>
        <v>2</v>
      </c>
      <c r="G147">
        <f t="shared" ca="1" si="6"/>
        <v>0</v>
      </c>
      <c r="H147">
        <f t="shared" ca="1" si="7"/>
        <v>0</v>
      </c>
      <c r="I147">
        <f t="shared" ca="1" si="8"/>
        <v>6</v>
      </c>
      <c r="J147">
        <f t="shared" ca="1" si="47"/>
        <v>0</v>
      </c>
      <c r="K147">
        <f ca="1">IF(OR($C147="S",$C147=0),0,MATCH(OFFSET($D147,0,$C147)+IF($C147&lt;&gt;1,1,COUNTIF(QCI!$A$13:$A$24,ORÇAMENTO!E147)),OFFSET($D147,1,$C147,ROW($C$165)-ROW($C147)),0))</f>
        <v>0</v>
      </c>
      <c r="L147" s="114" t="str">
        <f t="shared" ca="1" si="10"/>
        <v>F</v>
      </c>
      <c r="M147" s="115" t="s">
        <v>705</v>
      </c>
      <c r="N147" s="116" t="str">
        <f t="shared" ca="1" si="11"/>
        <v>Serviço</v>
      </c>
      <c r="O147" s="117" t="str">
        <f t="shared" ca="1" si="12"/>
        <v>4.2.6.</v>
      </c>
      <c r="P147" s="118" t="s">
        <v>958</v>
      </c>
      <c r="Q147" s="119" t="s">
        <v>1014</v>
      </c>
      <c r="R147" s="120" t="str">
        <f ca="1">IF($C147="S",REFERENCIA.Descricao,"(digite a descrição aqui)")</f>
        <v>EMULSÃO ASFÁLTICA PARA SERVIÇO DE IMPRIMAÇÃO COLETADO NA ANP ACRESCIDO DE IMPOSTOS (ICMS, PIS, COFINS)</v>
      </c>
      <c r="S147" s="121" t="str">
        <f ca="1">REFERENCIA.Unidade</f>
        <v>KG</v>
      </c>
      <c r="T147" s="122">
        <f ca="1">OFFSET(CÁLCULO!H$15,ROW($T147)-ROW(T$15),0)</f>
        <v>2956.2</v>
      </c>
      <c r="U147" s="123">
        <f t="shared" ca="1" si="46"/>
        <v>3.44</v>
      </c>
      <c r="V147" s="124" t="s">
        <v>697</v>
      </c>
      <c r="W147" s="122">
        <f ca="1">IF($C147="S",ROUND(IF(TIPOORCAMENTO="Proposto",ORÇAMENTO.CustoUnitario*(1+$AH147),ORÇAMENTO.PrecoUnitarioLicitado),15-13*$AF$10),0)</f>
        <v>3.96</v>
      </c>
      <c r="X147" s="125" cm="1">
        <f t="array" aca="1" ref="X147" ca="1">IF($C147="S",IF(OR(Import.TipoArredondamento&lt;&gt;"TransfereGOV",ACOMPANHAMENTO="BM"),VTOTAL1,SUM(OFFSET(CÁLCULO!$AI$15,ROW($X147)-ROW($X$15),1):OFFSET(CÁLCULO!$BB$15,ROW($X147)-ROW($X$15),-1))),IF($C147=0,0,ROUND(SomaAgrup,15-13*$AF$11)))</f>
        <v>11706.55</v>
      </c>
      <c r="Y147" s="126" t="s">
        <v>751</v>
      </c>
      <c r="Z147" t="str">
        <f t="shared" ca="1" si="13"/>
        <v>RA</v>
      </c>
      <c r="AA147" s="127">
        <f ca="1">IF($C147="S",IF($Z147="CP",$X147,IF($Z147="RA",(($X147)*QCI!$AA$3),0)),SomaAgrup)</f>
        <v>3233.5112836729472</v>
      </c>
      <c r="AB147" s="128">
        <f t="shared" ca="1" si="14"/>
        <v>0</v>
      </c>
      <c r="AC147" s="565" t="e"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IF(AND(_xlfn.SINGLE(TIPOORCAMENTO)="Licitado",$AL147=0,$AN147&gt;0),"SEM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#NAME?</v>
      </c>
      <c r="AD147" t="str">
        <f ca="1">IF(C147&lt;=CRONO.NivelExibicao,MAX($AD$15:OFFSET(AD147,-1,0))+IF($C147&lt;&gt;1,1,MAX(1,COUNTIF(QCI!$A$13:$A$24,OFFSET($E147,-1,0)))),"")</f>
        <v/>
      </c>
      <c r="AE147" s="7" t="str">
        <f ca="1">IF(AND($C147="S",ORÇAMENTO.CodBarra&lt;&gt;""),IF(ORÇAMENTO.Fonte="",ORÇAMENTO.CodBarra,CONCATENATE(ORÇAMENTO.Fonte," ",ORÇAMENTO.CodBarra)))</f>
        <v>Cotação COT 01</v>
      </c>
      <c r="AF147" s="12">
        <f ca="1">IF(ISERROR(INDIRECT(ORÇAMENTO.BancoRef)),"(abra o arquivo 'Referência "&amp;Excel_BuiltIn_Database&amp;".xlsm)",IF(OR($C147&lt;&gt;"S",ORÇAMENTO.CodBarra=""),"(Sem Código)",IF(ISERROR(MATCH($AE147,INDIRECT(ORÇAMENTO.BancoRef),0)),"(Código não identificado nas referências)",MATCH($AE147,INDIRECT(ORÇAMENTO.BancoRef),0))))</f>
        <v>29</v>
      </c>
      <c r="AG147" s="428">
        <f ca="1">ROUND(IF(DESONERACAO="sim",REFERENCIA.Desonerado,REFERENCIA.NaoDesonerado),2)</f>
        <v>3.44</v>
      </c>
      <c r="AH147" s="429">
        <f t="shared" ca="1" si="15"/>
        <v>0.15</v>
      </c>
      <c r="AJ147" s="431"/>
      <c r="AL147" s="439"/>
      <c r="AM147" s="336">
        <f t="shared" ca="1" si="0"/>
        <v>11706.55</v>
      </c>
      <c r="AN147" s="470">
        <f t="shared" ca="1" si="16"/>
        <v>3.96</v>
      </c>
    </row>
    <row r="148" spans="1:40" ht="26.4" x14ac:dyDescent="0.3">
      <c r="A148" t="str">
        <f t="shared" si="1"/>
        <v>S</v>
      </c>
      <c r="B148">
        <f t="shared" ca="1" si="2"/>
        <v>2</v>
      </c>
      <c r="C148" t="str">
        <f t="shared" ca="1" si="3"/>
        <v>S</v>
      </c>
      <c r="D148">
        <f t="shared" ca="1" si="4"/>
        <v>0</v>
      </c>
      <c r="E148">
        <f ca="1">IF($C148=1,OFFSET(E148,-1,0)+MAX(1,COUNTIF(QCI!$A$13:$A$24,OFFSET(ORÇAMENTO!E148,-1,0))),OFFSET(E148,-1,0))</f>
        <v>4</v>
      </c>
      <c r="F148">
        <f t="shared" ca="1" si="5"/>
        <v>2</v>
      </c>
      <c r="G148">
        <f t="shared" ca="1" si="6"/>
        <v>0</v>
      </c>
      <c r="H148">
        <f t="shared" ca="1" si="7"/>
        <v>0</v>
      </c>
      <c r="I148">
        <f t="shared" ca="1" si="8"/>
        <v>7</v>
      </c>
      <c r="J148">
        <f t="shared" ca="1" si="47"/>
        <v>0</v>
      </c>
      <c r="K148">
        <f ca="1">IF(OR($C148="S",$C148=0),0,MATCH(OFFSET($D148,0,$C148)+IF($C148&lt;&gt;1,1,COUNTIF(QCI!$A$13:$A$24,ORÇAMENTO!E148)),OFFSET($D148,1,$C148,ROW($C$165)-ROW($C148)),0))</f>
        <v>0</v>
      </c>
      <c r="L148" s="114" t="str">
        <f t="shared" ca="1" si="10"/>
        <v>F</v>
      </c>
      <c r="M148" s="115" t="s">
        <v>705</v>
      </c>
      <c r="N148" s="116" t="str">
        <f t="shared" ca="1" si="11"/>
        <v>Serviço</v>
      </c>
      <c r="O148" s="117" t="str">
        <f t="shared" ca="1" si="12"/>
        <v>4.2.7.</v>
      </c>
      <c r="P148" s="118" t="s">
        <v>956</v>
      </c>
      <c r="Q148" s="119" t="s">
        <v>1015</v>
      </c>
      <c r="R148" s="120" t="str">
        <f ca="1">IF($C148="S",REFERENCIA.Descricao,"(digite a descrição aqui)")</f>
        <v>Transporte de material betuminoso com caminhão tanque distribuidor - rodovia pavimentada</v>
      </c>
      <c r="S148" s="121" t="str">
        <f ca="1">REFERENCIA.Unidade</f>
        <v>tkm</v>
      </c>
      <c r="T148" s="122">
        <f ca="1">OFFSET(CÁLCULO!H$15,ROW($T148)-ROW(T$15),0)</f>
        <v>996.23</v>
      </c>
      <c r="U148" s="123">
        <f t="shared" ca="1" si="46"/>
        <v>2.2200000000000002</v>
      </c>
      <c r="V148" s="124" t="s">
        <v>697</v>
      </c>
      <c r="W148" s="122">
        <f ca="1">IF($C148="S",ROUND(IF(TIPOORCAMENTO="Proposto",ORÇAMENTO.CustoUnitario*(1+$AH148),ORÇAMENTO.PrecoUnitarioLicitado),15-13*$AF$10),0)</f>
        <v>2.5499999999999998</v>
      </c>
      <c r="X148" s="125" cm="1">
        <f t="array" aca="1" ref="X148" ca="1">IF($C148="S",IF(OR(Import.TipoArredondamento&lt;&gt;"TransfereGOV",ACOMPANHAMENTO="BM"),VTOTAL1,SUM(OFFSET(CÁLCULO!$AI$15,ROW($X148)-ROW($X$15),1):OFFSET(CÁLCULO!$BB$15,ROW($X148)-ROW($X$15),-1))),IF($C148=0,0,ROUND(SomaAgrup,15-13*$AF$11)))</f>
        <v>2540.39</v>
      </c>
      <c r="Y148" s="126" t="s">
        <v>751</v>
      </c>
      <c r="Z148" t="str">
        <f t="shared" ca="1" si="13"/>
        <v>RA</v>
      </c>
      <c r="AA148" s="127">
        <f ca="1">IF($C148="S",IF($Z148="CP",$X148,IF($Z148="RA",(($X148)*QCI!$AA$3),0)),SomaAgrup)</f>
        <v>701.69091063805467</v>
      </c>
      <c r="AB148" s="128">
        <f t="shared" ca="1" si="14"/>
        <v>0</v>
      </c>
      <c r="AC148" s="565" t="e"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IF(AND(_xlfn.SINGLE(TIPOORCAMENTO)="Licitado",$AL148=0,$AN148&gt;0),"SEM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#NAME?</v>
      </c>
      <c r="AD148" t="str">
        <f ca="1">IF(C148&lt;=CRONO.NivelExibicao,MAX($AD$15:OFFSET(AD148,-1,0))+IF($C148&lt;&gt;1,1,MAX(1,COUNTIF(QCI!$A$13:$A$24,OFFSET($E148,-1,0)))),"")</f>
        <v/>
      </c>
      <c r="AE148" s="7" t="str">
        <f ca="1">IF(AND($C148="S",ORÇAMENTO.CodBarra&lt;&gt;""),IF(ORÇAMENTO.Fonte="",ORÇAMENTO.CodBarra,CONCATENATE(ORÇAMENTO.Fonte," ",ORÇAMENTO.CodBarra)))</f>
        <v>SICRO 5914622</v>
      </c>
      <c r="AF148" s="12">
        <f ca="1">IF(ISERROR(INDIRECT(ORÇAMENTO.BancoRef)),"(abra o arquivo 'Referência "&amp;Excel_BuiltIn_Database&amp;".xlsm)",IF(OR($C148&lt;&gt;"S",ORÇAMENTO.CodBarra=""),"(Sem Código)",IF(ISERROR(MATCH($AE148,INDIRECT(ORÇAMENTO.BancoRef),0)),"(Código não identificado nas referências)",MATCH($AE148,INDIRECT(ORÇAMENTO.BancoRef),0))))</f>
        <v>21997</v>
      </c>
      <c r="AG148" s="428">
        <f ca="1">ROUND(IF(DESONERACAO="sim",REFERENCIA.Desonerado,REFERENCIA.NaoDesonerado),2)</f>
        <v>2.2200000000000002</v>
      </c>
      <c r="AH148" s="429">
        <f t="shared" ca="1" si="15"/>
        <v>0.15</v>
      </c>
      <c r="AJ148" s="431"/>
      <c r="AL148" s="439"/>
      <c r="AM148" s="336">
        <f t="shared" ca="1" si="0"/>
        <v>2540.39</v>
      </c>
      <c r="AN148" s="470">
        <f t="shared" ca="1" si="16"/>
        <v>2.5499999999999998</v>
      </c>
    </row>
    <row r="149" spans="1:40" ht="13.8" x14ac:dyDescent="0.3">
      <c r="A149" t="str">
        <f t="shared" si="1"/>
        <v>S</v>
      </c>
      <c r="B149">
        <f t="shared" ca="1" si="2"/>
        <v>2</v>
      </c>
      <c r="C149" t="str">
        <f t="shared" ca="1" si="3"/>
        <v>S</v>
      </c>
      <c r="D149">
        <f t="shared" ca="1" si="4"/>
        <v>0</v>
      </c>
      <c r="E149">
        <f ca="1">IF($C149=1,OFFSET(E149,-1,0)+MAX(1,COUNTIF(QCI!$A$13:$A$24,OFFSET(ORÇAMENTO!E149,-1,0))),OFFSET(E149,-1,0))</f>
        <v>4</v>
      </c>
      <c r="F149">
        <f t="shared" ca="1" si="5"/>
        <v>2</v>
      </c>
      <c r="G149">
        <f t="shared" ca="1" si="6"/>
        <v>0</v>
      </c>
      <c r="H149">
        <f t="shared" ca="1" si="7"/>
        <v>0</v>
      </c>
      <c r="I149">
        <f t="shared" ca="1" si="8"/>
        <v>8</v>
      </c>
      <c r="J149">
        <f t="shared" ca="1" si="47"/>
        <v>0</v>
      </c>
      <c r="K149">
        <f ca="1">IF(OR($C149="S",$C149=0),0,MATCH(OFFSET($D149,0,$C149)+IF($C149&lt;&gt;1,1,COUNTIF(QCI!$A$13:$A$24,ORÇAMENTO!E149)),OFFSET($D149,1,$C149,ROW($C$165)-ROW($C149)),0))</f>
        <v>0</v>
      </c>
      <c r="L149" s="114" t="str">
        <f t="shared" ca="1" si="10"/>
        <v>F</v>
      </c>
      <c r="M149" s="115" t="s">
        <v>705</v>
      </c>
      <c r="N149" s="116" t="str">
        <f t="shared" ca="1" si="11"/>
        <v>Serviço</v>
      </c>
      <c r="O149" s="117" t="str">
        <f t="shared" ca="1" si="12"/>
        <v>4.2.8.</v>
      </c>
      <c r="P149" s="118" t="s">
        <v>956</v>
      </c>
      <c r="Q149" s="119" t="s">
        <v>1019</v>
      </c>
      <c r="R149" s="120" t="str">
        <f ca="1">IF($C149="S",REFERENCIA.Descricao,"(digite a descrição aqui)")</f>
        <v>Pintura de ligação</v>
      </c>
      <c r="S149" s="121" t="str">
        <f ca="1">REFERENCIA.Unidade</f>
        <v>m²</v>
      </c>
      <c r="T149" s="122">
        <f ca="1">OFFSET(CÁLCULO!H$15,ROW($T149)-ROW(T$15),0)</f>
        <v>2274</v>
      </c>
      <c r="U149" s="123">
        <f t="shared" ca="1" si="46"/>
        <v>0.46</v>
      </c>
      <c r="V149" s="124" t="s">
        <v>663</v>
      </c>
      <c r="W149" s="122">
        <f ca="1">IF($C149="S",ROUND(IF(TIPOORCAMENTO="Proposto",ORÇAMENTO.CustoUnitario*(1+$AH149),ORÇAMENTO.PrecoUnitarioLicitado),15-13*$AF$10),0)</f>
        <v>0.56999999999999995</v>
      </c>
      <c r="X149" s="125" cm="1">
        <f t="array" aca="1" ref="X149" ca="1">IF($C149="S",IF(OR(Import.TipoArredondamento&lt;&gt;"TransfereGOV",ACOMPANHAMENTO="BM"),VTOTAL1,SUM(OFFSET(CÁLCULO!$AI$15,ROW($X149)-ROW($X$15),1):OFFSET(CÁLCULO!$BB$15,ROW($X149)-ROW($X$15),-1))),IF($C149=0,0,ROUND(SomaAgrup,15-13*$AF$11)))</f>
        <v>1296.18</v>
      </c>
      <c r="Y149" s="126" t="s">
        <v>751</v>
      </c>
      <c r="Z149" t="str">
        <f t="shared" ca="1" si="13"/>
        <v>RA</v>
      </c>
      <c r="AA149" s="127">
        <f ca="1">IF($C149="S",IF($Z149="CP",$X149,IF($Z149="RA",(($X149)*QCI!$AA$3),0)),SomaAgrup)</f>
        <v>358.02287229552695</v>
      </c>
      <c r="AB149" s="128">
        <f t="shared" ca="1" si="14"/>
        <v>0</v>
      </c>
      <c r="AC149" s="565" t="e"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IF(AND(_xlfn.SINGLE(TIPOORCAMENTO)="Licitado",$AL149=0,$AN149&gt;0),"SEM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#NAME?</v>
      </c>
      <c r="AD149" t="str">
        <f ca="1">IF(C149&lt;=CRONO.NivelExibicao,MAX($AD$15:OFFSET(AD149,-1,0))+IF($C149&lt;&gt;1,1,MAX(1,COUNTIF(QCI!$A$13:$A$24,OFFSET($E149,-1,0)))),"")</f>
        <v/>
      </c>
      <c r="AE149" s="7" t="str">
        <f ca="1">IF(AND($C149="S",ORÇAMENTO.CodBarra&lt;&gt;""),IF(ORÇAMENTO.Fonte="",ORÇAMENTO.CodBarra,CONCATENATE(ORÇAMENTO.Fonte," ",ORÇAMENTO.CodBarra)))</f>
        <v>SICRO 4011353</v>
      </c>
      <c r="AF149" s="12">
        <f ca="1">IF(ISERROR(INDIRECT(ORÇAMENTO.BancoRef)),"(abra o arquivo 'Referência "&amp;Excel_BuiltIn_Database&amp;".xlsm)",IF(OR($C149&lt;&gt;"S",ORÇAMENTO.CodBarra=""),"(Sem Código)",IF(ISERROR(MATCH($AE149,INDIRECT(ORÇAMENTO.BancoRef),0)),"(Código não identificado nas referências)",MATCH($AE149,INDIRECT(ORÇAMENTO.BancoRef),0))))</f>
        <v>20424</v>
      </c>
      <c r="AG149" s="428">
        <f ca="1">ROUND(IF(DESONERACAO="sim",REFERENCIA.Desonerado,REFERENCIA.NaoDesonerado),2)</f>
        <v>0.46</v>
      </c>
      <c r="AH149" s="429">
        <f t="shared" ca="1" si="15"/>
        <v>0.2283</v>
      </c>
      <c r="AJ149" s="431"/>
      <c r="AL149" s="439"/>
      <c r="AM149" s="336">
        <f t="shared" ca="1" si="0"/>
        <v>1296.18</v>
      </c>
      <c r="AN149" s="470">
        <f t="shared" ca="1" si="16"/>
        <v>0.56999999999999995</v>
      </c>
    </row>
    <row r="150" spans="1:40" ht="26.4" x14ac:dyDescent="0.3">
      <c r="A150" t="str">
        <f t="shared" si="1"/>
        <v>S</v>
      </c>
      <c r="B150">
        <f t="shared" ca="1" si="2"/>
        <v>2</v>
      </c>
      <c r="C150" t="str">
        <f t="shared" ca="1" si="3"/>
        <v>S</v>
      </c>
      <c r="D150">
        <f t="shared" ca="1" si="4"/>
        <v>0</v>
      </c>
      <c r="E150">
        <f ca="1">IF($C150=1,OFFSET(E150,-1,0)+MAX(1,COUNTIF(QCI!$A$13:$A$24,OFFSET(ORÇAMENTO!E150,-1,0))),OFFSET(E150,-1,0))</f>
        <v>4</v>
      </c>
      <c r="F150">
        <f t="shared" ca="1" si="5"/>
        <v>2</v>
      </c>
      <c r="G150">
        <f t="shared" ca="1" si="6"/>
        <v>0</v>
      </c>
      <c r="H150">
        <f t="shared" ca="1" si="7"/>
        <v>0</v>
      </c>
      <c r="I150">
        <f t="shared" ca="1" si="8"/>
        <v>9</v>
      </c>
      <c r="J150">
        <f t="shared" ca="1" si="47"/>
        <v>0</v>
      </c>
      <c r="K150">
        <f ca="1">IF(OR($C150="S",$C150=0),0,MATCH(OFFSET($D150,0,$C150)+IF($C150&lt;&gt;1,1,COUNTIF(QCI!$A$13:$A$24,ORÇAMENTO!E150)),OFFSET($D150,1,$C150,ROW($C$165)-ROW($C150)),0))</f>
        <v>0</v>
      </c>
      <c r="L150" s="114" t="str">
        <f t="shared" ca="1" si="10"/>
        <v>F</v>
      </c>
      <c r="M150" s="115" t="s">
        <v>705</v>
      </c>
      <c r="N150" s="116" t="str">
        <f t="shared" ca="1" si="11"/>
        <v>Serviço</v>
      </c>
      <c r="O150" s="117" t="str">
        <f t="shared" ca="1" si="12"/>
        <v>4.2.9.</v>
      </c>
      <c r="P150" s="118" t="s">
        <v>958</v>
      </c>
      <c r="Q150" s="119" t="s">
        <v>1020</v>
      </c>
      <c r="R150" s="120" t="str">
        <f ca="1">IF($C150="S",REFERENCIA.Descricao,"(digite a descrição aqui)")</f>
        <v>EMULSÃO ASFÁLTICA RR-1C COLETADO NA ANP, ACRESCIDO DE IMPOSTOS (ICMS, PIS, COFINS)</v>
      </c>
      <c r="S150" s="121" t="str">
        <f ca="1">REFERENCIA.Unidade</f>
        <v>KG</v>
      </c>
      <c r="T150" s="122">
        <f ca="1">OFFSET(CÁLCULO!H$15,ROW($T150)-ROW(T$15),0)</f>
        <v>1023.3</v>
      </c>
      <c r="U150" s="123">
        <f t="shared" ca="1" si="46"/>
        <v>3.66</v>
      </c>
      <c r="V150" s="124" t="s">
        <v>697</v>
      </c>
      <c r="W150" s="122">
        <f ca="1">IF($C150="S",ROUND(IF(TIPOORCAMENTO="Proposto",ORÇAMENTO.CustoUnitario*(1+$AH150),ORÇAMENTO.PrecoUnitarioLicitado),15-13*$AF$10),0)</f>
        <v>4.21</v>
      </c>
      <c r="X150" s="125" cm="1">
        <f t="array" aca="1" ref="X150" ca="1">IF($C150="S",IF(OR(Import.TipoArredondamento&lt;&gt;"TransfereGOV",ACOMPANHAMENTO="BM"),VTOTAL1,SUM(OFFSET(CÁLCULO!$AI$15,ROW($X150)-ROW($X$15),1):OFFSET(CÁLCULO!$BB$15,ROW($X150)-ROW($X$15),-1))),IF($C150=0,0,ROUND(SomaAgrup,15-13*$AF$11)))</f>
        <v>4308.09</v>
      </c>
      <c r="Y150" s="126" t="s">
        <v>751</v>
      </c>
      <c r="Z150" t="str">
        <f t="shared" ca="1" si="13"/>
        <v>RA</v>
      </c>
      <c r="AA150" s="127">
        <f ca="1">IF($C150="S",IF($Z150="CP",$X150,IF($Z150="RA",(($X150)*QCI!$AA$3),0)),SomaAgrup)</f>
        <v>1189.9541390143627</v>
      </c>
      <c r="AB150" s="128">
        <f t="shared" ca="1" si="14"/>
        <v>0</v>
      </c>
      <c r="AC150" s="565" t="e"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IF(AND(_xlfn.SINGLE(TIPOORCAMENTO)="Licitado",$AL150=0,$AN150&gt;0),"SEM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#NAME?</v>
      </c>
      <c r="AD150" t="str">
        <f ca="1">IF(C150&lt;=CRONO.NivelExibicao,MAX($AD$15:OFFSET(AD150,-1,0))+IF($C150&lt;&gt;1,1,MAX(1,COUNTIF(QCI!$A$13:$A$24,OFFSET($E150,-1,0)))),"")</f>
        <v/>
      </c>
      <c r="AE150" s="7" t="str">
        <f ca="1">IF(AND($C150="S",ORÇAMENTO.CodBarra&lt;&gt;""),IF(ORÇAMENTO.Fonte="",ORÇAMENTO.CodBarra,CONCATENATE(ORÇAMENTO.Fonte," ",ORÇAMENTO.CodBarra)))</f>
        <v>Cotação COT 02</v>
      </c>
      <c r="AF150" s="12">
        <f ca="1">IF(ISERROR(INDIRECT(ORÇAMENTO.BancoRef)),"(abra o arquivo 'Referência "&amp;Excel_BuiltIn_Database&amp;".xlsm)",IF(OR($C150&lt;&gt;"S",ORÇAMENTO.CodBarra=""),"(Sem Código)",IF(ISERROR(MATCH($AE150,INDIRECT(ORÇAMENTO.BancoRef),0)),"(Código não identificado nas referências)",MATCH($AE150,INDIRECT(ORÇAMENTO.BancoRef),0))))</f>
        <v>30</v>
      </c>
      <c r="AG150" s="428">
        <f ca="1">ROUND(IF(DESONERACAO="sim",REFERENCIA.Desonerado,REFERENCIA.NaoDesonerado),2)</f>
        <v>3.66</v>
      </c>
      <c r="AH150" s="429">
        <f t="shared" ca="1" si="15"/>
        <v>0.15</v>
      </c>
      <c r="AJ150" s="431"/>
      <c r="AL150" s="439"/>
      <c r="AM150" s="336">
        <f t="shared" ca="1" si="0"/>
        <v>4308.09</v>
      </c>
      <c r="AN150" s="470">
        <f t="shared" ca="1" si="16"/>
        <v>4.21</v>
      </c>
    </row>
    <row r="151" spans="1:40" ht="26.4" x14ac:dyDescent="0.3">
      <c r="A151" t="str">
        <f t="shared" si="1"/>
        <v>S</v>
      </c>
      <c r="B151">
        <f t="shared" ca="1" si="2"/>
        <v>2</v>
      </c>
      <c r="C151" t="str">
        <f t="shared" ca="1" si="3"/>
        <v>S</v>
      </c>
      <c r="D151">
        <f t="shared" ca="1" si="4"/>
        <v>0</v>
      </c>
      <c r="E151">
        <f ca="1">IF($C151=1,OFFSET(E151,-1,0)+MAX(1,COUNTIF(QCI!$A$13:$A$24,OFFSET(ORÇAMENTO!E151,-1,0))),OFFSET(E151,-1,0))</f>
        <v>4</v>
      </c>
      <c r="F151">
        <f t="shared" ca="1" si="5"/>
        <v>2</v>
      </c>
      <c r="G151">
        <f t="shared" ca="1" si="6"/>
        <v>0</v>
      </c>
      <c r="H151">
        <f t="shared" ca="1" si="7"/>
        <v>0</v>
      </c>
      <c r="I151">
        <f t="shared" ca="1" si="8"/>
        <v>10</v>
      </c>
      <c r="J151">
        <f t="shared" ca="1" si="47"/>
        <v>0</v>
      </c>
      <c r="K151">
        <f ca="1">IF(OR($C151="S",$C151=0),0,MATCH(OFFSET($D151,0,$C151)+IF($C151&lt;&gt;1,1,COUNTIF(QCI!$A$13:$A$24,ORÇAMENTO!E151)),OFFSET($D151,1,$C151,ROW($C$165)-ROW($C151)),0))</f>
        <v>0</v>
      </c>
      <c r="L151" s="114" t="str">
        <f t="shared" ca="1" si="10"/>
        <v>F</v>
      </c>
      <c r="M151" s="115" t="s">
        <v>705</v>
      </c>
      <c r="N151" s="116" t="str">
        <f t="shared" ca="1" si="11"/>
        <v>Serviço</v>
      </c>
      <c r="O151" s="117" t="str">
        <f t="shared" ca="1" si="12"/>
        <v>4.2.10.</v>
      </c>
      <c r="P151" s="118" t="s">
        <v>956</v>
      </c>
      <c r="Q151" s="119" t="s">
        <v>1015</v>
      </c>
      <c r="R151" s="120" t="str">
        <f ca="1">IF($C151="S",REFERENCIA.Descricao,"(digite a descrição aqui)")</f>
        <v>Transporte de material betuminoso com caminhão tanque distribuidor - rodovia pavimentada</v>
      </c>
      <c r="S151" s="121" t="str">
        <f ca="1">REFERENCIA.Unidade</f>
        <v>tkm</v>
      </c>
      <c r="T151" s="122">
        <f ca="1">OFFSET(CÁLCULO!H$15,ROW($T151)-ROW(T$15),0)</f>
        <v>344.85</v>
      </c>
      <c r="U151" s="123">
        <f t="shared" ca="1" si="46"/>
        <v>2.2200000000000002</v>
      </c>
      <c r="V151" s="124" t="s">
        <v>697</v>
      </c>
      <c r="W151" s="122">
        <f ca="1">IF($C151="S",ROUND(IF(TIPOORCAMENTO="Proposto",ORÇAMENTO.CustoUnitario*(1+$AH151),ORÇAMENTO.PrecoUnitarioLicitado),15-13*$AF$10),0)</f>
        <v>2.5499999999999998</v>
      </c>
      <c r="X151" s="125" cm="1">
        <f t="array" aca="1" ref="X151" ca="1">IF($C151="S",IF(OR(Import.TipoArredondamento&lt;&gt;"TransfereGOV",ACOMPANHAMENTO="BM"),VTOTAL1,SUM(OFFSET(CÁLCULO!$AI$15,ROW($X151)-ROW($X$15),1):OFFSET(CÁLCULO!$BB$15,ROW($X151)-ROW($X$15),-1))),IF($C151=0,0,ROUND(SomaAgrup,15-13*$AF$11)))</f>
        <v>879.37</v>
      </c>
      <c r="Y151" s="126" t="s">
        <v>751</v>
      </c>
      <c r="Z151" t="str">
        <f t="shared" ca="1" si="13"/>
        <v>RA</v>
      </c>
      <c r="AA151" s="127">
        <f ca="1">IF($C151="S",IF($Z151="CP",$X151,IF($Z151="RA",(($X151)*QCI!$AA$3),0)),SomaAgrup)</f>
        <v>242.8941761256288</v>
      </c>
      <c r="AB151" s="128">
        <f t="shared" ca="1" si="14"/>
        <v>0</v>
      </c>
      <c r="AC151" s="565" t="e"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IF(AND(_xlfn.SINGLE(TIPOORCAMENTO)="Licitado",$AL151=0,$AN151&gt;0),"SEM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#NAME?</v>
      </c>
      <c r="AD151" t="str">
        <f ca="1">IF(C151&lt;=CRONO.NivelExibicao,MAX($AD$15:OFFSET(AD151,-1,0))+IF($C151&lt;&gt;1,1,MAX(1,COUNTIF(QCI!$A$13:$A$24,OFFSET($E151,-1,0)))),"")</f>
        <v/>
      </c>
      <c r="AE151" s="7" t="str">
        <f ca="1">IF(AND($C151="S",ORÇAMENTO.CodBarra&lt;&gt;""),IF(ORÇAMENTO.Fonte="",ORÇAMENTO.CodBarra,CONCATENATE(ORÇAMENTO.Fonte," ",ORÇAMENTO.CodBarra)))</f>
        <v>SICRO 5914622</v>
      </c>
      <c r="AF151" s="12">
        <f ca="1">IF(ISERROR(INDIRECT(ORÇAMENTO.BancoRef)),"(abra o arquivo 'Referência "&amp;Excel_BuiltIn_Database&amp;".xlsm)",IF(OR($C151&lt;&gt;"S",ORÇAMENTO.CodBarra=""),"(Sem Código)",IF(ISERROR(MATCH($AE151,INDIRECT(ORÇAMENTO.BancoRef),0)),"(Código não identificado nas referências)",MATCH($AE151,INDIRECT(ORÇAMENTO.BancoRef),0))))</f>
        <v>21997</v>
      </c>
      <c r="AG151" s="428">
        <f ca="1">ROUND(IF(DESONERACAO="sim",REFERENCIA.Desonerado,REFERENCIA.NaoDesonerado),2)</f>
        <v>2.2200000000000002</v>
      </c>
      <c r="AH151" s="429">
        <f t="shared" ca="1" si="15"/>
        <v>0.15</v>
      </c>
      <c r="AJ151" s="431"/>
      <c r="AL151" s="439"/>
      <c r="AM151" s="336">
        <f t="shared" ca="1" si="0"/>
        <v>879.37</v>
      </c>
      <c r="AN151" s="470">
        <f t="shared" ca="1" si="16"/>
        <v>2.5499999999999998</v>
      </c>
    </row>
    <row r="152" spans="1:40" ht="13.8" x14ac:dyDescent="0.3">
      <c r="A152" t="str">
        <f t="shared" si="1"/>
        <v>S</v>
      </c>
      <c r="B152">
        <f t="shared" ca="1" si="2"/>
        <v>2</v>
      </c>
      <c r="C152" t="str">
        <f t="shared" ca="1" si="3"/>
        <v>S</v>
      </c>
      <c r="D152">
        <f t="shared" ca="1" si="4"/>
        <v>0</v>
      </c>
      <c r="E152">
        <f ca="1">IF($C152=1,OFFSET(E152,-1,0)+MAX(1,COUNTIF(QCI!$A$13:$A$24,OFFSET(ORÇAMENTO!E152,-1,0))),OFFSET(E152,-1,0))</f>
        <v>4</v>
      </c>
      <c r="F152">
        <f t="shared" ca="1" si="5"/>
        <v>2</v>
      </c>
      <c r="G152">
        <f t="shared" ca="1" si="6"/>
        <v>0</v>
      </c>
      <c r="H152">
        <f t="shared" ca="1" si="7"/>
        <v>0</v>
      </c>
      <c r="I152">
        <f t="shared" ca="1" si="8"/>
        <v>11</v>
      </c>
      <c r="J152">
        <f t="shared" ca="1" si="47"/>
        <v>0</v>
      </c>
      <c r="K152">
        <f ca="1">IF(OR($C152="S",$C152=0),0,MATCH(OFFSET($D152,0,$C152)+IF($C152&lt;&gt;1,1,COUNTIF(QCI!$A$13:$A$24,ORÇAMENTO!E152)),OFFSET($D152,1,$C152,ROW($C$165)-ROW($C152)),0))</f>
        <v>0</v>
      </c>
      <c r="L152" s="114" t="str">
        <f t="shared" ca="1" si="10"/>
        <v>F</v>
      </c>
      <c r="M152" s="115" t="s">
        <v>705</v>
      </c>
      <c r="N152" s="116" t="str">
        <f t="shared" ca="1" si="11"/>
        <v>Serviço</v>
      </c>
      <c r="O152" s="117" t="str">
        <f t="shared" ca="1" si="12"/>
        <v>4.2.11.</v>
      </c>
      <c r="P152" s="118" t="s">
        <v>956</v>
      </c>
      <c r="Q152" s="119" t="s">
        <v>1045</v>
      </c>
      <c r="R152" s="120" t="str">
        <f ca="1">IF($C152="S",REFERENCIA.Descricao,"(digite a descrição aqui)")</f>
        <v>Concreto asfáltico - faixa C-12,5 - areia e brita comerciais</v>
      </c>
      <c r="S152" s="121" t="str">
        <f ca="1">REFERENCIA.Unidade</f>
        <v>t</v>
      </c>
      <c r="T152" s="122">
        <f ca="1">OFFSET(CÁLCULO!H$15,ROW($T152)-ROW(T$15),0)</f>
        <v>228.3</v>
      </c>
      <c r="U152" s="123">
        <f t="shared" ca="1" si="46"/>
        <v>190.43</v>
      </c>
      <c r="V152" s="124" t="s">
        <v>663</v>
      </c>
      <c r="W152" s="122">
        <f ca="1">IF($C152="S",ROUND(IF(TIPOORCAMENTO="Proposto",ORÇAMENTO.CustoUnitario*(1+$AH152),ORÇAMENTO.PrecoUnitarioLicitado),15-13*$AF$10),0)</f>
        <v>233.91</v>
      </c>
      <c r="X152" s="125" cm="1">
        <f t="array" aca="1" ref="X152" ca="1">IF($C152="S",IF(OR(Import.TipoArredondamento&lt;&gt;"TransfereGOV",ACOMPANHAMENTO="BM"),VTOTAL1,SUM(OFFSET(CÁLCULO!$AI$15,ROW($X152)-ROW($X$15),1):OFFSET(CÁLCULO!$BB$15,ROW($X152)-ROW($X$15),-1))),IF($C152=0,0,ROUND(SomaAgrup,15-13*$AF$11)))</f>
        <v>53401.65</v>
      </c>
      <c r="Y152" s="126" t="s">
        <v>751</v>
      </c>
      <c r="Z152" t="str">
        <f t="shared" ca="1" si="13"/>
        <v>RA</v>
      </c>
      <c r="AA152" s="127">
        <f ca="1">IF($C152="S",IF($Z152="CP",$X152,IF($Z152="RA",(($X152)*QCI!$AA$3),0)),SomaAgrup)</f>
        <v>14750.275515993479</v>
      </c>
      <c r="AB152" s="128">
        <f t="shared" ca="1" si="14"/>
        <v>0</v>
      </c>
      <c r="AC152" s="565" t="e"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IF(AND(_xlfn.SINGLE(TIPOORCAMENTO)="Licitado",$AL152=0,$AN152&gt;0),"SEM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#NAME?</v>
      </c>
      <c r="AD152" t="str">
        <f ca="1">IF(C152&lt;=CRONO.NivelExibicao,MAX($AD$15:OFFSET(AD152,-1,0))+IF($C152&lt;&gt;1,1,MAX(1,COUNTIF(QCI!$A$13:$A$24,OFFSET($E152,-1,0)))),"")</f>
        <v/>
      </c>
      <c r="AE152" s="7" t="str">
        <f ca="1">IF(AND($C152="S",ORÇAMENTO.CodBarra&lt;&gt;""),IF(ORÇAMENTO.Fonte="",ORÇAMENTO.CodBarra,CONCATENATE(ORÇAMENTO.Fonte," ",ORÇAMENTO.CodBarra)))</f>
        <v>SICRO 4011463</v>
      </c>
      <c r="AF152" s="12">
        <f ca="1">IF(ISERROR(INDIRECT(ORÇAMENTO.BancoRef)),"(abra o arquivo 'Referência "&amp;Excel_BuiltIn_Database&amp;".xlsm)",IF(OR($C152&lt;&gt;"S",ORÇAMENTO.CodBarra=""),"(Sem Código)",IF(ISERROR(MATCH($AE152,INDIRECT(ORÇAMENTO.BancoRef),0)),"(Código não identificado nas referências)",MATCH($AE152,INDIRECT(ORÇAMENTO.BancoRef),0))))</f>
        <v>20359</v>
      </c>
      <c r="AG152" s="428">
        <f ca="1">ROUND(IF(DESONERACAO="sim",REFERENCIA.Desonerado,REFERENCIA.NaoDesonerado),2)</f>
        <v>190.43</v>
      </c>
      <c r="AH152" s="429">
        <f t="shared" ca="1" si="15"/>
        <v>0.2283</v>
      </c>
      <c r="AJ152" s="431"/>
      <c r="AL152" s="439"/>
      <c r="AM152" s="336">
        <f t="shared" ca="1" si="0"/>
        <v>53401.65</v>
      </c>
      <c r="AN152" s="470">
        <f t="shared" ca="1" si="16"/>
        <v>233.91</v>
      </c>
    </row>
    <row r="153" spans="1:40" ht="13.8" x14ac:dyDescent="0.3">
      <c r="A153" t="str">
        <f t="shared" si="1"/>
        <v>S</v>
      </c>
      <c r="B153">
        <f t="shared" ca="1" si="2"/>
        <v>2</v>
      </c>
      <c r="C153" t="str">
        <f t="shared" ca="1" si="3"/>
        <v>S</v>
      </c>
      <c r="D153">
        <f t="shared" ca="1" si="4"/>
        <v>0</v>
      </c>
      <c r="E153">
        <f ca="1">IF($C153=1,OFFSET(E153,-1,0)+MAX(1,COUNTIF(QCI!$A$13:$A$24,OFFSET(ORÇAMENTO!E153,-1,0))),OFFSET(E153,-1,0))</f>
        <v>4</v>
      </c>
      <c r="F153">
        <f t="shared" ca="1" si="5"/>
        <v>2</v>
      </c>
      <c r="G153">
        <f t="shared" ca="1" si="6"/>
        <v>0</v>
      </c>
      <c r="H153">
        <f t="shared" ca="1" si="7"/>
        <v>0</v>
      </c>
      <c r="I153">
        <f t="shared" ca="1" si="8"/>
        <v>12</v>
      </c>
      <c r="J153">
        <f t="shared" ca="1" si="47"/>
        <v>0</v>
      </c>
      <c r="K153">
        <f ca="1">IF(OR($C153="S",$C153=0),0,MATCH(OFFSET($D153,0,$C153)+IF($C153&lt;&gt;1,1,COUNTIF(QCI!$A$13:$A$24,ORÇAMENTO!E153)),OFFSET($D153,1,$C153,ROW($C$165)-ROW($C153)),0))</f>
        <v>0</v>
      </c>
      <c r="L153" s="114" t="str">
        <f t="shared" ca="1" si="10"/>
        <v>F</v>
      </c>
      <c r="M153" s="115" t="s">
        <v>705</v>
      </c>
      <c r="N153" s="116" t="str">
        <f t="shared" ca="1" si="11"/>
        <v>Serviço</v>
      </c>
      <c r="O153" s="117" t="str">
        <f t="shared" ca="1" si="12"/>
        <v>4.2.12.</v>
      </c>
      <c r="P153" s="118" t="s">
        <v>956</v>
      </c>
      <c r="Q153" s="119" t="s">
        <v>1022</v>
      </c>
      <c r="R153" s="120" t="str">
        <f ca="1">IF($C153="S",REFERENCIA.Descricao,"(digite a descrição aqui)")</f>
        <v>Transporte com caminhão basculante de 10 m³ - rodovia pavimentada</v>
      </c>
      <c r="S153" s="121" t="str">
        <f ca="1">REFERENCIA.Unidade</f>
        <v>tkm</v>
      </c>
      <c r="T153" s="122">
        <f ca="1">OFFSET(CÁLCULO!H$15,ROW($T153)-ROW(T$15),0)</f>
        <v>4794.3</v>
      </c>
      <c r="U153" s="123">
        <f t="shared" ca="1" si="46"/>
        <v>0.82</v>
      </c>
      <c r="V153" s="124" t="s">
        <v>663</v>
      </c>
      <c r="W153" s="122">
        <f ca="1">IF($C153="S",ROUND(IF(TIPOORCAMENTO="Proposto",ORÇAMENTO.CustoUnitario*(1+$AH153),ORÇAMENTO.PrecoUnitarioLicitado),15-13*$AF$10),0)</f>
        <v>1.01</v>
      </c>
      <c r="X153" s="125" cm="1">
        <f t="array" aca="1" ref="X153" ca="1">IF($C153="S",IF(OR(Import.TipoArredondamento&lt;&gt;"TransfereGOV",ACOMPANHAMENTO="BM"),VTOTAL1,SUM(OFFSET(CÁLCULO!$AI$15,ROW($X153)-ROW($X$15),1):OFFSET(CÁLCULO!$BB$15,ROW($X153)-ROW($X$15),-1))),IF($C153=0,0,ROUND(SomaAgrup,15-13*$AF$11)))</f>
        <v>4842.24</v>
      </c>
      <c r="Y153" s="126" t="s">
        <v>751</v>
      </c>
      <c r="Z153" t="str">
        <f t="shared" ca="1" si="13"/>
        <v>RA</v>
      </c>
      <c r="AA153" s="127">
        <f ca="1">IF($C153="S",IF($Z153="CP",$X153,IF($Z153="RA",(($X153)*QCI!$AA$3),0)),SomaAgrup)</f>
        <v>1337.4937687237052</v>
      </c>
      <c r="AB153" s="128">
        <f t="shared" ca="1" si="14"/>
        <v>0</v>
      </c>
      <c r="AC153" s="565" t="e"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IF(AND(_xlfn.SINGLE(TIPOORCAMENTO)="Licitado",$AL153=0,$AN153&gt;0),"SEM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#NAME?</v>
      </c>
      <c r="AD153" t="str">
        <f ca="1">IF(C153&lt;=CRONO.NivelExibicao,MAX($AD$15:OFFSET(AD153,-1,0))+IF($C153&lt;&gt;1,1,MAX(1,COUNTIF(QCI!$A$13:$A$24,OFFSET($E153,-1,0)))),"")</f>
        <v/>
      </c>
      <c r="AE153" s="7" t="str">
        <f ca="1">IF(AND($C153="S",ORÇAMENTO.CodBarra&lt;&gt;""),IF(ORÇAMENTO.Fonte="",ORÇAMENTO.CodBarra,CONCATENATE(ORÇAMENTO.Fonte," ",ORÇAMENTO.CodBarra)))</f>
        <v>SICRO 5914389</v>
      </c>
      <c r="AF153" s="12">
        <f ca="1">IF(ISERROR(INDIRECT(ORÇAMENTO.BancoRef)),"(abra o arquivo 'Referência "&amp;Excel_BuiltIn_Database&amp;".xlsm)",IF(OR($C153&lt;&gt;"S",ORÇAMENTO.CodBarra=""),"(Sem Código)",IF(ISERROR(MATCH($AE153,INDIRECT(ORÇAMENTO.BancoRef),0)),"(Código não identificado nas referências)",MATCH($AE153,INDIRECT(ORÇAMENTO.BancoRef),0))))</f>
        <v>21868</v>
      </c>
      <c r="AG153" s="428">
        <f ca="1">ROUND(IF(DESONERACAO="sim",REFERENCIA.Desonerado,REFERENCIA.NaoDesonerado),2)</f>
        <v>0.82</v>
      </c>
      <c r="AH153" s="429">
        <f t="shared" ca="1" si="15"/>
        <v>0.2283</v>
      </c>
      <c r="AJ153" s="431"/>
      <c r="AL153" s="439"/>
      <c r="AM153" s="336">
        <f t="shared" ca="1" si="0"/>
        <v>4842.24</v>
      </c>
      <c r="AN153" s="470">
        <f t="shared" ca="1" si="16"/>
        <v>1.01</v>
      </c>
    </row>
    <row r="154" spans="1:40" ht="26.4" x14ac:dyDescent="0.3">
      <c r="A154" t="str">
        <f t="shared" si="1"/>
        <v>S</v>
      </c>
      <c r="B154">
        <f t="shared" ca="1" si="2"/>
        <v>2</v>
      </c>
      <c r="C154" t="str">
        <f t="shared" ca="1" si="3"/>
        <v>S</v>
      </c>
      <c r="D154">
        <f t="shared" ca="1" si="4"/>
        <v>0</v>
      </c>
      <c r="E154">
        <f ca="1">IF($C154=1,OFFSET(E154,-1,0)+MAX(1,COUNTIF(QCI!$A$13:$A$24,OFFSET(ORÇAMENTO!E154,-1,0))),OFFSET(E154,-1,0))</f>
        <v>4</v>
      </c>
      <c r="F154">
        <f t="shared" ca="1" si="5"/>
        <v>2</v>
      </c>
      <c r="G154">
        <f t="shared" ca="1" si="6"/>
        <v>0</v>
      </c>
      <c r="H154">
        <f t="shared" ca="1" si="7"/>
        <v>0</v>
      </c>
      <c r="I154">
        <f t="shared" ca="1" si="8"/>
        <v>13</v>
      </c>
      <c r="J154">
        <f t="shared" ca="1" si="47"/>
        <v>0</v>
      </c>
      <c r="K154">
        <f ca="1">IF(OR($C154="S",$C154=0),0,MATCH(OFFSET($D154,0,$C154)+IF($C154&lt;&gt;1,1,COUNTIF(QCI!$A$13:$A$24,ORÇAMENTO!E154)),OFFSET($D154,1,$C154,ROW($C$165)-ROW($C154)),0))</f>
        <v>0</v>
      </c>
      <c r="L154" s="114" t="str">
        <f t="shared" ca="1" si="10"/>
        <v>F</v>
      </c>
      <c r="M154" s="115" t="s">
        <v>705</v>
      </c>
      <c r="N154" s="116" t="str">
        <f t="shared" ca="1" si="11"/>
        <v>Serviço</v>
      </c>
      <c r="O154" s="117" t="str">
        <f t="shared" ca="1" si="12"/>
        <v>4.2.13.</v>
      </c>
      <c r="P154" s="118" t="s">
        <v>958</v>
      </c>
      <c r="Q154" s="119" t="s">
        <v>1023</v>
      </c>
      <c r="R154" s="120" t="str">
        <f ca="1">IF($C154="S",REFERENCIA.Descricao,"(digite a descrição aqui)")</f>
        <v>CIMENTO ASFÁLTICO CAP 50-70, COLETADO NA ANP, ACRESCIDO DE IMPOSTOS (ICMS, PIS, CONFINS)</v>
      </c>
      <c r="S154" s="121" t="str">
        <f ca="1">REFERENCIA.Unidade</f>
        <v>KG</v>
      </c>
      <c r="T154" s="122">
        <f ca="1">OFFSET(CÁLCULO!H$15,ROW($T154)-ROW(T$15),0)</f>
        <v>12922.32</v>
      </c>
      <c r="U154" s="123">
        <f t="shared" ca="1" si="46"/>
        <v>4.8600000000000003</v>
      </c>
      <c r="V154" s="124" t="s">
        <v>697</v>
      </c>
      <c r="W154" s="122">
        <f ca="1">IF($C154="S",ROUND(IF(TIPOORCAMENTO="Proposto",ORÇAMENTO.CustoUnitario*(1+$AH154),ORÇAMENTO.PrecoUnitarioLicitado),15-13*$AF$10),0)</f>
        <v>5.59</v>
      </c>
      <c r="X154" s="125" cm="1">
        <f t="array" aca="1" ref="X154" ca="1">IF($C154="S",IF(OR(Import.TipoArredondamento&lt;&gt;"TransfereGOV",ACOMPANHAMENTO="BM"),VTOTAL1,SUM(OFFSET(CÁLCULO!$AI$15,ROW($X154)-ROW($X$15),1):OFFSET(CÁLCULO!$BB$15,ROW($X154)-ROW($X$15),-1))),IF($C154=0,0,ROUND(SomaAgrup,15-13*$AF$11)))</f>
        <v>72235.77</v>
      </c>
      <c r="Y154" s="126" t="s">
        <v>751</v>
      </c>
      <c r="Z154" t="str">
        <f t="shared" ca="1" si="13"/>
        <v>RA</v>
      </c>
      <c r="AA154" s="127">
        <f ca="1">IF($C154="S",IF($Z154="CP",$X154,IF($Z154="RA",(($X154)*QCI!$AA$3),0)),SomaAgrup)</f>
        <v>19952.52037362022</v>
      </c>
      <c r="AB154" s="128">
        <f t="shared" ca="1" si="14"/>
        <v>0</v>
      </c>
      <c r="AC154" s="565" t="e"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IF(AND(_xlfn.SINGLE(TIPOORCAMENTO)="Licitado",$AL154=0,$AN154&gt;0),"SEM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#NAME?</v>
      </c>
      <c r="AD154" t="str">
        <f ca="1">IF(C154&lt;=CRONO.NivelExibicao,MAX($AD$15:OFFSET(AD154,-1,0))+IF($C154&lt;&gt;1,1,MAX(1,COUNTIF(QCI!$A$13:$A$24,OFFSET($E154,-1,0)))),"")</f>
        <v/>
      </c>
      <c r="AE154" s="7" t="str">
        <f ca="1">IF(AND($C154="S",ORÇAMENTO.CodBarra&lt;&gt;""),IF(ORÇAMENTO.Fonte="",ORÇAMENTO.CodBarra,CONCATENATE(ORÇAMENTO.Fonte," ",ORÇAMENTO.CodBarra)))</f>
        <v>Cotação COT 03</v>
      </c>
      <c r="AF154" s="12">
        <f ca="1">IF(ISERROR(INDIRECT(ORÇAMENTO.BancoRef)),"(abra o arquivo 'Referência "&amp;Excel_BuiltIn_Database&amp;".xlsm)",IF(OR($C154&lt;&gt;"S",ORÇAMENTO.CodBarra=""),"(Sem Código)",IF(ISERROR(MATCH($AE154,INDIRECT(ORÇAMENTO.BancoRef),0)),"(Código não identificado nas referências)",MATCH($AE154,INDIRECT(ORÇAMENTO.BancoRef),0))))</f>
        <v>31</v>
      </c>
      <c r="AG154" s="428">
        <f ca="1">ROUND(IF(DESONERACAO="sim",REFERENCIA.Desonerado,REFERENCIA.NaoDesonerado),2)</f>
        <v>4.8600000000000003</v>
      </c>
      <c r="AH154" s="429">
        <f t="shared" ca="1" si="15"/>
        <v>0.15</v>
      </c>
      <c r="AJ154" s="431"/>
      <c r="AL154" s="439"/>
      <c r="AM154" s="336">
        <f t="shared" ca="1" si="0"/>
        <v>72235.77</v>
      </c>
      <c r="AN154" s="470">
        <f t="shared" ca="1" si="16"/>
        <v>5.59</v>
      </c>
    </row>
    <row r="155" spans="1:40" ht="26.4" x14ac:dyDescent="0.3">
      <c r="A155" t="str">
        <f t="shared" si="1"/>
        <v>S</v>
      </c>
      <c r="B155">
        <f t="shared" ca="1" si="2"/>
        <v>2</v>
      </c>
      <c r="C155" t="str">
        <f t="shared" ca="1" si="3"/>
        <v>S</v>
      </c>
      <c r="D155">
        <f t="shared" ca="1" si="4"/>
        <v>0</v>
      </c>
      <c r="E155">
        <f ca="1">IF($C155=1,OFFSET(E155,-1,0)+MAX(1,COUNTIF(QCI!$A$13:$A$24,OFFSET(ORÇAMENTO!E155,-1,0))),OFFSET(E155,-1,0))</f>
        <v>4</v>
      </c>
      <c r="F155">
        <f t="shared" ca="1" si="5"/>
        <v>2</v>
      </c>
      <c r="G155">
        <f t="shared" ca="1" si="6"/>
        <v>0</v>
      </c>
      <c r="H155">
        <f t="shared" ca="1" si="7"/>
        <v>0</v>
      </c>
      <c r="I155">
        <f t="shared" ca="1" si="8"/>
        <v>14</v>
      </c>
      <c r="J155">
        <f t="shared" ca="1" si="47"/>
        <v>0</v>
      </c>
      <c r="K155">
        <f ca="1">IF(OR($C155="S",$C155=0),0,MATCH(OFFSET($D155,0,$C155)+IF($C155&lt;&gt;1,1,COUNTIF(QCI!$A$13:$A$24,ORÇAMENTO!E155)),OFFSET($D155,1,$C155,ROW($C$165)-ROW($C155)),0))</f>
        <v>0</v>
      </c>
      <c r="L155" s="114" t="str">
        <f t="shared" ca="1" si="10"/>
        <v>F</v>
      </c>
      <c r="M155" s="115" t="s">
        <v>705</v>
      </c>
      <c r="N155" s="116" t="str">
        <f t="shared" ca="1" si="11"/>
        <v>Serviço</v>
      </c>
      <c r="O155" s="117" t="str">
        <f t="shared" ca="1" si="12"/>
        <v>4.2.14.</v>
      </c>
      <c r="P155" s="118" t="s">
        <v>956</v>
      </c>
      <c r="Q155" s="119" t="s">
        <v>1015</v>
      </c>
      <c r="R155" s="120" t="str">
        <f ca="1">IF($C155="S",REFERENCIA.Descricao,"(digite a descrição aqui)")</f>
        <v>Transporte de material betuminoso com caminhão tanque distribuidor - rodovia pavimentada</v>
      </c>
      <c r="S155" s="121" t="str">
        <f ca="1">REFERENCIA.Unidade</f>
        <v>tkm</v>
      </c>
      <c r="T155" s="122">
        <f ca="1">OFFSET(CÁLCULO!H$15,ROW($T155)-ROW(T$15),0)</f>
        <v>4354.82</v>
      </c>
      <c r="U155" s="123">
        <f t="shared" ca="1" si="46"/>
        <v>2.2200000000000002</v>
      </c>
      <c r="V155" s="124" t="s">
        <v>697</v>
      </c>
      <c r="W155" s="122">
        <f ca="1">IF($C155="S",ROUND(IF(TIPOORCAMENTO="Proposto",ORÇAMENTO.CustoUnitario*(1+$AH155),ORÇAMENTO.PrecoUnitarioLicitado),15-13*$AF$10),0)</f>
        <v>2.5499999999999998</v>
      </c>
      <c r="X155" s="125" cm="1">
        <f t="array" aca="1" ref="X155" ca="1">IF($C155="S",IF(OR(Import.TipoArredondamento&lt;&gt;"TransfereGOV",ACOMPANHAMENTO="BM"),VTOTAL1,SUM(OFFSET(CÁLCULO!$AI$15,ROW($X155)-ROW($X$15),1):OFFSET(CÁLCULO!$BB$15,ROW($X155)-ROW($X$15),-1))),IF($C155=0,0,ROUND(SomaAgrup,15-13*$AF$11)))</f>
        <v>11104.79</v>
      </c>
      <c r="Y155" s="126" t="s">
        <v>751</v>
      </c>
      <c r="Z155" t="str">
        <f t="shared" ca="1" si="13"/>
        <v>RA</v>
      </c>
      <c r="AA155" s="127">
        <f ca="1">IF($C155="S",IF($Z155="CP",$X155,IF($Z155="RA",(($X155)*QCI!$AA$3),0)),SomaAgrup)</f>
        <v>3067.2968353458973</v>
      </c>
      <c r="AB155" s="128">
        <f t="shared" ca="1" si="14"/>
        <v>0</v>
      </c>
      <c r="AC155" s="565" t="e"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IF(AND(_xlfn.SINGLE(TIPOORCAMENTO)="Licitado",$AL155=0,$AN155&gt;0),"SEM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#NAME?</v>
      </c>
      <c r="AD155" t="str">
        <f ca="1">IF(C155&lt;=CRONO.NivelExibicao,MAX($AD$15:OFFSET(AD155,-1,0))+IF($C155&lt;&gt;1,1,MAX(1,COUNTIF(QCI!$A$13:$A$24,OFFSET($E155,-1,0)))),"")</f>
        <v/>
      </c>
      <c r="AE155" s="7" t="str">
        <f ca="1">IF(AND($C155="S",ORÇAMENTO.CodBarra&lt;&gt;""),IF(ORÇAMENTO.Fonte="",ORÇAMENTO.CodBarra,CONCATENATE(ORÇAMENTO.Fonte," ",ORÇAMENTO.CodBarra)))</f>
        <v>SICRO 5914622</v>
      </c>
      <c r="AF155" s="12">
        <f ca="1">IF(ISERROR(INDIRECT(ORÇAMENTO.BancoRef)),"(abra o arquivo 'Referência "&amp;Excel_BuiltIn_Database&amp;".xlsm)",IF(OR($C155&lt;&gt;"S",ORÇAMENTO.CodBarra=""),"(Sem Código)",IF(ISERROR(MATCH($AE155,INDIRECT(ORÇAMENTO.BancoRef),0)),"(Código não identificado nas referências)",MATCH($AE155,INDIRECT(ORÇAMENTO.BancoRef),0))))</f>
        <v>21997</v>
      </c>
      <c r="AG155" s="428">
        <f ca="1">ROUND(IF(DESONERACAO="sim",REFERENCIA.Desonerado,REFERENCIA.NaoDesonerado),2)</f>
        <v>2.2200000000000002</v>
      </c>
      <c r="AH155" s="429">
        <f t="shared" ca="1" si="15"/>
        <v>0.15</v>
      </c>
      <c r="AJ155" s="431"/>
      <c r="AL155" s="439"/>
      <c r="AM155" s="336">
        <f t="shared" ca="1" si="0"/>
        <v>11104.79</v>
      </c>
      <c r="AN155" s="470">
        <f t="shared" ca="1" si="16"/>
        <v>2.5499999999999998</v>
      </c>
    </row>
    <row r="156" spans="1:40" ht="13.8" x14ac:dyDescent="0.3">
      <c r="A156">
        <f t="shared" si="1"/>
        <v>2</v>
      </c>
      <c r="B156">
        <f t="shared" ca="1" si="2"/>
        <v>2</v>
      </c>
      <c r="C156">
        <f t="shared" ca="1" si="3"/>
        <v>2</v>
      </c>
      <c r="D156">
        <f t="shared" ca="1" si="4"/>
        <v>2</v>
      </c>
      <c r="E156">
        <f ca="1">IF($C156=1,OFFSET(E156,-1,0)+MAX(1,COUNTIF(QCI!$A$13:$A$24,OFFSET(ORÇAMENTO!E156,-1,0))),OFFSET(E156,-1,0))</f>
        <v>4</v>
      </c>
      <c r="F156">
        <f t="shared" ca="1" si="5"/>
        <v>3</v>
      </c>
      <c r="G156">
        <f t="shared" ca="1" si="6"/>
        <v>0</v>
      </c>
      <c r="H156">
        <f t="shared" ca="1" si="7"/>
        <v>0</v>
      </c>
      <c r="I156">
        <f t="shared" ca="1" si="8"/>
        <v>0</v>
      </c>
      <c r="J156">
        <f t="shared" ca="1" si="47"/>
        <v>9</v>
      </c>
      <c r="K156">
        <f ca="1">IF(OR($C156="S",$C156=0),0,MATCH(OFFSET($D156,0,$C156)+IF($C156&lt;&gt;1,1,COUNTIF(QCI!$A$13:$A$24,ORÇAMENTO!E156)),OFFSET($D156,1,$C156,ROW($C$165)-ROW($C156)),0))</f>
        <v>2</v>
      </c>
      <c r="L156" s="114" t="str">
        <f t="shared" ca="1" si="10"/>
        <v>F</v>
      </c>
      <c r="M156" s="115" t="s">
        <v>702</v>
      </c>
      <c r="N156" s="116" t="str">
        <f t="shared" ca="1" si="11"/>
        <v>Nível 2</v>
      </c>
      <c r="O156" s="117" t="str">
        <f t="shared" ca="1" si="12"/>
        <v>4.3.</v>
      </c>
      <c r="P156" s="118" t="s">
        <v>750</v>
      </c>
      <c r="Q156" s="119"/>
      <c r="R156" s="120" t="s">
        <v>1024</v>
      </c>
      <c r="S156" s="121" t="str">
        <f ca="1">REFERENCIA.Unidade</f>
        <v>-</v>
      </c>
      <c r="T156" s="122">
        <f ca="1">OFFSET(CÁLCULO!H$15,ROW($T156)-ROW(T$15),0)</f>
        <v>0</v>
      </c>
      <c r="U156" s="123"/>
      <c r="V156" s="124" t="s">
        <v>663</v>
      </c>
      <c r="W156" s="122">
        <f ca="1">IF($C156="S",ROUND(IF(TIPOORCAMENTO="Proposto",ORÇAMENTO.CustoUnitario*(1+$AH156),ORÇAMENTO.PrecoUnitarioLicitado),15-13*$AF$10),0)</f>
        <v>0</v>
      </c>
      <c r="X156" s="125" cm="1">
        <f t="array" aca="1" ref="X156" ca="1">IF($C156="S",IF(OR(Import.TipoArredondamento&lt;&gt;"TransfereGOV",ACOMPANHAMENTO="BM"),VTOTAL1,SUM(OFFSET(CÁLCULO!$AI$15,ROW($X156)-ROW($X$15),1):OFFSET(CÁLCULO!$BB$15,ROW($X156)-ROW($X$15),-1))),IF($C156=0,0,ROUND(SomaAgrup,15-13*$AF$11)))</f>
        <v>963.71</v>
      </c>
      <c r="Y156" s="126" t="s">
        <v>751</v>
      </c>
      <c r="Z156" t="str">
        <f t="shared" ca="1" si="13"/>
        <v/>
      </c>
      <c r="AA156" s="127">
        <f ca="1">IF($C156="S",IF($Z156="CP",$X156,IF($Z156="RA",(($X156)*QCI!$AA$3),0)),SomaAgrup)</f>
        <v>266.19005250807936</v>
      </c>
      <c r="AB156" s="128">
        <f t="shared" ca="1" si="14"/>
        <v>0</v>
      </c>
      <c r="AC156" s="565" t="e"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IF(AND(_xlfn.SINGLE(TIPOORCAMENTO)="Licitado",$AL156=0,$AN156&gt;0),"SEM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#NAME?</v>
      </c>
      <c r="AD156">
        <f ca="1">IF(C156&lt;=CRONO.NivelExibicao,MAX($AD$15:OFFSET(AD156,-1,0))+IF($C156&lt;&gt;1,1,MAX(1,COUNTIF(QCI!$A$13:$A$24,OFFSET($E156,-1,0)))),"")</f>
        <v>25</v>
      </c>
      <c r="AE156" s="7" t="b">
        <f ca="1">IF(AND($C156="S",ORÇAMENTO.CodBarra&lt;&gt;""),IF(ORÇAMENTO.Fonte="",ORÇAMENTO.CodBarra,CONCATENATE(ORÇAMENTO.Fonte," ",ORÇAMENTO.CodBarra)))</f>
        <v>0</v>
      </c>
      <c r="AF156" s="12" t="str">
        <f ca="1">IF(ISERROR(INDIRECT(ORÇAMENTO.BancoRef)),"(abra o arquivo 'Referência "&amp;Excel_BuiltIn_Database&amp;".xlsm)",IF(OR($C156&lt;&gt;"S",ORÇAMENTO.CodBarra=""),"(Sem Código)",IF(ISERROR(MATCH($AE156,INDIRECT(ORÇAMENTO.BancoRef),0)),"(Código não identificado nas referências)",MATCH($AE156,INDIRECT(ORÇAMENTO.BancoRef),0))))</f>
        <v>(Sem Código)</v>
      </c>
      <c r="AG156" s="428">
        <f ca="1">ROUND(IF(DESONERACAO="sim",REFERENCIA.Desonerado,REFERENCIA.NaoDesonerado),2)</f>
        <v>0</v>
      </c>
      <c r="AH156" s="429">
        <f t="shared" ca="1" si="15"/>
        <v>0.2283</v>
      </c>
      <c r="AJ156" s="431"/>
      <c r="AL156" s="439"/>
      <c r="AM156" s="336">
        <f t="shared" ca="1" si="0"/>
        <v>963.71</v>
      </c>
      <c r="AN156" s="470">
        <f t="shared" ca="1" si="16"/>
        <v>0</v>
      </c>
    </row>
    <row r="157" spans="1:40" ht="13.8" x14ac:dyDescent="0.3">
      <c r="A157" t="str">
        <f t="shared" si="1"/>
        <v>S</v>
      </c>
      <c r="B157">
        <f t="shared" ca="1" si="2"/>
        <v>2</v>
      </c>
      <c r="C157" t="str">
        <f t="shared" ca="1" si="3"/>
        <v>S</v>
      </c>
      <c r="D157">
        <f t="shared" ca="1" si="4"/>
        <v>0</v>
      </c>
      <c r="E157">
        <f ca="1">IF($C157=1,OFFSET(E157,-1,0)+MAX(1,COUNTIF(QCI!$A$13:$A$24,OFFSET(ORÇAMENTO!E157,-1,0))),OFFSET(E157,-1,0))</f>
        <v>4</v>
      </c>
      <c r="F157">
        <f t="shared" ca="1" si="5"/>
        <v>3</v>
      </c>
      <c r="G157">
        <f t="shared" ca="1" si="6"/>
        <v>0</v>
      </c>
      <c r="H157">
        <f t="shared" ca="1" si="7"/>
        <v>0</v>
      </c>
      <c r="I157">
        <f t="shared" ca="1" si="8"/>
        <v>1</v>
      </c>
      <c r="J157">
        <f t="shared" ca="1" si="47"/>
        <v>0</v>
      </c>
      <c r="K157">
        <f ca="1">IF(OR($C157="S",$C157=0),0,MATCH(OFFSET($D157,0,$C157)+IF($C157&lt;&gt;1,1,COUNTIF(QCI!$A$13:$A$24,ORÇAMENTO!E157)),OFFSET($D157,1,$C157,ROW($C$165)-ROW($C157)),0))</f>
        <v>0</v>
      </c>
      <c r="L157" s="114" t="str">
        <f t="shared" ca="1" si="10"/>
        <v>F</v>
      </c>
      <c r="M157" s="115" t="s">
        <v>705</v>
      </c>
      <c r="N157" s="116" t="str">
        <f t="shared" ca="1" si="11"/>
        <v>Serviço</v>
      </c>
      <c r="O157" s="117" t="str">
        <f t="shared" ca="1" si="12"/>
        <v>4.3.1.</v>
      </c>
      <c r="P157" s="118" t="s">
        <v>957</v>
      </c>
      <c r="Q157" s="119" t="s">
        <v>1055</v>
      </c>
      <c r="R157" s="120" t="str">
        <f ca="1">IF($C157="S",REFERENCIA.Descricao,"(digite a descrição aqui)")</f>
        <v>PLACA DE ADVERTÊNCIA QUADRADA LADO 0,60M</v>
      </c>
      <c r="S157" s="121" t="str">
        <f ca="1">REFERENCIA.Unidade</f>
        <v>UN</v>
      </c>
      <c r="T157" s="122">
        <f ca="1">OFFSET(CÁLCULO!H$15,ROW($T157)-ROW(T$15),0)</f>
        <v>1</v>
      </c>
      <c r="U157" s="123">
        <f ca="1">AG157</f>
        <v>784.59</v>
      </c>
      <c r="V157" s="124" t="s">
        <v>663</v>
      </c>
      <c r="W157" s="122">
        <f ca="1">IF($C157="S",ROUND(IF(TIPOORCAMENTO="Proposto",ORÇAMENTO.CustoUnitario*(1+$AH157),ORÇAMENTO.PrecoUnitarioLicitado),15-13*$AF$10),0)</f>
        <v>963.71</v>
      </c>
      <c r="X157" s="125" cm="1">
        <f t="array" aca="1" ref="X157" ca="1">IF($C157="S",IF(OR(Import.TipoArredondamento&lt;&gt;"TransfereGOV",ACOMPANHAMENTO="BM"),VTOTAL1,SUM(OFFSET(CÁLCULO!$AI$15,ROW($X157)-ROW($X$15),1):OFFSET(CÁLCULO!$BB$15,ROW($X157)-ROW($X$15),-1))),IF($C157=0,0,ROUND(SomaAgrup,15-13*$AF$11)))</f>
        <v>963.71</v>
      </c>
      <c r="Y157" s="126" t="s">
        <v>751</v>
      </c>
      <c r="Z157" t="str">
        <f t="shared" ca="1" si="13"/>
        <v>RA</v>
      </c>
      <c r="AA157" s="127">
        <f ca="1">IF($C157="S",IF($Z157="CP",$X157,IF($Z157="RA",(($X157)*QCI!$AA$3),0)),SomaAgrup)</f>
        <v>266.19005250807936</v>
      </c>
      <c r="AB157" s="128">
        <f t="shared" ca="1" si="14"/>
        <v>0</v>
      </c>
      <c r="AC157" s="565" t="e"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IF(AND(_xlfn.SINGLE(TIPOORCAMENTO)="Licitado",$AL157=0,$AN157&gt;0),"SEM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#NAME?</v>
      </c>
      <c r="AD157" t="str">
        <f ca="1">IF(C157&lt;=CRONO.NivelExibicao,MAX($AD$15:OFFSET(AD157,-1,0))+IF($C157&lt;&gt;1,1,MAX(1,COUNTIF(QCI!$A$13:$A$24,OFFSET($E157,-1,0)))),"")</f>
        <v/>
      </c>
      <c r="AE157" s="7" t="str">
        <f ca="1">IF(AND($C157="S",ORÇAMENTO.CodBarra&lt;&gt;""),IF(ORÇAMENTO.Fonte="",ORÇAMENTO.CodBarra,CONCATENATE(ORÇAMENTO.Fonte," ",ORÇAMENTO.CodBarra)))</f>
        <v>Composição COMP 16</v>
      </c>
      <c r="AF157" s="12">
        <f ca="1">IF(ISERROR(INDIRECT(ORÇAMENTO.BancoRef)),"(abra o arquivo 'Referência "&amp;Excel_BuiltIn_Database&amp;".xlsm)",IF(OR($C157&lt;&gt;"S",ORÇAMENTO.CodBarra=""),"(Sem Código)",IF(ISERROR(MATCH($AE157,INDIRECT(ORÇAMENTO.BancoRef),0)),"(Código não identificado nas referências)",MATCH($AE157,INDIRECT(ORÇAMENTO.BancoRef),0))))</f>
        <v>18</v>
      </c>
      <c r="AG157" s="428">
        <f ca="1">ROUND(IF(DESONERACAO="sim",REFERENCIA.Desonerado,REFERENCIA.NaoDesonerado),2)</f>
        <v>784.59</v>
      </c>
      <c r="AH157" s="429">
        <f t="shared" ca="1" si="15"/>
        <v>0.2283</v>
      </c>
      <c r="AJ157" s="431"/>
      <c r="AL157" s="439"/>
      <c r="AM157" s="336">
        <f t="shared" ca="1" si="0"/>
        <v>963.71</v>
      </c>
      <c r="AN157" s="470">
        <f t="shared" ca="1" si="16"/>
        <v>963.71</v>
      </c>
    </row>
    <row r="158" spans="1:40" ht="13.8" x14ac:dyDescent="0.3">
      <c r="A158">
        <f t="shared" si="1"/>
        <v>2</v>
      </c>
      <c r="B158">
        <f t="shared" ca="1" si="2"/>
        <v>2</v>
      </c>
      <c r="C158">
        <f t="shared" ca="1" si="3"/>
        <v>2</v>
      </c>
      <c r="D158">
        <f t="shared" ca="1" si="4"/>
        <v>5</v>
      </c>
      <c r="E158">
        <f ca="1">IF($C158=1,OFFSET(E158,-1,0)+MAX(1,COUNTIF(QCI!$A$13:$A$24,OFFSET(ORÇAMENTO!E158,-1,0))),OFFSET(E158,-1,0))</f>
        <v>4</v>
      </c>
      <c r="F158">
        <f t="shared" ca="1" si="5"/>
        <v>4</v>
      </c>
      <c r="G158">
        <f t="shared" ca="1" si="6"/>
        <v>0</v>
      </c>
      <c r="H158">
        <f t="shared" ca="1" si="7"/>
        <v>0</v>
      </c>
      <c r="I158">
        <f t="shared" ca="1" si="8"/>
        <v>0</v>
      </c>
      <c r="J158">
        <f t="shared" ca="1" si="47"/>
        <v>7</v>
      </c>
      <c r="K158">
        <f ca="1">IF(OR($C158="S",$C158=0),0,MATCH(OFFSET($D158,0,$C158)+IF($C158&lt;&gt;1,1,COUNTIF(QCI!$A$13:$A$24,ORÇAMENTO!E158)),OFFSET($D158,1,$C158,ROW($C$165)-ROW($C158)),0))</f>
        <v>5</v>
      </c>
      <c r="L158" s="114" t="str">
        <f t="shared" ca="1" si="10"/>
        <v>F</v>
      </c>
      <c r="M158" s="115" t="s">
        <v>702</v>
      </c>
      <c r="N158" s="116" t="str">
        <f t="shared" ca="1" si="11"/>
        <v>Nível 2</v>
      </c>
      <c r="O158" s="117" t="str">
        <f t="shared" ca="1" si="12"/>
        <v>4.4.</v>
      </c>
      <c r="P158" s="118" t="s">
        <v>750</v>
      </c>
      <c r="Q158" s="119"/>
      <c r="R158" s="120" t="s">
        <v>1025</v>
      </c>
      <c r="S158" s="121" t="str">
        <f ca="1">REFERENCIA.Unidade</f>
        <v>-</v>
      </c>
      <c r="T158" s="122">
        <f ca="1">OFFSET(CÁLCULO!H$15,ROW($T158)-ROW(T$15),0)</f>
        <v>0</v>
      </c>
      <c r="U158" s="123"/>
      <c r="V158" s="124" t="s">
        <v>663</v>
      </c>
      <c r="W158" s="122">
        <f ca="1">IF($C158="S",ROUND(IF(TIPOORCAMENTO="Proposto",ORÇAMENTO.CustoUnitario*(1+$AH158),ORÇAMENTO.PrecoUnitarioLicitado),15-13*$AF$10),0)</f>
        <v>0</v>
      </c>
      <c r="X158" s="125" cm="1">
        <f t="array" aca="1" ref="X158" ca="1">IF($C158="S",IF(OR(Import.TipoArredondamento&lt;&gt;"TransfereGOV",ACOMPANHAMENTO="BM"),VTOTAL1,SUM(OFFSET(CÁLCULO!$AI$15,ROW($X158)-ROW($X$15),1):OFFSET(CÁLCULO!$BB$15,ROW($X158)-ROW($X$15),-1))),IF($C158=0,0,ROUND(SomaAgrup,15-13*$AF$11)))</f>
        <v>1131.9100000000001</v>
      </c>
      <c r="Y158" s="126" t="s">
        <v>751</v>
      </c>
      <c r="Z158" t="str">
        <f t="shared" ca="1" si="13"/>
        <v/>
      </c>
      <c r="AA158" s="127">
        <f ca="1">IF($C158="S",IF($Z158="CP",$X158,IF($Z158="RA",(($X158)*QCI!$AA$3),0)),SomaAgrup)</f>
        <v>312.64922262342412</v>
      </c>
      <c r="AB158" s="128">
        <f t="shared" ca="1" si="14"/>
        <v>0</v>
      </c>
      <c r="AC158" s="565" t="e"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IF(AND(_xlfn.SINGLE(TIPOORCAMENTO)="Licitado",$AL158=0,$AN158&gt;0),"SEM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#NAME?</v>
      </c>
      <c r="AD158">
        <f ca="1">IF(C158&lt;=CRONO.NivelExibicao,MAX($AD$15:OFFSET(AD158,-1,0))+IF($C158&lt;&gt;1,1,MAX(1,COUNTIF(QCI!$A$13:$A$24,OFFSET($E158,-1,0)))),"")</f>
        <v>26</v>
      </c>
      <c r="AE158" s="7" t="b">
        <f ca="1">IF(AND($C158="S",ORÇAMENTO.CodBarra&lt;&gt;""),IF(ORÇAMENTO.Fonte="",ORÇAMENTO.CodBarra,CONCATENATE(ORÇAMENTO.Fonte," ",ORÇAMENTO.CodBarra)))</f>
        <v>0</v>
      </c>
      <c r="AF158" s="12" t="str">
        <f ca="1">IF(ISERROR(INDIRECT(ORÇAMENTO.BancoRef)),"(abra o arquivo 'Referência "&amp;Excel_BuiltIn_Database&amp;".xlsm)",IF(OR($C158&lt;&gt;"S",ORÇAMENTO.CodBarra=""),"(Sem Código)",IF(ISERROR(MATCH($AE158,INDIRECT(ORÇAMENTO.BancoRef),0)),"(Código não identificado nas referências)",MATCH($AE158,INDIRECT(ORÇAMENTO.BancoRef),0))))</f>
        <v>(Sem Código)</v>
      </c>
      <c r="AG158" s="428">
        <f ca="1">ROUND(IF(DESONERACAO="sim",REFERENCIA.Desonerado,REFERENCIA.NaoDesonerado),2)</f>
        <v>0</v>
      </c>
      <c r="AH158" s="429">
        <f t="shared" ca="1" si="15"/>
        <v>0.2283</v>
      </c>
      <c r="AJ158" s="431"/>
      <c r="AL158" s="439"/>
      <c r="AM158" s="336">
        <f t="shared" ca="1" si="0"/>
        <v>1131.9100000000001</v>
      </c>
      <c r="AN158" s="470">
        <f t="shared" ca="1" si="16"/>
        <v>0</v>
      </c>
    </row>
    <row r="159" spans="1:40" ht="26.4" x14ac:dyDescent="0.3">
      <c r="A159" t="str">
        <f t="shared" si="1"/>
        <v>S</v>
      </c>
      <c r="B159">
        <f t="shared" ca="1" si="2"/>
        <v>2</v>
      </c>
      <c r="C159" t="str">
        <f t="shared" ca="1" si="3"/>
        <v>S</v>
      </c>
      <c r="D159">
        <f t="shared" ca="1" si="4"/>
        <v>0</v>
      </c>
      <c r="E159">
        <f ca="1">IF($C159=1,OFFSET(E159,-1,0)+MAX(1,COUNTIF(QCI!$A$13:$A$24,OFFSET(ORÇAMENTO!E159,-1,0))),OFFSET(E159,-1,0))</f>
        <v>4</v>
      </c>
      <c r="F159">
        <f t="shared" ca="1" si="5"/>
        <v>4</v>
      </c>
      <c r="G159">
        <f t="shared" ca="1" si="6"/>
        <v>0</v>
      </c>
      <c r="H159">
        <f t="shared" ca="1" si="7"/>
        <v>0</v>
      </c>
      <c r="I159">
        <f t="shared" ca="1" si="8"/>
        <v>1</v>
      </c>
      <c r="J159">
        <f t="shared" ca="1" si="47"/>
        <v>0</v>
      </c>
      <c r="K159">
        <f ca="1">IF(OR($C159="S",$C159=0),0,MATCH(OFFSET($D159,0,$C159)+IF($C159&lt;&gt;1,1,COUNTIF(QCI!$A$13:$A$24,ORÇAMENTO!E159)),OFFSET($D159,1,$C159,ROW($C$165)-ROW($C159)),0))</f>
        <v>0</v>
      </c>
      <c r="L159" s="114" t="str">
        <f t="shared" ca="1" si="10"/>
        <v>F</v>
      </c>
      <c r="M159" s="115" t="s">
        <v>705</v>
      </c>
      <c r="N159" s="116" t="str">
        <f t="shared" ca="1" si="11"/>
        <v>Serviço</v>
      </c>
      <c r="O159" s="117" t="str">
        <f t="shared" ca="1" si="12"/>
        <v>4.4.1.</v>
      </c>
      <c r="P159" s="118" t="s">
        <v>957</v>
      </c>
      <c r="Q159" s="119" t="s">
        <v>1027</v>
      </c>
      <c r="R159" s="120" t="str">
        <f ca="1">IF($C159="S",REFERENCIA.Descricao,"(digite a descrição aqui)")</f>
        <v>ENSAIO DE DETERMINAÇÃO DO TEOR DE BETUME - SOXHLET - CIMENTO ASFALTICO DE PETROLEO</v>
      </c>
      <c r="S159" s="121" t="str">
        <f ca="1">REFERENCIA.Unidade</f>
        <v>UN</v>
      </c>
      <c r="T159" s="122">
        <f ca="1">OFFSET(CÁLCULO!H$15,ROW($T159)-ROW(T$15),0)</f>
        <v>1</v>
      </c>
      <c r="U159" s="123">
        <f ca="1">AG159</f>
        <v>212.32</v>
      </c>
      <c r="V159" s="124" t="s">
        <v>663</v>
      </c>
      <c r="W159" s="122">
        <f ca="1">IF($C159="S",ROUND(IF(TIPOORCAMENTO="Proposto",ORÇAMENTO.CustoUnitario*(1+$AH159),ORÇAMENTO.PrecoUnitarioLicitado),15-13*$AF$10),0)</f>
        <v>260.79000000000002</v>
      </c>
      <c r="X159" s="125" cm="1">
        <f t="array" aca="1" ref="X159" ca="1">IF($C159="S",IF(OR(Import.TipoArredondamento&lt;&gt;"TransfereGOV",ACOMPANHAMENTO="BM"),VTOTAL1,SUM(OFFSET(CÁLCULO!$AI$15,ROW($X159)-ROW($X$15),1):OFFSET(CÁLCULO!$BB$15,ROW($X159)-ROW($X$15),-1))),IF($C159=0,0,ROUND(SomaAgrup,15-13*$AF$11)))</f>
        <v>260.79000000000002</v>
      </c>
      <c r="Y159" s="126" t="s">
        <v>751</v>
      </c>
      <c r="Z159" t="str">
        <f t="shared" ca="1" si="13"/>
        <v>RA</v>
      </c>
      <c r="AA159" s="127">
        <f ca="1">IF($C159="S",IF($Z159="CP",$X159,IF($Z159="RA",(($X159)*QCI!$AA$3),0)),SomaAgrup)</f>
        <v>72.033810787043834</v>
      </c>
      <c r="AB159" s="128">
        <f t="shared" ca="1" si="14"/>
        <v>0</v>
      </c>
      <c r="AC159" s="565" t="e"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IF(AND(_xlfn.SINGLE(TIPOORCAMENTO)="Licitado",$AL159=0,$AN159&gt;0),"SEM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#NAME?</v>
      </c>
      <c r="AD159" t="str">
        <f ca="1">IF(C159&lt;=CRONO.NivelExibicao,MAX($AD$15:OFFSET(AD159,-1,0))+IF($C159&lt;&gt;1,1,MAX(1,COUNTIF(QCI!$A$13:$A$24,OFFSET($E159,-1,0)))),"")</f>
        <v/>
      </c>
      <c r="AE159" s="7" t="str">
        <f ca="1">IF(AND($C159="S",ORÇAMENTO.CodBarra&lt;&gt;""),IF(ORÇAMENTO.Fonte="",ORÇAMENTO.CodBarra,CONCATENATE(ORÇAMENTO.Fonte," ",ORÇAMENTO.CodBarra)))</f>
        <v>Composição COMP 07</v>
      </c>
      <c r="AF159" s="12">
        <f ca="1">IF(ISERROR(INDIRECT(ORÇAMENTO.BancoRef)),"(abra o arquivo 'Referência "&amp;Excel_BuiltIn_Database&amp;".xlsm)",IF(OR($C159&lt;&gt;"S",ORÇAMENTO.CodBarra=""),"(Sem Código)",IF(ISERROR(MATCH($AE159,INDIRECT(ORÇAMENTO.BancoRef),0)),"(Código não identificado nas referências)",MATCH($AE159,INDIRECT(ORÇAMENTO.BancoRef),0))))</f>
        <v>9</v>
      </c>
      <c r="AG159" s="428">
        <f ca="1">ROUND(IF(DESONERACAO="sim",REFERENCIA.Desonerado,REFERENCIA.NaoDesonerado),2)</f>
        <v>212.32</v>
      </c>
      <c r="AH159" s="429">
        <f t="shared" ca="1" si="15"/>
        <v>0.2283</v>
      </c>
      <c r="AJ159" s="431"/>
      <c r="AL159" s="439"/>
      <c r="AM159" s="336">
        <f t="shared" ca="1" si="0"/>
        <v>260.79000000000002</v>
      </c>
      <c r="AN159" s="470">
        <f t="shared" ca="1" si="16"/>
        <v>260.79000000000002</v>
      </c>
    </row>
    <row r="160" spans="1:40" ht="13.8" x14ac:dyDescent="0.3">
      <c r="A160" t="str">
        <f t="shared" si="1"/>
        <v>S</v>
      </c>
      <c r="B160">
        <f t="shared" ca="1" si="2"/>
        <v>2</v>
      </c>
      <c r="C160" t="str">
        <f t="shared" ca="1" si="3"/>
        <v>S</v>
      </c>
      <c r="D160">
        <f t="shared" ca="1" si="4"/>
        <v>0</v>
      </c>
      <c r="E160">
        <f ca="1">IF($C160=1,OFFSET(E160,-1,0)+MAX(1,COUNTIF(QCI!$A$13:$A$24,OFFSET(ORÇAMENTO!E160,-1,0))),OFFSET(E160,-1,0))</f>
        <v>4</v>
      </c>
      <c r="F160">
        <f t="shared" ca="1" si="5"/>
        <v>4</v>
      </c>
      <c r="G160">
        <f t="shared" ca="1" si="6"/>
        <v>0</v>
      </c>
      <c r="H160">
        <f t="shared" ca="1" si="7"/>
        <v>0</v>
      </c>
      <c r="I160">
        <f t="shared" ca="1" si="8"/>
        <v>2</v>
      </c>
      <c r="J160">
        <f t="shared" ca="1" si="47"/>
        <v>0</v>
      </c>
      <c r="K160">
        <f ca="1">IF(OR($C160="S",$C160=0),0,MATCH(OFFSET($D160,0,$C160)+IF($C160&lt;&gt;1,1,COUNTIF(QCI!$A$13:$A$24,ORÇAMENTO!E160)),OFFSET($D160,1,$C160,ROW($C$165)-ROW($C160)),0))</f>
        <v>0</v>
      </c>
      <c r="L160" s="114" t="str">
        <f t="shared" ca="1" si="10"/>
        <v>F</v>
      </c>
      <c r="M160" s="115" t="s">
        <v>705</v>
      </c>
      <c r="N160" s="116" t="str">
        <f t="shared" ca="1" si="11"/>
        <v>Serviço</v>
      </c>
      <c r="O160" s="117" t="str">
        <f t="shared" ca="1" si="12"/>
        <v>4.4.2.</v>
      </c>
      <c r="P160" s="118" t="s">
        <v>957</v>
      </c>
      <c r="Q160" s="119" t="s">
        <v>1028</v>
      </c>
      <c r="R160" s="120" t="str">
        <f ca="1">IF($C160="S",REFERENCIA.Descricao,"(digite a descrição aqui)")</f>
        <v xml:space="preserve">ENSAIO MARSHALL - MISTURA BETUMINOSA À QUENTE </v>
      </c>
      <c r="S160" s="121" t="str">
        <f ca="1">REFERENCIA.Unidade</f>
        <v>UN</v>
      </c>
      <c r="T160" s="122">
        <f ca="1">OFFSET(CÁLCULO!H$15,ROW($T160)-ROW(T$15),0)</f>
        <v>1</v>
      </c>
      <c r="U160" s="123">
        <f ca="1">AG160</f>
        <v>424.66</v>
      </c>
      <c r="V160" s="124" t="s">
        <v>663</v>
      </c>
      <c r="W160" s="122">
        <f ca="1">IF($C160="S",ROUND(IF(TIPOORCAMENTO="Proposto",ORÇAMENTO.CustoUnitario*(1+$AH160),ORÇAMENTO.PrecoUnitarioLicitado),15-13*$AF$10),0)</f>
        <v>521.61</v>
      </c>
      <c r="X160" s="125" cm="1">
        <f t="array" aca="1" ref="X160" ca="1">IF($C160="S",IF(OR(Import.TipoArredondamento&lt;&gt;"TransfereGOV",ACOMPANHAMENTO="BM"),VTOTAL1,SUM(OFFSET(CÁLCULO!$AI$15,ROW($X160)-ROW($X$15),1):OFFSET(CÁLCULO!$BB$15,ROW($X160)-ROW($X$15),-1))),IF($C160=0,0,ROUND(SomaAgrup,15-13*$AF$11)))</f>
        <v>521.61</v>
      </c>
      <c r="Y160" s="126" t="s">
        <v>751</v>
      </c>
      <c r="Z160" t="str">
        <f t="shared" ca="1" si="13"/>
        <v>RA</v>
      </c>
      <c r="AA160" s="127">
        <f ca="1">IF($C160="S",IF($Z160="CP",$X160,IF($Z160="RA",(($X160)*QCI!$AA$3),0)),SomaAgrup)</f>
        <v>144.07590798968494</v>
      </c>
      <c r="AB160" s="128">
        <f t="shared" ca="1" si="14"/>
        <v>0</v>
      </c>
      <c r="AC160" s="565" t="e"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IF(AND(_xlfn.SINGLE(TIPOORCAMENTO)="Licitado",$AL160=0,$AN160&gt;0),"SEM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#NAME?</v>
      </c>
      <c r="AD160" t="str">
        <f ca="1">IF(C160&lt;=CRONO.NivelExibicao,MAX($AD$15:OFFSET(AD160,-1,0))+IF($C160&lt;&gt;1,1,MAX(1,COUNTIF(QCI!$A$13:$A$24,OFFSET($E160,-1,0)))),"")</f>
        <v/>
      </c>
      <c r="AE160" s="7" t="str">
        <f ca="1">IF(AND($C160="S",ORÇAMENTO.CodBarra&lt;&gt;""),IF(ORÇAMENTO.Fonte="",ORÇAMENTO.CodBarra,CONCATENATE(ORÇAMENTO.Fonte," ",ORÇAMENTO.CodBarra)))</f>
        <v>Composição COMP 08</v>
      </c>
      <c r="AF160" s="12">
        <f ca="1">IF(ISERROR(INDIRECT(ORÇAMENTO.BancoRef)),"(abra o arquivo 'Referência "&amp;Excel_BuiltIn_Database&amp;".xlsm)",IF(OR($C160&lt;&gt;"S",ORÇAMENTO.CodBarra=""),"(Sem Código)",IF(ISERROR(MATCH($AE160,INDIRECT(ORÇAMENTO.BancoRef),0)),"(Código não identificado nas referências)",MATCH($AE160,INDIRECT(ORÇAMENTO.BancoRef),0))))</f>
        <v>10</v>
      </c>
      <c r="AG160" s="428">
        <f ca="1">ROUND(IF(DESONERACAO="sim",REFERENCIA.Desonerado,REFERENCIA.NaoDesonerado),2)</f>
        <v>424.66</v>
      </c>
      <c r="AH160" s="429">
        <f t="shared" ca="1" si="15"/>
        <v>0.2283</v>
      </c>
      <c r="AJ160" s="431"/>
      <c r="AL160" s="439"/>
      <c r="AM160" s="336">
        <f t="shared" ca="1" si="0"/>
        <v>521.61</v>
      </c>
      <c r="AN160" s="470">
        <f t="shared" ca="1" si="16"/>
        <v>521.61</v>
      </c>
    </row>
    <row r="161" spans="1:40" ht="39.6" x14ac:dyDescent="0.3">
      <c r="A161" t="str">
        <f t="shared" si="1"/>
        <v>S</v>
      </c>
      <c r="B161">
        <f t="shared" ca="1" si="2"/>
        <v>2</v>
      </c>
      <c r="C161" t="str">
        <f t="shared" ca="1" si="3"/>
        <v>S</v>
      </c>
      <c r="D161">
        <f t="shared" ca="1" si="4"/>
        <v>0</v>
      </c>
      <c r="E161">
        <f ca="1">IF($C161=1,OFFSET(E161,-1,0)+MAX(1,COUNTIF(QCI!$A$13:$A$24,OFFSET(ORÇAMENTO!E161,-1,0))),OFFSET(E161,-1,0))</f>
        <v>4</v>
      </c>
      <c r="F161">
        <f t="shared" ca="1" si="5"/>
        <v>4</v>
      </c>
      <c r="G161">
        <f t="shared" ca="1" si="6"/>
        <v>0</v>
      </c>
      <c r="H161">
        <f t="shared" ca="1" si="7"/>
        <v>0</v>
      </c>
      <c r="I161">
        <f t="shared" ca="1" si="8"/>
        <v>3</v>
      </c>
      <c r="J161">
        <f t="shared" ca="1" si="47"/>
        <v>0</v>
      </c>
      <c r="K161">
        <f ca="1">IF(OR($C161="S",$C161=0),0,MATCH(OFFSET($D161,0,$C161)+IF($C161&lt;&gt;1,1,COUNTIF(QCI!$A$13:$A$24,ORÇAMENTO!E161)),OFFSET($D161,1,$C161,ROW($C$165)-ROW($C161)),0))</f>
        <v>0</v>
      </c>
      <c r="L161" s="114" t="str">
        <f t="shared" ca="1" si="10"/>
        <v>F</v>
      </c>
      <c r="M161" s="115" t="s">
        <v>705</v>
      </c>
      <c r="N161" s="116" t="str">
        <f t="shared" ca="1" si="11"/>
        <v>Serviço</v>
      </c>
      <c r="O161" s="117" t="str">
        <f t="shared" ca="1" si="12"/>
        <v>4.4.3.</v>
      </c>
      <c r="P161" s="118" t="s">
        <v>957</v>
      </c>
      <c r="Q161" s="119" t="s">
        <v>1029</v>
      </c>
      <c r="R161" s="120" t="str">
        <f ca="1">IF($C161="S",REFERENCIA.Descricao,"(digite a descrição aqui)")</f>
        <v xml:space="preserve">ENSAIO DE CONTROLE DO GRAU DE COMPACTAÇÃO, DENSIDADE E ESPESSURA DA MASSA ASFÁLTICA COM COLETA ATRAVÉS DE SONDA ROTATIVA </v>
      </c>
      <c r="S161" s="121" t="str">
        <f ca="1">REFERENCIA.Unidade</f>
        <v>UN</v>
      </c>
      <c r="T161" s="122">
        <f ca="1">OFFSET(CÁLCULO!H$15,ROW($T161)-ROW(T$15),0)</f>
        <v>1</v>
      </c>
      <c r="U161" s="123">
        <f ca="1">AG161</f>
        <v>111.32</v>
      </c>
      <c r="V161" s="124" t="s">
        <v>663</v>
      </c>
      <c r="W161" s="122">
        <f ca="1">IF($C161="S",ROUND(IF(TIPOORCAMENTO="Proposto",ORÇAMENTO.CustoUnitario*(1+$AH161),ORÇAMENTO.PrecoUnitarioLicitado),15-13*$AF$10),0)</f>
        <v>136.72999999999999</v>
      </c>
      <c r="X161" s="125" cm="1">
        <f t="array" aca="1" ref="X161" ca="1">IF($C161="S",IF(OR(Import.TipoArredondamento&lt;&gt;"TransfereGOV",ACOMPANHAMENTO="BM"),VTOTAL1,SUM(OFFSET(CÁLCULO!$AI$15,ROW($X161)-ROW($X$15),1):OFFSET(CÁLCULO!$BB$15,ROW($X161)-ROW($X$15),-1))),IF($C161=0,0,ROUND(SomaAgrup,15-13*$AF$11)))</f>
        <v>136.72999999999999</v>
      </c>
      <c r="Y161" s="126" t="s">
        <v>751</v>
      </c>
      <c r="Z161" t="str">
        <f t="shared" ca="1" si="13"/>
        <v>RA</v>
      </c>
      <c r="AA161" s="127">
        <f ca="1">IF($C161="S",IF($Z161="CP",$X161,IF($Z161="RA",(($X161)*QCI!$AA$3),0)),SomaAgrup)</f>
        <v>37.766720153811505</v>
      </c>
      <c r="AB161" s="128">
        <f t="shared" ca="1" si="14"/>
        <v>0</v>
      </c>
      <c r="AC161" s="565" t="e"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IF(AND(_xlfn.SINGLE(TIPOORCAMENTO)="Licitado",$AL161=0,$AN161&gt;0),"SEM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#NAME?</v>
      </c>
      <c r="AD161" t="str">
        <f ca="1">IF(C161&lt;=CRONO.NivelExibicao,MAX($AD$15:OFFSET(AD161,-1,0))+IF($C161&lt;&gt;1,1,MAX(1,COUNTIF(QCI!$A$13:$A$24,OFFSET($E161,-1,0)))),"")</f>
        <v/>
      </c>
      <c r="AE161" s="7" t="str">
        <f ca="1">IF(AND($C161="S",ORÇAMENTO.CodBarra&lt;&gt;""),IF(ORÇAMENTO.Fonte="",ORÇAMENTO.CodBarra,CONCATENATE(ORÇAMENTO.Fonte," ",ORÇAMENTO.CodBarra)))</f>
        <v>Composição COMP 09</v>
      </c>
      <c r="AF161" s="12">
        <f ca="1">IF(ISERROR(INDIRECT(ORÇAMENTO.BancoRef)),"(abra o arquivo 'Referência "&amp;Excel_BuiltIn_Database&amp;".xlsm)",IF(OR($C161&lt;&gt;"S",ORÇAMENTO.CodBarra=""),"(Sem Código)",IF(ISERROR(MATCH($AE161,INDIRECT(ORÇAMENTO.BancoRef),0)),"(Código não identificado nas referências)",MATCH($AE161,INDIRECT(ORÇAMENTO.BancoRef),0))))</f>
        <v>11</v>
      </c>
      <c r="AG161" s="428">
        <f ca="1">ROUND(IF(DESONERACAO="sim",REFERENCIA.Desonerado,REFERENCIA.NaoDesonerado),2)</f>
        <v>111.32</v>
      </c>
      <c r="AH161" s="429">
        <f t="shared" ca="1" si="15"/>
        <v>0.2283</v>
      </c>
      <c r="AJ161" s="431"/>
      <c r="AL161" s="439"/>
      <c r="AM161" s="336">
        <f t="shared" ca="1" si="0"/>
        <v>136.72999999999999</v>
      </c>
      <c r="AN161" s="470">
        <f t="shared" ca="1" si="16"/>
        <v>136.72999999999999</v>
      </c>
    </row>
    <row r="162" spans="1:40" ht="13.8" x14ac:dyDescent="0.3">
      <c r="A162" t="str">
        <f t="shared" si="1"/>
        <v>S</v>
      </c>
      <c r="B162">
        <f t="shared" ca="1" si="2"/>
        <v>2</v>
      </c>
      <c r="C162" t="str">
        <f t="shared" ca="1" si="3"/>
        <v>S</v>
      </c>
      <c r="D162">
        <f t="shared" ca="1" si="4"/>
        <v>0</v>
      </c>
      <c r="E162">
        <f ca="1">IF($C162=1,OFFSET(E162,-1,0)+MAX(1,COUNTIF(QCI!$A$13:$A$24,OFFSET(ORÇAMENTO!E162,-1,0))),OFFSET(E162,-1,0))</f>
        <v>4</v>
      </c>
      <c r="F162">
        <f t="shared" ca="1" si="5"/>
        <v>4</v>
      </c>
      <c r="G162">
        <f t="shared" ca="1" si="6"/>
        <v>0</v>
      </c>
      <c r="H162">
        <f t="shared" ca="1" si="7"/>
        <v>0</v>
      </c>
      <c r="I162">
        <f t="shared" ca="1" si="8"/>
        <v>4</v>
      </c>
      <c r="J162">
        <f t="shared" ca="1" si="47"/>
        <v>0</v>
      </c>
      <c r="K162">
        <f ca="1">IF(OR($C162="S",$C162=0),0,MATCH(OFFSET($D162,0,$C162)+IF($C162&lt;&gt;1,1,COUNTIF(QCI!$A$13:$A$24,ORÇAMENTO!E162)),OFFSET($D162,1,$C162,ROW($C$165)-ROW($C162)),0))</f>
        <v>0</v>
      </c>
      <c r="L162" s="114" t="str">
        <f t="shared" ca="1" si="10"/>
        <v>F</v>
      </c>
      <c r="M162" s="115" t="s">
        <v>705</v>
      </c>
      <c r="N162" s="116" t="str">
        <f t="shared" ca="1" si="11"/>
        <v>Serviço</v>
      </c>
      <c r="O162" s="117" t="str">
        <f t="shared" ca="1" si="12"/>
        <v>4.4.4.</v>
      </c>
      <c r="P162" s="118" t="s">
        <v>957</v>
      </c>
      <c r="Q162" s="119" t="s">
        <v>1031</v>
      </c>
      <c r="R162" s="120" t="str">
        <f ca="1">IF($C162="S",REFERENCIA.Descricao,"(digite a descrição aqui)")</f>
        <v xml:space="preserve">ENSAIO BANDEJA DO LIGANTE DE PINTURA </v>
      </c>
      <c r="S162" s="121" t="str">
        <f ca="1">REFERENCIA.Unidade</f>
        <v>UN</v>
      </c>
      <c r="T162" s="122">
        <f ca="1">OFFSET(CÁLCULO!H$15,ROW($T162)-ROW(T$15),0)</f>
        <v>1</v>
      </c>
      <c r="U162" s="123">
        <f ca="1">AG162</f>
        <v>173.23</v>
      </c>
      <c r="V162" s="124" t="s">
        <v>663</v>
      </c>
      <c r="W162" s="122">
        <f ca="1">IF($C162="S",ROUND(IF(TIPOORCAMENTO="Proposto",ORÇAMENTO.CustoUnitario*(1+$AH162),ORÇAMENTO.PrecoUnitarioLicitado),15-13*$AF$10),0)</f>
        <v>212.78</v>
      </c>
      <c r="X162" s="125" cm="1">
        <f t="array" aca="1" ref="X162" ca="1">IF($C162="S",IF(OR(Import.TipoArredondamento&lt;&gt;"TransfereGOV",ACOMPANHAMENTO="BM"),VTOTAL1,SUM(OFFSET(CÁLCULO!$AI$15,ROW($X162)-ROW($X$15),1):OFFSET(CÁLCULO!$BB$15,ROW($X162)-ROW($X$15),-1))),IF($C162=0,0,ROUND(SomaAgrup,15-13*$AF$11)))</f>
        <v>212.78</v>
      </c>
      <c r="Y162" s="126" t="s">
        <v>751</v>
      </c>
      <c r="Z162" t="str">
        <f t="shared" ca="1" si="13"/>
        <v>RA</v>
      </c>
      <c r="AA162" s="127">
        <f ca="1">IF($C162="S",IF($Z162="CP",$X162,IF($Z162="RA",(($X162)*QCI!$AA$3),0)),SomaAgrup)</f>
        <v>58.772783692883877</v>
      </c>
      <c r="AB162" s="128">
        <f t="shared" ca="1" si="14"/>
        <v>0</v>
      </c>
      <c r="AC162" s="565" t="e"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IF(AND(_xlfn.SINGLE(TIPOORCAMENTO)="Licitado",$AL162=0,$AN162&gt;0),"SEM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#NAME?</v>
      </c>
      <c r="AD162" t="str">
        <f ca="1">IF(C162&lt;=CRONO.NivelExibicao,MAX($AD$15:OFFSET(AD162,-1,0))+IF($C162&lt;&gt;1,1,MAX(1,COUNTIF(QCI!$A$13:$A$24,OFFSET($E162,-1,0)))),"")</f>
        <v/>
      </c>
      <c r="AE162" s="7" t="str">
        <f ca="1">IF(AND($C162="S",ORÇAMENTO.CodBarra&lt;&gt;""),IF(ORÇAMENTO.Fonte="",ORÇAMENTO.CodBarra,CONCATENATE(ORÇAMENTO.Fonte," ",ORÇAMENTO.CodBarra)))</f>
        <v>Composição COMP 10</v>
      </c>
      <c r="AF162" s="12">
        <f ca="1">IF(ISERROR(INDIRECT(ORÇAMENTO.BancoRef)),"(abra o arquivo 'Referência "&amp;Excel_BuiltIn_Database&amp;".xlsm)",IF(OR($C162&lt;&gt;"S",ORÇAMENTO.CodBarra=""),"(Sem Código)",IF(ISERROR(MATCH($AE162,INDIRECT(ORÇAMENTO.BancoRef),0)),"(Código não identificado nas referências)",MATCH($AE162,INDIRECT(ORÇAMENTO.BancoRef),0))))</f>
        <v>12</v>
      </c>
      <c r="AG162" s="428">
        <f ca="1">ROUND(IF(DESONERACAO="sim",REFERENCIA.Desonerado,REFERENCIA.NaoDesonerado),2)</f>
        <v>173.23</v>
      </c>
      <c r="AH162" s="429">
        <f t="shared" ca="1" si="15"/>
        <v>0.2283</v>
      </c>
      <c r="AJ162" s="431"/>
      <c r="AL162" s="439"/>
      <c r="AM162" s="336">
        <f t="shared" ca="1" si="0"/>
        <v>212.78</v>
      </c>
      <c r="AN162" s="470">
        <f t="shared" ca="1" si="16"/>
        <v>212.78</v>
      </c>
    </row>
    <row r="163" spans="1:40" ht="13.8" x14ac:dyDescent="0.3">
      <c r="A163">
        <f t="shared" si="1"/>
        <v>2</v>
      </c>
      <c r="B163">
        <f t="shared" ca="1" si="2"/>
        <v>2</v>
      </c>
      <c r="C163">
        <f t="shared" ca="1" si="3"/>
        <v>2</v>
      </c>
      <c r="D163">
        <f t="shared" ca="1" si="4"/>
        <v>2</v>
      </c>
      <c r="E163">
        <f ca="1">IF($C163=1,OFFSET(E163,-1,0)+MAX(1,COUNTIF(QCI!$A$13:$A$24,OFFSET(ORÇAMENTO!E163,-1,0))),OFFSET(E163,-1,0))</f>
        <v>4</v>
      </c>
      <c r="F163">
        <f t="shared" ca="1" si="5"/>
        <v>5</v>
      </c>
      <c r="G163">
        <f t="shared" ca="1" si="6"/>
        <v>0</v>
      </c>
      <c r="H163">
        <f t="shared" ca="1" si="7"/>
        <v>0</v>
      </c>
      <c r="I163">
        <f t="shared" ca="1" si="8"/>
        <v>0</v>
      </c>
      <c r="J163">
        <f t="shared" ca="1" si="47"/>
        <v>2</v>
      </c>
      <c r="K163" t="e">
        <f ca="1">IF(OR($C163="S",$C163=0),0,MATCH(OFFSET($D163,0,$C163)+IF($C163&lt;&gt;1,1,COUNTIF(QCI!$A$13:$A$24,ORÇAMENTO!E163)),OFFSET($D163,1,$C163,ROW($C$165)-ROW($C163)),0))</f>
        <v>#N/A</v>
      </c>
      <c r="L163" s="114" t="str">
        <f t="shared" ca="1" si="10"/>
        <v>F</v>
      </c>
      <c r="M163" s="115" t="s">
        <v>702</v>
      </c>
      <c r="N163" s="116" t="str">
        <f t="shared" ca="1" si="11"/>
        <v>Nível 2</v>
      </c>
      <c r="O163" s="117" t="str">
        <f t="shared" ca="1" si="12"/>
        <v>4.5.</v>
      </c>
      <c r="P163" s="118" t="s">
        <v>750</v>
      </c>
      <c r="Q163" s="119"/>
      <c r="R163" s="120" t="s">
        <v>1026</v>
      </c>
      <c r="S163" s="121" t="str">
        <f ca="1">REFERENCIA.Unidade</f>
        <v>-</v>
      </c>
      <c r="T163" s="122">
        <f ca="1">OFFSET(CÁLCULO!H$15,ROW($T163)-ROW(T$15),0)</f>
        <v>0</v>
      </c>
      <c r="U163" s="123"/>
      <c r="V163" s="124" t="s">
        <v>663</v>
      </c>
      <c r="W163" s="122">
        <f ca="1">IF($C163="S",ROUND(IF(TIPOORCAMENTO="Proposto",ORÇAMENTO.CustoUnitario*(1+$AH163),ORÇAMENTO.PrecoUnitarioLicitado),15-13*$AF$10),0)</f>
        <v>0</v>
      </c>
      <c r="X163" s="125" cm="1">
        <f t="array" aca="1" ref="X163" ca="1">IF($C163="S",IF(OR(Import.TipoArredondamento&lt;&gt;"TransfereGOV",ACOMPANHAMENTO="BM"),VTOTAL1,SUM(OFFSET(CÁLCULO!$AI$15,ROW($X163)-ROW($X$15),1):OFFSET(CÁLCULO!$BB$15,ROW($X163)-ROW($X$15),-1))),IF($C163=0,0,ROUND(SomaAgrup,15-13*$AF$11)))</f>
        <v>2174.1999999999998</v>
      </c>
      <c r="Y163" s="126" t="s">
        <v>751</v>
      </c>
      <c r="Z163" t="str">
        <f t="shared" ca="1" si="13"/>
        <v/>
      </c>
      <c r="AA163" s="127">
        <f ca="1">IF($C163="S",IF($Z163="CP",$X163,IF($Z163="RA",(($X163)*QCI!$AA$3),0)),SomaAgrup)</f>
        <v>600.5441597192787</v>
      </c>
      <c r="AB163" s="128">
        <f t="shared" ca="1" si="14"/>
        <v>0</v>
      </c>
      <c r="AC163" s="565" t="e"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IF(AND(_xlfn.SINGLE(TIPOORCAMENTO)="Licitado",$AL163=0,$AN163&gt;0),"SEM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#NAME?</v>
      </c>
      <c r="AD163">
        <f ca="1">IF(C163&lt;=CRONO.NivelExibicao,MAX($AD$15:OFFSET(AD163,-1,0))+IF($C163&lt;&gt;1,1,MAX(1,COUNTIF(QCI!$A$13:$A$24,OFFSET($E163,-1,0)))),"")</f>
        <v>27</v>
      </c>
      <c r="AE163" s="7" t="b">
        <f ca="1">IF(AND($C163="S",ORÇAMENTO.CodBarra&lt;&gt;""),IF(ORÇAMENTO.Fonte="",ORÇAMENTO.CodBarra,CONCATENATE(ORÇAMENTO.Fonte," ",ORÇAMENTO.CodBarra)))</f>
        <v>0</v>
      </c>
      <c r="AF163" s="12" t="str">
        <f ca="1">IF(ISERROR(INDIRECT(ORÇAMENTO.BancoRef)),"(abra o arquivo 'Referência "&amp;Excel_BuiltIn_Database&amp;".xlsm)",IF(OR($C163&lt;&gt;"S",ORÇAMENTO.CodBarra=""),"(Sem Código)",IF(ISERROR(MATCH($AE163,INDIRECT(ORÇAMENTO.BancoRef),0)),"(Código não identificado nas referências)",MATCH($AE163,INDIRECT(ORÇAMENTO.BancoRef),0))))</f>
        <v>(Sem Código)</v>
      </c>
      <c r="AG163" s="428">
        <f ca="1">ROUND(IF(DESONERACAO="sim",REFERENCIA.Desonerado,REFERENCIA.NaoDesonerado),2)</f>
        <v>0</v>
      </c>
      <c r="AH163" s="429">
        <f t="shared" ca="1" si="15"/>
        <v>0.2283</v>
      </c>
      <c r="AJ163" s="431"/>
      <c r="AL163" s="439"/>
      <c r="AM163" s="336">
        <f t="shared" ca="1" si="0"/>
        <v>2174.1999999999998</v>
      </c>
      <c r="AN163" s="470">
        <f t="shared" ca="1" si="16"/>
        <v>0</v>
      </c>
    </row>
    <row r="164" spans="1:40" ht="39.6" x14ac:dyDescent="0.3">
      <c r="A164" t="str">
        <f t="shared" si="1"/>
        <v>S</v>
      </c>
      <c r="B164">
        <f t="shared" ca="1" si="2"/>
        <v>2</v>
      </c>
      <c r="C164" t="str">
        <f t="shared" ca="1" si="3"/>
        <v>S</v>
      </c>
      <c r="D164">
        <f t="shared" ca="1" si="4"/>
        <v>0</v>
      </c>
      <c r="E164">
        <f ca="1">IF($C164=1,OFFSET(E164,-1,0)+MAX(1,COUNTIF(QCI!$A$13:$A$24,OFFSET(ORÇAMENTO!E164,-1,0))),OFFSET(E164,-1,0))</f>
        <v>4</v>
      </c>
      <c r="F164">
        <f t="shared" ca="1" si="5"/>
        <v>5</v>
      </c>
      <c r="G164">
        <f t="shared" ca="1" si="6"/>
        <v>0</v>
      </c>
      <c r="H164">
        <f t="shared" ca="1" si="7"/>
        <v>0</v>
      </c>
      <c r="I164">
        <f t="shared" ca="1" si="8"/>
        <v>1</v>
      </c>
      <c r="J164">
        <f t="shared" ca="1" si="47"/>
        <v>0</v>
      </c>
      <c r="K164">
        <f ca="1">IF(OR($C164="S",$C164=0),0,MATCH(OFFSET($D164,0,$C164)+IF($C164&lt;&gt;1,1,COUNTIF(QCI!$A$13:$A$24,ORÇAMENTO!E164)),OFFSET($D164,1,$C164,ROW($C$165)-ROW($C164)),0))</f>
        <v>0</v>
      </c>
      <c r="L164" s="114" t="str">
        <f t="shared" ca="1" si="10"/>
        <v>F</v>
      </c>
      <c r="M164" s="115" t="s">
        <v>705</v>
      </c>
      <c r="N164" s="116" t="str">
        <f t="shared" ca="1" si="11"/>
        <v>Serviço</v>
      </c>
      <c r="O164" s="117" t="str">
        <f t="shared" ca="1" si="12"/>
        <v>4.5.1.</v>
      </c>
      <c r="P164" s="118" t="s">
        <v>957</v>
      </c>
      <c r="Q164" s="119" t="s">
        <v>1016</v>
      </c>
      <c r="R164" s="120" t="str">
        <f ca="1">IF($C164="S",REFERENCIA.Descricao,"(digite a descrição aqui)")</f>
        <v>MOBILIZAÇÃO OU DESMOBILIZAÇÃO DE 07 EQUIPAMENTOS, COM CAMINHÃO PRANCHA, PARA UMA DMT= 21 KM E UMA VM=
60KM/H, POR VIAS PAVIMENTADAS</v>
      </c>
      <c r="S164" s="121" t="str">
        <f ca="1">REFERENCIA.Unidade</f>
        <v>UN</v>
      </c>
      <c r="T164" s="122">
        <f ca="1">OFFSET(CÁLCULO!H$15,ROW($T164)-ROW(T$15),0)</f>
        <v>1</v>
      </c>
      <c r="U164" s="123">
        <f ca="1">AG164</f>
        <v>1770.09</v>
      </c>
      <c r="V164" s="124" t="s">
        <v>663</v>
      </c>
      <c r="W164" s="122">
        <f ca="1">IF($C164="S",ROUND(IF(TIPOORCAMENTO="Proposto",ORÇAMENTO.CustoUnitario*(1+$AH164),ORÇAMENTO.PrecoUnitarioLicitado),15-13*$AF$10),0)</f>
        <v>2174.1999999999998</v>
      </c>
      <c r="X164" s="125" cm="1">
        <f t="array" aca="1" ref="X164" ca="1">IF($C164="S",IF(OR(Import.TipoArredondamento&lt;&gt;"TransfereGOV",ACOMPANHAMENTO="BM"),VTOTAL1,SUM(OFFSET(CÁLCULO!$AI$15,ROW($X164)-ROW($X$15),1):OFFSET(CÁLCULO!$BB$15,ROW($X164)-ROW($X$15),-1))),IF($C164=0,0,ROUND(SomaAgrup,15-13*$AF$11)))</f>
        <v>2174.1999999999998</v>
      </c>
      <c r="Y164" s="126" t="s">
        <v>751</v>
      </c>
      <c r="Z164" t="str">
        <f t="shared" ca="1" si="13"/>
        <v>RA</v>
      </c>
      <c r="AA164" s="127">
        <f ca="1">IF($C164="S",IF($Z164="CP",$X164,IF($Z164="RA",(($X164)*QCI!$AA$3),0)),SomaAgrup)</f>
        <v>600.5441597192787</v>
      </c>
      <c r="AB164" s="128">
        <f t="shared" ca="1" si="14"/>
        <v>0</v>
      </c>
      <c r="AC164" s="565" t="e"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IF(AND(_xlfn.SINGLE(TIPOORCAMENTO)="Licitado",$AL164=0,$AN164&gt;0),"SEM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#NAME?</v>
      </c>
      <c r="AD164" t="str">
        <f ca="1">IF(C164&lt;=CRONO.NivelExibicao,MAX($AD$15:OFFSET(AD164,-1,0))+IF($C164&lt;&gt;1,1,MAX(1,COUNTIF(QCI!$A$13:$A$24,OFFSET($E164,-1,0)))),"")</f>
        <v/>
      </c>
      <c r="AE164" s="7" t="str">
        <f ca="1">IF(AND($C164="S",ORÇAMENTO.CodBarra&lt;&gt;""),IF(ORÇAMENTO.Fonte="",ORÇAMENTO.CodBarra,CONCATENATE(ORÇAMENTO.Fonte," ",ORÇAMENTO.CodBarra)))</f>
        <v>Composição COMP 01</v>
      </c>
      <c r="AF164" s="12">
        <f ca="1">IF(ISERROR(INDIRECT(ORÇAMENTO.BancoRef)),"(abra o arquivo 'Referência "&amp;Excel_BuiltIn_Database&amp;".xlsm)",IF(OR($C164&lt;&gt;"S",ORÇAMENTO.CodBarra=""),"(Sem Código)",IF(ISERROR(MATCH($AE164,INDIRECT(ORÇAMENTO.BancoRef),0)),"(Código não identificado nas referências)",MATCH($AE164,INDIRECT(ORÇAMENTO.BancoRef),0))))</f>
        <v>3</v>
      </c>
      <c r="AG164" s="428">
        <f ca="1">ROUND(IF(DESONERACAO="sim",REFERENCIA.Desonerado,REFERENCIA.NaoDesonerado),2)</f>
        <v>1770.09</v>
      </c>
      <c r="AH164" s="429">
        <f t="shared" ca="1" si="15"/>
        <v>0.2283</v>
      </c>
      <c r="AJ164" s="431"/>
      <c r="AL164" s="439"/>
      <c r="AM164" s="336">
        <f t="shared" ca="1" si="0"/>
        <v>2174.1999999999998</v>
      </c>
      <c r="AN164" s="470">
        <f t="shared" ca="1" si="16"/>
        <v>2174.1999999999998</v>
      </c>
    </row>
    <row r="165" spans="1:40" ht="5.0999999999999996" customHeight="1" x14ac:dyDescent="0.3">
      <c r="A165">
        <v>-1</v>
      </c>
      <c r="C165">
        <v>-1</v>
      </c>
      <c r="E165">
        <v>0</v>
      </c>
      <c r="F165">
        <v>0</v>
      </c>
      <c r="G165">
        <v>0</v>
      </c>
      <c r="H165">
        <v>0</v>
      </c>
      <c r="I165">
        <v>0</v>
      </c>
      <c r="L165" s="114" t="s">
        <v>536</v>
      </c>
      <c r="M165" s="616"/>
      <c r="N165" s="424"/>
      <c r="O165" s="616"/>
      <c r="P165" s="617"/>
      <c r="Q165" s="617"/>
      <c r="R165" s="617"/>
      <c r="S165" s="617"/>
      <c r="T165" s="617"/>
      <c r="U165" s="617"/>
      <c r="V165" s="617"/>
      <c r="W165" s="617"/>
      <c r="X165" s="424"/>
      <c r="Y165" s="424"/>
      <c r="AC165" s="565" t="s">
        <v>752</v>
      </c>
      <c r="AG165" s="618"/>
      <c r="AH165" s="419"/>
      <c r="AJ165" s="425"/>
      <c r="AL165" s="618"/>
      <c r="AM165" s="619"/>
      <c r="AN165" s="419"/>
    </row>
    <row r="168" spans="1:40" ht="13.8" x14ac:dyDescent="0.25">
      <c r="O168" s="134" t="s">
        <v>753</v>
      </c>
      <c r="Q168" s="721" t="s">
        <v>754</v>
      </c>
      <c r="R168" s="721"/>
      <c r="S168" s="721"/>
      <c r="T168" s="721"/>
      <c r="U168" s="721"/>
      <c r="V168" s="721"/>
      <c r="W168" s="721"/>
      <c r="X168" s="721"/>
    </row>
    <row r="170" spans="1:40" ht="13.8" x14ac:dyDescent="0.25">
      <c r="O170" s="135" t="s">
        <v>689</v>
      </c>
      <c r="X170" s="4"/>
    </row>
    <row r="171" spans="1:40" ht="12.75" customHeight="1" x14ac:dyDescent="0.25">
      <c r="O171" s="722"/>
      <c r="P171" s="722"/>
      <c r="Q171" s="722"/>
      <c r="R171" s="722"/>
      <c r="S171" s="722"/>
      <c r="T171" s="722"/>
      <c r="U171" s="722"/>
      <c r="V171" s="722"/>
      <c r="W171" s="722"/>
      <c r="X171" s="722"/>
    </row>
    <row r="172" spans="1:40" x14ac:dyDescent="0.25">
      <c r="O172" s="722"/>
      <c r="P172" s="722"/>
      <c r="Q172" s="722"/>
      <c r="R172" s="722"/>
      <c r="S172" s="722"/>
      <c r="T172" s="722"/>
      <c r="U172" s="722"/>
      <c r="V172" s="722"/>
      <c r="W172" s="722"/>
      <c r="X172" s="722"/>
    </row>
    <row r="173" spans="1:40" x14ac:dyDescent="0.25">
      <c r="O173" s="722"/>
      <c r="P173" s="722"/>
      <c r="Q173" s="722"/>
      <c r="R173" s="722"/>
      <c r="S173" s="722"/>
      <c r="T173" s="722"/>
      <c r="U173" s="722"/>
      <c r="V173" s="722"/>
      <c r="W173" s="722"/>
      <c r="X173" s="722"/>
    </row>
    <row r="174" spans="1:40" ht="13.8" x14ac:dyDescent="0.25">
      <c r="O174" s="443"/>
      <c r="P174" s="443"/>
      <c r="Q174" s="443"/>
      <c r="R174" s="443"/>
      <c r="S174" s="443"/>
      <c r="T174" s="443"/>
      <c r="U174" s="443"/>
      <c r="V174" s="443"/>
      <c r="W174" s="443"/>
      <c r="X174" s="443"/>
      <c r="Y174" s="443"/>
      <c r="Z174" s="136"/>
      <c r="AA174" s="136"/>
      <c r="AB174" s="136"/>
    </row>
    <row r="175" spans="1:40" ht="13.8" x14ac:dyDescent="0.25">
      <c r="O175" s="723"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75" s="723"/>
      <c r="Q175" s="723"/>
      <c r="R175" s="723"/>
      <c r="S175" s="723"/>
      <c r="T175" s="723"/>
      <c r="U175" s="723"/>
      <c r="V175" s="723"/>
      <c r="W175" s="723"/>
      <c r="X175" s="723"/>
      <c r="Y175" s="137"/>
      <c r="Z175" s="137"/>
      <c r="AA175" s="137"/>
      <c r="AB175" s="137"/>
    </row>
    <row r="176" spans="1:40" ht="15" customHeight="1" x14ac:dyDescent="0.25">
      <c r="O176" s="725" t="s">
        <v>755</v>
      </c>
      <c r="P176" s="725"/>
      <c r="Q176" s="725"/>
      <c r="R176" s="725"/>
      <c r="S176" s="725"/>
      <c r="T176" s="725"/>
      <c r="U176" s="725"/>
      <c r="V176" s="725"/>
      <c r="W176" s="725"/>
      <c r="X176" s="725"/>
      <c r="Y176" s="137"/>
      <c r="Z176" s="137"/>
      <c r="AA176" s="137"/>
      <c r="AB176" s="137"/>
    </row>
    <row r="178" spans="15:23" ht="30" customHeight="1" x14ac:dyDescent="0.25">
      <c r="O178" s="724" t="str">
        <f>Import.Município</f>
        <v>SARANDI/RS</v>
      </c>
      <c r="P178" s="724"/>
      <c r="Q178" s="724"/>
      <c r="S178" s="460"/>
      <c r="T178" s="460"/>
      <c r="U178" s="460"/>
      <c r="V178" s="460"/>
      <c r="W178" s="417"/>
    </row>
    <row r="179" spans="15:23" x14ac:dyDescent="0.25">
      <c r="O179" s="9" t="s">
        <v>693</v>
      </c>
      <c r="S179" s="181" t="s">
        <v>696</v>
      </c>
      <c r="T179" s="181"/>
      <c r="U179" s="181"/>
      <c r="V179" s="181"/>
    </row>
    <row r="180" spans="15:23" x14ac:dyDescent="0.25">
      <c r="S180" s="77" t="s">
        <v>240</v>
      </c>
      <c r="T180" s="78" t="str">
        <f t="array" ref="T180:T182">Import.RespOrçamento</f>
        <v>LEONARDO HENRIQUE ZAMBERLAN</v>
      </c>
      <c r="V180" s="79"/>
    </row>
    <row r="181" spans="15:23" x14ac:dyDescent="0.25">
      <c r="O181" s="718">
        <f>DADOS!$C$25</f>
        <v>46034</v>
      </c>
      <c r="P181" s="718"/>
      <c r="Q181" s="718"/>
      <c r="S181" s="77" t="s">
        <v>243</v>
      </c>
      <c r="T181" s="78" t="str">
        <v>CREA-RS 242523</v>
      </c>
      <c r="U181" s="79"/>
      <c r="V181" s="79"/>
    </row>
    <row r="182" spans="15:23" x14ac:dyDescent="0.25">
      <c r="O182" s="140" t="s">
        <v>694</v>
      </c>
      <c r="P182" s="1"/>
      <c r="Q182" s="1"/>
      <c r="S182" s="77" t="s">
        <v>246</v>
      </c>
      <c r="T182" s="78">
        <v>0</v>
      </c>
      <c r="U182" s="79"/>
      <c r="V182" s="79"/>
    </row>
  </sheetData>
  <sheetProtection algorithmName="SHA-512" hashValue="e07F9VeoNkf/tzpga9i7ypisJP48gtaiLMX0CDLyhlMArSdJUtrip3OTVg29S9mT2is5oZrlJXk4VDZzaK6v2w==" saltValue="b0HJbLr94f34pJbEVu6g7Q==" spinCount="100000" sheet="1" objects="1" scenarios="1" autoFilter="0"/>
  <autoFilter ref="L15:L165" xr:uid="{00000000-0001-0000-0400-000000000000}"/>
  <mergeCells count="25">
    <mergeCell ref="O181:Q181"/>
    <mergeCell ref="O15:R15"/>
    <mergeCell ref="Q168:X168"/>
    <mergeCell ref="O171:X173"/>
    <mergeCell ref="O175:X175"/>
    <mergeCell ref="O178:Q178"/>
    <mergeCell ref="O176:X176"/>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33:M46 M58:M164 M21:M22">
    <cfRule type="cellIs" dxfId="457" priority="38401" stopIfTrue="1" operator="notEqual">
      <formula>$N14</formula>
    </cfRule>
  </conditionalFormatting>
  <conditionalFormatting sqref="N14:O14 R14 W14 N33:O46 R33:R46 W33:X46 W58:X65 X96:X102 X104 W66:W162 N58:O164 R58:R164 W163:X164 N21:O22 R21:R22 W21:X22">
    <cfRule type="expression" dxfId="456" priority="38402" stopIfTrue="1">
      <formula>$C14=1</formula>
    </cfRule>
    <cfRule type="expression" dxfId="455" priority="38403" stopIfTrue="1">
      <formula>OR($C14=0,$C14=2,$C14=3,$C14=4)</formula>
    </cfRule>
  </conditionalFormatting>
  <conditionalFormatting sqref="U14:V14 U33:V46 U58:V164 U21:V22">
    <cfRule type="expression" dxfId="454" priority="38404" stopIfTrue="1">
      <formula>$C14=1</formula>
    </cfRule>
    <cfRule type="expression" dxfId="453" priority="38405" stopIfTrue="1">
      <formula>OR($C14=0,$C14=2,$C14=3,$C14=4)</formula>
    </cfRule>
    <cfRule type="expression" dxfId="452" priority="38406" stopIfTrue="1">
      <formula>AND(TIPOORCAMENTO="Licitado",$C14&lt;&gt;"L",$C14&lt;&gt;-1)</formula>
    </cfRule>
  </conditionalFormatting>
  <conditionalFormatting sqref="P14:Q14 S14:T14 Y14 AG14:AH14 P33:Q46 S33:T46 Y33:Y46 AG33:AH46 P58:Q164 S58:T164 Y58:Y164 AG58:AH164 P21:Q22 S21:T22 Y21:Y22 AG21:AH22">
    <cfRule type="expression" dxfId="451" priority="38407" stopIfTrue="1">
      <formula>$C14=1</formula>
    </cfRule>
    <cfRule type="expression" dxfId="450" priority="38408" stopIfTrue="1">
      <formula>OR($C14=0,$C14=2,$C14=3,$C14=4)</formula>
    </cfRule>
  </conditionalFormatting>
  <conditionalFormatting sqref="AJ7:AJ165">
    <cfRule type="expression" dxfId="449" priority="38409" stopIfTrue="1">
      <formula>OR(ACOMPANHAMENTO&lt;&gt;"BM",TIPOORCAMENTO="Licitado")</formula>
    </cfRule>
    <cfRule type="expression" dxfId="448" priority="38410" stopIfTrue="1">
      <formula>$C7=1</formula>
    </cfRule>
    <cfRule type="expression" dxfId="447" priority="38411" stopIfTrue="1">
      <formula>OR(AND(ISNUMBER($C7),$C7=0),$C7=2,$C7=3,$C7=4)</formula>
    </cfRule>
  </conditionalFormatting>
  <conditionalFormatting sqref="AL7:AL165">
    <cfRule type="expression" dxfId="446" priority="38412" stopIfTrue="1">
      <formula>TIPOORCAMENTO="PROPOSTO"</formula>
    </cfRule>
    <cfRule type="expression" dxfId="445" priority="38413" stopIfTrue="1">
      <formula>$C7=1</formula>
    </cfRule>
    <cfRule type="expression" dxfId="444" priority="38414" stopIfTrue="1">
      <formula>OR(AND(ISNUMBER($C7),$C7=0),$C7=2,$C7=3,$C7=4)</formula>
    </cfRule>
  </conditionalFormatting>
  <conditionalFormatting sqref="O8:P8">
    <cfRule type="expression" dxfId="443" priority="38418" stopIfTrue="1">
      <formula>ISERROR(INDIRECT($F$9))</formula>
    </cfRule>
  </conditionalFormatting>
  <conditionalFormatting sqref="S7:V8">
    <cfRule type="expression" dxfId="442" priority="38419" stopIfTrue="1">
      <formula>TIPOORCAMENTO="Proposto"</formula>
    </cfRule>
  </conditionalFormatting>
  <conditionalFormatting sqref="S9:X9">
    <cfRule type="expression" dxfId="441" priority="38366" stopIfTrue="1">
      <formula>TIPOORCAMENTO="Proposto"</formula>
    </cfRule>
  </conditionalFormatting>
  <conditionalFormatting sqref="AM7:AN165">
    <cfRule type="expression" dxfId="440" priority="38415" stopIfTrue="1">
      <formula>TIPOORCAMENTO="PROPOSTO"</formula>
    </cfRule>
    <cfRule type="expression" dxfId="439" priority="38416" stopIfTrue="1">
      <formula>$C7=1</formula>
    </cfRule>
    <cfRule type="expression" dxfId="438" priority="38417" stopIfTrue="1">
      <formula>OR(AND(ISNUMBER($C7),$C7=0),$C7=2,$C7=3,$C7=4)</formula>
    </cfRule>
  </conditionalFormatting>
  <conditionalFormatting sqref="R14 R33:R46 R58:R163">
    <cfRule type="beginsWith" dxfId="437" priority="25711" operator="beginsWith" text="(">
      <formula>LEFT(R14,LEN("("))="("</formula>
    </cfRule>
  </conditionalFormatting>
  <conditionalFormatting sqref="X14">
    <cfRule type="expression" dxfId="436" priority="23991" stopIfTrue="1">
      <formula>$C14=1</formula>
    </cfRule>
    <cfRule type="expression" dxfId="435" priority="23992" stopIfTrue="1">
      <formula>OR($C14=0,$C14=2,$C14=3,$C14=4)</formula>
    </cfRule>
  </conditionalFormatting>
  <conditionalFormatting sqref="AC11">
    <cfRule type="cellIs" dxfId="434" priority="14826" operator="equal">
      <formula>"OK"</formula>
    </cfRule>
  </conditionalFormatting>
  <conditionalFormatting sqref="M16:M19 M23:M27">
    <cfRule type="cellIs" dxfId="433" priority="436" stopIfTrue="1" operator="notEqual">
      <formula>$N16</formula>
    </cfRule>
  </conditionalFormatting>
  <conditionalFormatting sqref="N16:O19 R16:R19 W16:W19 W23:W27 R23:R27 N23:O27">
    <cfRule type="expression" dxfId="432" priority="437" stopIfTrue="1">
      <formula>$C16=1</formula>
    </cfRule>
    <cfRule type="expression" dxfId="431" priority="438" stopIfTrue="1">
      <formula>OR($C16=0,$C16=2,$C16=3,$C16=4)</formula>
    </cfRule>
  </conditionalFormatting>
  <conditionalFormatting sqref="U16:V19 U23:V27">
    <cfRule type="expression" dxfId="430" priority="439" stopIfTrue="1">
      <formula>$C16=1</formula>
    </cfRule>
    <cfRule type="expression" dxfId="429" priority="440" stopIfTrue="1">
      <formula>OR($C16=0,$C16=2,$C16=3,$C16=4)</formula>
    </cfRule>
    <cfRule type="expression" dxfId="428" priority="441" stopIfTrue="1">
      <formula>AND(TIPOORCAMENTO="Licitado",$C16&lt;&gt;"L",$C16&lt;&gt;-1)</formula>
    </cfRule>
  </conditionalFormatting>
  <conditionalFormatting sqref="P16:Q19 S16:T19 Y16:Y19 AG16:AH19 AG23:AH27 Y23:Y27 S23:T27 P23:Q27">
    <cfRule type="expression" dxfId="427" priority="442" stopIfTrue="1">
      <formula>$C16=1</formula>
    </cfRule>
    <cfRule type="expression" dxfId="426" priority="443" stopIfTrue="1">
      <formula>OR($C16=0,$C16=2,$C16=3,$C16=4)</formula>
    </cfRule>
  </conditionalFormatting>
  <conditionalFormatting sqref="R16:R19 R23:R27">
    <cfRule type="beginsWith" dxfId="425" priority="435" operator="beginsWith" text="(">
      <formula>LEFT(R16,LEN("("))="("</formula>
    </cfRule>
  </conditionalFormatting>
  <conditionalFormatting sqref="X16:X19 X23:X27">
    <cfRule type="expression" dxfId="424" priority="433" stopIfTrue="1">
      <formula>$C16=1</formula>
    </cfRule>
    <cfRule type="expression" dxfId="423" priority="434" stopIfTrue="1">
      <formula>OR($C16=0,$C16=2,$C16=3,$C16=4)</formula>
    </cfRule>
  </conditionalFormatting>
  <conditionalFormatting sqref="M28:M30">
    <cfRule type="cellIs" dxfId="422" priority="425" stopIfTrue="1" operator="notEqual">
      <formula>$N28</formula>
    </cfRule>
  </conditionalFormatting>
  <conditionalFormatting sqref="N28:O30 R28:R30 W28:W30">
    <cfRule type="expression" dxfId="421" priority="426" stopIfTrue="1">
      <formula>$C28=1</formula>
    </cfRule>
    <cfRule type="expression" dxfId="420" priority="427" stopIfTrue="1">
      <formula>OR($C28=0,$C28=2,$C28=3,$C28=4)</formula>
    </cfRule>
  </conditionalFormatting>
  <conditionalFormatting sqref="U28:V30">
    <cfRule type="expression" dxfId="419" priority="428" stopIfTrue="1">
      <formula>$C28=1</formula>
    </cfRule>
    <cfRule type="expression" dxfId="418" priority="429" stopIfTrue="1">
      <formula>OR($C28=0,$C28=2,$C28=3,$C28=4)</formula>
    </cfRule>
    <cfRule type="expression" dxfId="417" priority="430" stopIfTrue="1">
      <formula>AND(TIPOORCAMENTO="Licitado",$C28&lt;&gt;"L",$C28&lt;&gt;-1)</formula>
    </cfRule>
  </conditionalFormatting>
  <conditionalFormatting sqref="P28:Q30 S28:T30 Y28:Y30 AG28:AH30">
    <cfRule type="expression" dxfId="416" priority="431" stopIfTrue="1">
      <formula>$C28=1</formula>
    </cfRule>
    <cfRule type="expression" dxfId="415" priority="432" stopIfTrue="1">
      <formula>OR($C28=0,$C28=2,$C28=3,$C28=4)</formula>
    </cfRule>
  </conditionalFormatting>
  <conditionalFormatting sqref="R28:R30">
    <cfRule type="beginsWith" dxfId="414" priority="424" operator="beginsWith" text="(">
      <formula>LEFT(R28,LEN("("))="("</formula>
    </cfRule>
  </conditionalFormatting>
  <conditionalFormatting sqref="X28:X30">
    <cfRule type="expression" dxfId="413" priority="422" stopIfTrue="1">
      <formula>$C28=1</formula>
    </cfRule>
    <cfRule type="expression" dxfId="412" priority="423" stopIfTrue="1">
      <formula>OR($C28=0,$C28=2,$C28=3,$C28=4)</formula>
    </cfRule>
  </conditionalFormatting>
  <conditionalFormatting sqref="R164">
    <cfRule type="beginsWith" dxfId="411" priority="380" operator="beginsWith" text="(">
      <formula>LEFT(R164,LEN("("))="("</formula>
    </cfRule>
  </conditionalFormatting>
  <conditionalFormatting sqref="R21:R22">
    <cfRule type="beginsWith" dxfId="410" priority="127" operator="beginsWith" text="(">
      <formula>LEFT(R21,LEN("("))="("</formula>
    </cfRule>
  </conditionalFormatting>
  <conditionalFormatting sqref="M20">
    <cfRule type="cellIs" dxfId="409" priority="117" stopIfTrue="1" operator="notEqual">
      <formula>$N20</formula>
    </cfRule>
  </conditionalFormatting>
  <conditionalFormatting sqref="N20:O20 R20 W20">
    <cfRule type="expression" dxfId="408" priority="118" stopIfTrue="1">
      <formula>$C20=1</formula>
    </cfRule>
    <cfRule type="expression" dxfId="407" priority="119" stopIfTrue="1">
      <formula>OR($C20=0,$C20=2,$C20=3,$C20=4)</formula>
    </cfRule>
  </conditionalFormatting>
  <conditionalFormatting sqref="U20:V20">
    <cfRule type="expression" dxfId="406" priority="120" stopIfTrue="1">
      <formula>$C20=1</formula>
    </cfRule>
    <cfRule type="expression" dxfId="405" priority="121" stopIfTrue="1">
      <formula>OR($C20=0,$C20=2,$C20=3,$C20=4)</formula>
    </cfRule>
    <cfRule type="expression" dxfId="404" priority="122" stopIfTrue="1">
      <formula>AND(TIPOORCAMENTO="Licitado",$C20&lt;&gt;"L",$C20&lt;&gt;-1)</formula>
    </cfRule>
  </conditionalFormatting>
  <conditionalFormatting sqref="P20:Q20 S20:T20 Y20 AG20:AH20">
    <cfRule type="expression" dxfId="403" priority="123" stopIfTrue="1">
      <formula>$C20=1</formula>
    </cfRule>
    <cfRule type="expression" dxfId="402" priority="124" stopIfTrue="1">
      <formula>OR($C20=0,$C20=2,$C20=3,$C20=4)</formula>
    </cfRule>
  </conditionalFormatting>
  <conditionalFormatting sqref="R20">
    <cfRule type="beginsWith" dxfId="401" priority="116" operator="beginsWith" text="(">
      <formula>LEFT(R20,LEN("("))="("</formula>
    </cfRule>
  </conditionalFormatting>
  <conditionalFormatting sqref="X20">
    <cfRule type="expression" dxfId="400" priority="114" stopIfTrue="1">
      <formula>$C20=1</formula>
    </cfRule>
    <cfRule type="expression" dxfId="399" priority="115" stopIfTrue="1">
      <formula>OR($C20=0,$C20=2,$C20=3,$C20=4)</formula>
    </cfRule>
  </conditionalFormatting>
  <conditionalFormatting sqref="M31:M32">
    <cfRule type="cellIs" dxfId="398" priority="106" stopIfTrue="1" operator="notEqual">
      <formula>$N31</formula>
    </cfRule>
  </conditionalFormatting>
  <conditionalFormatting sqref="N31:O32 R31:R32 W31:W32">
    <cfRule type="expression" dxfId="397" priority="107" stopIfTrue="1">
      <formula>$C31=1</formula>
    </cfRule>
    <cfRule type="expression" dxfId="396" priority="108" stopIfTrue="1">
      <formula>OR($C31=0,$C31=2,$C31=3,$C31=4)</formula>
    </cfRule>
  </conditionalFormatting>
  <conditionalFormatting sqref="U31:V32">
    <cfRule type="expression" dxfId="395" priority="109" stopIfTrue="1">
      <formula>$C31=1</formula>
    </cfRule>
    <cfRule type="expression" dxfId="394" priority="110" stopIfTrue="1">
      <formula>OR($C31=0,$C31=2,$C31=3,$C31=4)</formula>
    </cfRule>
    <cfRule type="expression" dxfId="393" priority="111" stopIfTrue="1">
      <formula>AND(TIPOORCAMENTO="Licitado",$C31&lt;&gt;"L",$C31&lt;&gt;-1)</formula>
    </cfRule>
  </conditionalFormatting>
  <conditionalFormatting sqref="P31:Q32 S31:T32 Y31:Y32 AG31:AH32">
    <cfRule type="expression" dxfId="392" priority="112" stopIfTrue="1">
      <formula>$C31=1</formula>
    </cfRule>
    <cfRule type="expression" dxfId="391" priority="113" stopIfTrue="1">
      <formula>OR($C31=0,$C31=2,$C31=3,$C31=4)</formula>
    </cfRule>
  </conditionalFormatting>
  <conditionalFormatting sqref="R31:R32">
    <cfRule type="beginsWith" dxfId="390" priority="105" operator="beginsWith" text="(">
      <formula>LEFT(R31,LEN("("))="("</formula>
    </cfRule>
  </conditionalFormatting>
  <conditionalFormatting sqref="X31:X32">
    <cfRule type="expression" dxfId="389" priority="103" stopIfTrue="1">
      <formula>$C31=1</formula>
    </cfRule>
    <cfRule type="expression" dxfId="388" priority="104" stopIfTrue="1">
      <formula>OR($C31=0,$C31=2,$C31=3,$C31=4)</formula>
    </cfRule>
  </conditionalFormatting>
  <conditionalFormatting sqref="M47:M48">
    <cfRule type="cellIs" dxfId="387" priority="73" stopIfTrue="1" operator="notEqual">
      <formula>$N47</formula>
    </cfRule>
  </conditionalFormatting>
  <conditionalFormatting sqref="N47:O48 R47:R48 W47:W48">
    <cfRule type="expression" dxfId="386" priority="74" stopIfTrue="1">
      <formula>$C47=1</formula>
    </cfRule>
    <cfRule type="expression" dxfId="385" priority="75" stopIfTrue="1">
      <formula>OR($C47=0,$C47=2,$C47=3,$C47=4)</formula>
    </cfRule>
  </conditionalFormatting>
  <conditionalFormatting sqref="U47:V48">
    <cfRule type="expression" dxfId="384" priority="76" stopIfTrue="1">
      <formula>$C47=1</formula>
    </cfRule>
    <cfRule type="expression" dxfId="383" priority="77" stopIfTrue="1">
      <formula>OR($C47=0,$C47=2,$C47=3,$C47=4)</formula>
    </cfRule>
    <cfRule type="expression" dxfId="382" priority="78" stopIfTrue="1">
      <formula>AND(TIPOORCAMENTO="Licitado",$C47&lt;&gt;"L",$C47&lt;&gt;-1)</formula>
    </cfRule>
  </conditionalFormatting>
  <conditionalFormatting sqref="P47:Q48 S47:T48 Y47:Y48 AG47:AH48">
    <cfRule type="expression" dxfId="381" priority="79" stopIfTrue="1">
      <formula>$C47=1</formula>
    </cfRule>
    <cfRule type="expression" dxfId="380" priority="80" stopIfTrue="1">
      <formula>OR($C47=0,$C47=2,$C47=3,$C47=4)</formula>
    </cfRule>
  </conditionalFormatting>
  <conditionalFormatting sqref="R47:R48">
    <cfRule type="beginsWith" dxfId="379" priority="72" operator="beginsWith" text="(">
      <formula>LEFT(R47,LEN("("))="("</formula>
    </cfRule>
  </conditionalFormatting>
  <conditionalFormatting sqref="X47:X48">
    <cfRule type="expression" dxfId="378" priority="70" stopIfTrue="1">
      <formula>$C47=1</formula>
    </cfRule>
    <cfRule type="expression" dxfId="377" priority="71" stopIfTrue="1">
      <formula>OR($C47=0,$C47=2,$C47=3,$C47=4)</formula>
    </cfRule>
  </conditionalFormatting>
  <conditionalFormatting sqref="M49:M57">
    <cfRule type="cellIs" dxfId="376" priority="62" stopIfTrue="1" operator="notEqual">
      <formula>$N49</formula>
    </cfRule>
  </conditionalFormatting>
  <conditionalFormatting sqref="N49:O57 R49:R57 W49:W57">
    <cfRule type="expression" dxfId="375" priority="63" stopIfTrue="1">
      <formula>$C49=1</formula>
    </cfRule>
    <cfRule type="expression" dxfId="374" priority="64" stopIfTrue="1">
      <formula>OR($C49=0,$C49=2,$C49=3,$C49=4)</formula>
    </cfRule>
  </conditionalFormatting>
  <conditionalFormatting sqref="U49:V57">
    <cfRule type="expression" dxfId="373" priority="65" stopIfTrue="1">
      <formula>$C49=1</formula>
    </cfRule>
    <cfRule type="expression" dxfId="372" priority="66" stopIfTrue="1">
      <formula>OR($C49=0,$C49=2,$C49=3,$C49=4)</formula>
    </cfRule>
    <cfRule type="expression" dxfId="371" priority="67" stopIfTrue="1">
      <formula>AND(TIPOORCAMENTO="Licitado",$C49&lt;&gt;"L",$C49&lt;&gt;-1)</formula>
    </cfRule>
  </conditionalFormatting>
  <conditionalFormatting sqref="P49:Q57 S49:T57 Y49:Y57 AG49:AH57">
    <cfRule type="expression" dxfId="370" priority="68" stopIfTrue="1">
      <formula>$C49=1</formula>
    </cfRule>
    <cfRule type="expression" dxfId="369" priority="69" stopIfTrue="1">
      <formula>OR($C49=0,$C49=2,$C49=3,$C49=4)</formula>
    </cfRule>
  </conditionalFormatting>
  <conditionalFormatting sqref="R49:R57">
    <cfRule type="beginsWith" dxfId="368" priority="61" operator="beginsWith" text="(">
      <formula>LEFT(R49,LEN("("))="("</formula>
    </cfRule>
  </conditionalFormatting>
  <conditionalFormatting sqref="X49:X57">
    <cfRule type="expression" dxfId="367" priority="59" stopIfTrue="1">
      <formula>$C49=1</formula>
    </cfRule>
    <cfRule type="expression" dxfId="366" priority="60" stopIfTrue="1">
      <formula>OR($C49=0,$C49=2,$C49=3,$C49=4)</formula>
    </cfRule>
  </conditionalFormatting>
  <conditionalFormatting sqref="X66:X70 X92:X95">
    <cfRule type="expression" dxfId="365" priority="35" stopIfTrue="1">
      <formula>$C66=1</formula>
    </cfRule>
    <cfRule type="expression" dxfId="364" priority="36" stopIfTrue="1">
      <formula>OR($C66=0,$C66=2,$C66=3,$C66=4)</formula>
    </cfRule>
  </conditionalFormatting>
  <conditionalFormatting sqref="X106 X142">
    <cfRule type="expression" dxfId="363" priority="31" stopIfTrue="1">
      <formula>$C106=1</formula>
    </cfRule>
    <cfRule type="expression" dxfId="362" priority="32" stopIfTrue="1">
      <formula>OR($C106=0,$C106=2,$C106=3,$C106=4)</formula>
    </cfRule>
  </conditionalFormatting>
  <conditionalFormatting sqref="X71:X78 X80">
    <cfRule type="expression" dxfId="361" priority="29" stopIfTrue="1">
      <formula>$C71=1</formula>
    </cfRule>
    <cfRule type="expression" dxfId="360" priority="30" stopIfTrue="1">
      <formula>OR($C71=0,$C71=2,$C71=3,$C71=4)</formula>
    </cfRule>
  </conditionalFormatting>
  <conditionalFormatting sqref="X81:X89">
    <cfRule type="expression" dxfId="359" priority="27" stopIfTrue="1">
      <formula>$C81=1</formula>
    </cfRule>
    <cfRule type="expression" dxfId="358" priority="28" stopIfTrue="1">
      <formula>OR($C81=0,$C81=2,$C81=3,$C81=4)</formula>
    </cfRule>
  </conditionalFormatting>
  <conditionalFormatting sqref="X90:X91">
    <cfRule type="expression" dxfId="357" priority="25" stopIfTrue="1">
      <formula>$C90=1</formula>
    </cfRule>
    <cfRule type="expression" dxfId="356" priority="26" stopIfTrue="1">
      <formula>OR($C90=0,$C90=2,$C90=3,$C90=4)</formula>
    </cfRule>
  </conditionalFormatting>
  <conditionalFormatting sqref="X79">
    <cfRule type="expression" dxfId="355" priority="23" stopIfTrue="1">
      <formula>$C79=1</formula>
    </cfRule>
    <cfRule type="expression" dxfId="354" priority="24" stopIfTrue="1">
      <formula>OR($C79=0,$C79=2,$C79=3,$C79=4)</formula>
    </cfRule>
  </conditionalFormatting>
  <conditionalFormatting sqref="X107:X115">
    <cfRule type="expression" dxfId="353" priority="21" stopIfTrue="1">
      <formula>$C107=1</formula>
    </cfRule>
    <cfRule type="expression" dxfId="352" priority="22" stopIfTrue="1">
      <formula>OR($C107=0,$C107=2,$C107=3,$C107=4)</formula>
    </cfRule>
  </conditionalFormatting>
  <conditionalFormatting sqref="X116">
    <cfRule type="expression" dxfId="351" priority="19" stopIfTrue="1">
      <formula>$C116=1</formula>
    </cfRule>
    <cfRule type="expression" dxfId="350" priority="20" stopIfTrue="1">
      <formula>OR($C116=0,$C116=2,$C116=3,$C116=4)</formula>
    </cfRule>
  </conditionalFormatting>
  <conditionalFormatting sqref="X103">
    <cfRule type="expression" dxfId="349" priority="17" stopIfTrue="1">
      <formula>$C103=1</formula>
    </cfRule>
    <cfRule type="expression" dxfId="348" priority="18" stopIfTrue="1">
      <formula>OR($C103=0,$C103=2,$C103=3,$C103=4)</formula>
    </cfRule>
  </conditionalFormatting>
  <conditionalFormatting sqref="X105">
    <cfRule type="expression" dxfId="347" priority="15" stopIfTrue="1">
      <formula>$C105=1</formula>
    </cfRule>
    <cfRule type="expression" dxfId="346" priority="16" stopIfTrue="1">
      <formula>OR($C105=0,$C105=2,$C105=3,$C105=4)</formula>
    </cfRule>
  </conditionalFormatting>
  <conditionalFormatting sqref="X117:X119 X125:X130">
    <cfRule type="expression" dxfId="345" priority="13" stopIfTrue="1">
      <formula>$C117=1</formula>
    </cfRule>
    <cfRule type="expression" dxfId="344" priority="14" stopIfTrue="1">
      <formula>OR($C117=0,$C117=2,$C117=3,$C117=4)</formula>
    </cfRule>
  </conditionalFormatting>
  <conditionalFormatting sqref="X131:X139">
    <cfRule type="expression" dxfId="343" priority="11" stopIfTrue="1">
      <formula>$C131=1</formula>
    </cfRule>
    <cfRule type="expression" dxfId="342" priority="12" stopIfTrue="1">
      <formula>OR($C131=0,$C131=2,$C131=3,$C131=4)</formula>
    </cfRule>
  </conditionalFormatting>
  <conditionalFormatting sqref="X140:X141">
    <cfRule type="expression" dxfId="341" priority="9" stopIfTrue="1">
      <formula>$C140=1</formula>
    </cfRule>
    <cfRule type="expression" dxfId="340" priority="10" stopIfTrue="1">
      <formula>OR($C140=0,$C140=2,$C140=3,$C140=4)</formula>
    </cfRule>
  </conditionalFormatting>
  <conditionalFormatting sqref="X120:X124">
    <cfRule type="expression" dxfId="339" priority="7" stopIfTrue="1">
      <formula>$C120=1</formula>
    </cfRule>
    <cfRule type="expression" dxfId="338" priority="8" stopIfTrue="1">
      <formula>OR($C120=0,$C120=2,$C120=3,$C120=4)</formula>
    </cfRule>
  </conditionalFormatting>
  <conditionalFormatting sqref="X143:X151">
    <cfRule type="expression" dxfId="337" priority="5" stopIfTrue="1">
      <formula>$C143=1</formula>
    </cfRule>
    <cfRule type="expression" dxfId="336" priority="6" stopIfTrue="1">
      <formula>OR($C143=0,$C143=2,$C143=3,$C143=4)</formula>
    </cfRule>
  </conditionalFormatting>
  <conditionalFormatting sqref="X152:X160">
    <cfRule type="expression" dxfId="335" priority="3" stopIfTrue="1">
      <formula>$C152=1</formula>
    </cfRule>
    <cfRule type="expression" dxfId="334" priority="4" stopIfTrue="1">
      <formula>OR($C152=0,$C152=2,$C152=3,$C152=4)</formula>
    </cfRule>
  </conditionalFormatting>
  <conditionalFormatting sqref="X161:X162">
    <cfRule type="expression" dxfId="333" priority="1" stopIfTrue="1">
      <formula>$C161=1</formula>
    </cfRule>
    <cfRule type="expression" dxfId="332" priority="2" stopIfTrue="1">
      <formula>OR($C161=0,$C161=2,$C161=3,$C161=4)</formula>
    </cfRule>
  </conditionalFormatting>
  <dataValidations count="8">
    <dataValidation type="decimal" operator="greaterThan" allowBlank="1" showErrorMessage="1" error="Apenas números decimais maiores que zero." sqref="U14 AL14 AJ14 U16:U164 AL16:AL164 AJ16:AJ164"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164"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164" xr:uid="{00000000-0002-0000-0400-000006000000}"/>
    <dataValidation type="list" errorStyle="information" allowBlank="1" showInputMessage="1" prompt="Selecione uma sigla de unidade na lista suspensa." sqref="S14 S16:S164"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164"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164"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164"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164" xr:uid="{7F4C8CDB-8629-420F-A038-80BFCBFA3325}">
      <formula1>ORÇAMENTO.Lista.Nível</formula1>
    </dataValidation>
  </dataValidations>
  <pageMargins left="0.78740157480314965" right="0.78740157480314965" top="0.78740157480314965" bottom="0.78740157480314965" header="0.59055118110236227" footer="0.59055118110236227"/>
  <pageSetup paperSize="9" scale="64" firstPageNumber="0" fitToHeight="0" orientation="landscape" r:id="rId1"/>
  <headerFooter alignWithMargins="0">
    <oddHeader>&amp;C&amp;14I</oddHeader>
    <oddFooter>&amp;LPMv3.13&amp;R&amp;P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68580</xdr:rowOff>
                  </from>
                  <to>
                    <xdr:col>19</xdr:col>
                    <xdr:colOff>830580</xdr:colOff>
                    <xdr:row>10</xdr:row>
                    <xdr:rowOff>144780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388620</xdr:colOff>
                    <xdr:row>9</xdr:row>
                    <xdr:rowOff>68580</xdr:rowOff>
                  </from>
                  <to>
                    <xdr:col>20</xdr:col>
                    <xdr:colOff>822960</xdr:colOff>
                    <xdr:row>10</xdr:row>
                    <xdr:rowOff>144780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68580</xdr:rowOff>
                  </from>
                  <to>
                    <xdr:col>21</xdr:col>
                    <xdr:colOff>678180</xdr:colOff>
                    <xdr:row>10</xdr:row>
                    <xdr:rowOff>144780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388620</xdr:colOff>
                    <xdr:row>9</xdr:row>
                    <xdr:rowOff>68580</xdr:rowOff>
                  </from>
                  <to>
                    <xdr:col>22</xdr:col>
                    <xdr:colOff>807720</xdr:colOff>
                    <xdr:row>10</xdr:row>
                    <xdr:rowOff>144780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426720</xdr:colOff>
                    <xdr:row>9</xdr:row>
                    <xdr:rowOff>45720</xdr:rowOff>
                  </from>
                  <to>
                    <xdr:col>23</xdr:col>
                    <xdr:colOff>861060</xdr:colOff>
                    <xdr:row>10</xdr:row>
                    <xdr:rowOff>144780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3.2" x14ac:dyDescent="0.25"/>
  <cols>
    <col min="1" max="1" width="3.5546875" style="506" customWidth="1"/>
    <col min="2" max="2" width="5.44140625" hidden="1" customWidth="1"/>
    <col min="3" max="3" width="12.5546875" customWidth="1"/>
    <col min="4" max="4" width="50.5546875" customWidth="1"/>
    <col min="5" max="5" width="14.5546875" hidden="1" customWidth="1"/>
    <col min="6" max="6" width="28.5546875" customWidth="1"/>
    <col min="7" max="7" width="14.5546875" hidden="1" customWidth="1"/>
    <col min="8" max="25" width="14.5546875" customWidth="1"/>
    <col min="26" max="26" width="14.5546875" hidden="1" customWidth="1"/>
  </cols>
  <sheetData>
    <row r="1" spans="1:26" hidden="1" x14ac:dyDescent="0.25">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IF(AUTOEVENTO="Manual",ROUND(SUMPRODUCT((CÁLCULO!$M$15:$M$165=EVENTOS!$C1)*(OFFSET(CÁLCULO!$AI$15:$AI$165,0,E$13))),2),0)</f>
        <v>0</v>
      </c>
      <c r="F1" s="183">
        <f ca="1">IF(AUTOEVENTO="Manual",ROUND(SUMPRODUCT((CÁLCULO!$M$15:$M$165=EVENTOS!$C1)*(OFFSET(CÁLCULO!$AI$15,0,1):OFFSET(CÁLCULO!$BB$165,0,-1))),2),0)</f>
        <v>0</v>
      </c>
      <c r="G1" s="621" t="str">
        <f ca="1">IF(AND(D1=0,F1&gt;0),"NOME",
 IF(AND(D1&lt;&gt;0,$F$14&gt;0,F1=0),"VALOR",
 IF(AND(Import.TipoArredondamento="TransfereGOV",$A1="F",LEN(D1)&gt;100),"Nome &gt;100","")))</f>
        <v/>
      </c>
      <c r="H1" s="620" cm="1">
        <f t="array" aca="1" ref="H1" ca="1">IF(AUTOEVENTO="Manual",ROUND(SUMPRODUCT((CÁLCULO!$M$15:$M$165=EVENTOS!$C1)*(OFFSET(CÁLCULO!$AI$15:$AI$165,0,H$13))),2),0)</f>
        <v>0</v>
      </c>
      <c r="I1" s="620" cm="1">
        <f t="array" aca="1" ref="I1" ca="1">IF(AUTOEVENTO="Manual",ROUND(SUMPRODUCT((CÁLCULO!$M$15:$M$165=EVENTOS!$C1)*(OFFSET(CÁLCULO!$AI$15:$AI$165,0,I$13))),2),0)</f>
        <v>0</v>
      </c>
      <c r="J1" s="620" cm="1">
        <f t="array" aca="1" ref="J1" ca="1">IF(AUTOEVENTO="Manual",ROUND(SUMPRODUCT((CÁLCULO!$M$15:$M$165=EVENTOS!$C1)*(OFFSET(CÁLCULO!$AI$15:$AI$165,0,J$13))),2),0)</f>
        <v>0</v>
      </c>
      <c r="K1" s="620" cm="1">
        <f t="array" aca="1" ref="K1" ca="1">IF(AUTOEVENTO="Manual",ROUND(SUMPRODUCT((CÁLCULO!$M$15:$M$165=EVENTOS!$C1)*(OFFSET(CÁLCULO!$AI$15:$AI$165,0,K$13))),2),0)</f>
        <v>0</v>
      </c>
      <c r="L1" s="620" cm="1">
        <f t="array" aca="1" ref="L1" ca="1">IF(AUTOEVENTO="Manual",ROUND(SUMPRODUCT((CÁLCULO!$M$15:$M$165=EVENTOS!$C1)*(OFFSET(CÁLCULO!$AI$15:$AI$165,0,L$13))),2),0)</f>
        <v>0</v>
      </c>
      <c r="M1" s="620" cm="1">
        <f t="array" aca="1" ref="M1" ca="1">IF(AUTOEVENTO="Manual",ROUND(SUMPRODUCT((CÁLCULO!$M$15:$M$165=EVENTOS!$C1)*(OFFSET(CÁLCULO!$AI$15:$AI$165,0,M$13))),2),0)</f>
        <v>0</v>
      </c>
      <c r="N1" s="620" cm="1">
        <f t="array" aca="1" ref="N1" ca="1">IF(AUTOEVENTO="Manual",ROUND(SUMPRODUCT((CÁLCULO!$M$15:$M$165=EVENTOS!$C1)*(OFFSET(CÁLCULO!$AI$15:$AI$165,0,N$13))),2),0)</f>
        <v>0</v>
      </c>
      <c r="O1" s="620" cm="1">
        <f t="array" aca="1" ref="O1" ca="1">IF(AUTOEVENTO="Manual",ROUND(SUMPRODUCT((CÁLCULO!$M$15:$M$165=EVENTOS!$C1)*(OFFSET(CÁLCULO!$AI$15:$AI$165,0,O$13))),2),0)</f>
        <v>0</v>
      </c>
      <c r="P1" s="620" cm="1">
        <f t="array" aca="1" ref="P1" ca="1">IF(AUTOEVENTO="Manual",ROUND(SUMPRODUCT((CÁLCULO!$M$15:$M$165=EVENTOS!$C1)*(OFFSET(CÁLCULO!$AI$15:$AI$165,0,P$13))),2),0)</f>
        <v>0</v>
      </c>
      <c r="Q1" s="620" cm="1">
        <f t="array" aca="1" ref="Q1" ca="1">IF(AUTOEVENTO="Manual",ROUND(SUMPRODUCT((CÁLCULO!$M$15:$M$165=EVENTOS!$C1)*(OFFSET(CÁLCULO!$AI$15:$AI$165,0,Q$13))),2),0)</f>
        <v>0</v>
      </c>
      <c r="R1" s="620" cm="1">
        <f t="array" aca="1" ref="R1" ca="1">IF(AUTOEVENTO="Manual",ROUND(SUMPRODUCT((CÁLCULO!$M$15:$M$165=EVENTOS!$C1)*(OFFSET(CÁLCULO!$AI$15:$AI$165,0,R$13))),2),0)</f>
        <v>0</v>
      </c>
      <c r="S1" s="620" cm="1">
        <f t="array" aca="1" ref="S1" ca="1">IF(AUTOEVENTO="Manual",ROUND(SUMPRODUCT((CÁLCULO!$M$15:$M$165=EVENTOS!$C1)*(OFFSET(CÁLCULO!$AI$15:$AI$165,0,S$13))),2),0)</f>
        <v>0</v>
      </c>
      <c r="T1" s="620" cm="1">
        <f t="array" aca="1" ref="T1" ca="1">IF(AUTOEVENTO="Manual",ROUND(SUMPRODUCT((CÁLCULO!$M$15:$M$165=EVENTOS!$C1)*(OFFSET(CÁLCULO!$AI$15:$AI$165,0,T$13))),2),0)</f>
        <v>0</v>
      </c>
      <c r="U1" s="620" cm="1">
        <f t="array" aca="1" ref="U1" ca="1">IF(AUTOEVENTO="Manual",ROUND(SUMPRODUCT((CÁLCULO!$M$15:$M$165=EVENTOS!$C1)*(OFFSET(CÁLCULO!$AI$15:$AI$165,0,U$13))),2),0)</f>
        <v>0</v>
      </c>
      <c r="V1" s="620" cm="1">
        <f t="array" aca="1" ref="V1" ca="1">IF(AUTOEVENTO="Manual",ROUND(SUMPRODUCT((CÁLCULO!$M$15:$M$165=EVENTOS!$C1)*(OFFSET(CÁLCULO!$AI$15:$AI$165,0,V$13))),2),0)</f>
        <v>0</v>
      </c>
      <c r="W1" s="620" cm="1">
        <f t="array" aca="1" ref="W1" ca="1">IF(AUTOEVENTO="Manual",ROUND(SUMPRODUCT((CÁLCULO!$M$15:$M$165=EVENTOS!$C1)*(OFFSET(CÁLCULO!$AI$15:$AI$165,0,W$13))),2),0)</f>
        <v>0</v>
      </c>
      <c r="X1" s="620" cm="1">
        <f t="array" aca="1" ref="X1" ca="1">IF(AUTOEVENTO="Manual",ROUND(SUMPRODUCT((CÁLCULO!$M$15:$M$165=EVENTOS!$C1)*(OFFSET(CÁLCULO!$AI$15:$AI$165,0,X$13))),2),0)</f>
        <v>0</v>
      </c>
      <c r="Y1" s="620" cm="1">
        <f t="array" aca="1" ref="Y1" ca="1">IF(AUTOEVENTO="Manual",ROUND(SUMPRODUCT((CÁLCULO!$M$15:$M$165=EVENTOS!$C1)*(OFFSET(CÁLCULO!$AI$15:$AI$165,0,Y$13))),2),0)</f>
        <v>0</v>
      </c>
    </row>
    <row r="2" spans="1:26" ht="30" customHeight="1" x14ac:dyDescent="0.25">
      <c r="F2" s="82" t="s">
        <v>756</v>
      </c>
      <c r="O2" s="622" t="s">
        <v>757</v>
      </c>
      <c r="Y2" s="622" t="s">
        <v>757</v>
      </c>
    </row>
    <row r="4" spans="1:26" ht="12.75" customHeight="1" x14ac:dyDescent="0.25">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5">
      <c r="C5" s="505" t="str">
        <f>Import.Proponente</f>
        <v>MUNICÍPIO DE SARANDI</v>
      </c>
      <c r="D5" s="503"/>
      <c r="E5" s="503"/>
      <c r="F5" s="726" t="str">
        <f>Import.Apelido</f>
        <v>PAVIMENTAÇÃO ASFÁLTICA EM DIVERSOS TRECHOS NO MUNICÍPIO DE SARANDI</v>
      </c>
      <c r="G5" s="727"/>
      <c r="H5" s="727"/>
      <c r="I5" s="727"/>
      <c r="J5" s="727"/>
      <c r="K5" s="727"/>
      <c r="L5" s="727"/>
      <c r="M5" s="728"/>
      <c r="N5" s="56">
        <f>Import.CR</f>
        <v>0</v>
      </c>
      <c r="O5" s="56">
        <f>Import.SICONV</f>
        <v>0</v>
      </c>
      <c r="P5" s="726" t="str">
        <f>Import.Apelido</f>
        <v>PAVIMENTAÇÃO ASFÁLTICA EM DIVERSOS TRECHOS NO MUNICÍPIO DE SARANDI</v>
      </c>
      <c r="Q5" s="727"/>
      <c r="R5" s="727"/>
      <c r="S5" s="727"/>
      <c r="T5" s="727"/>
      <c r="U5" s="727"/>
      <c r="V5" s="727"/>
      <c r="W5" s="728"/>
      <c r="X5" s="56">
        <f>Import.CR</f>
        <v>0</v>
      </c>
      <c r="Y5" s="56">
        <f>Import.SICONV</f>
        <v>0</v>
      </c>
      <c r="Z5" t="s">
        <v>752</v>
      </c>
    </row>
    <row r="6" spans="1:26" ht="24.9" customHeight="1" x14ac:dyDescent="0.3">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 customHeight="1" thickBot="1" x14ac:dyDescent="0.3">
      <c r="B7" t="s">
        <v>940</v>
      </c>
    </row>
    <row r="8" spans="1:26" ht="16.2" thickBot="1" x14ac:dyDescent="0.35">
      <c r="B8" t="s">
        <v>941</v>
      </c>
      <c r="C8" s="733" t="s">
        <v>937</v>
      </c>
      <c r="D8" s="734"/>
      <c r="F8" s="521" t="str">
        <f>IF(ACOMPANHAMENTO="BM","",
 IF(Import.Eventos.Nível="","◄ Selecione a forma de definição dos agrupadores de eventos",
 IF(Import.Eventos.Nível="","◄ Selecione a forma de definição dos agrupadores de eventos","")))</f>
        <v/>
      </c>
    </row>
    <row r="9" spans="1:26" ht="12" customHeight="1" x14ac:dyDescent="0.25">
      <c r="B9" t="s">
        <v>939</v>
      </c>
    </row>
    <row r="10" spans="1:26" ht="33.75" customHeight="1" x14ac:dyDescent="0.25">
      <c r="C10" s="586">
        <f ca="1">COUNTIF($C$15:$C$65,"&gt;0")-1</f>
        <v>0</v>
      </c>
      <c r="D10" t="s">
        <v>752</v>
      </c>
      <c r="E10" s="729" t="str">
        <f ca="1">OFFSET(CÁLCULO!$P$12,0,EVENTOS!E$13)</f>
        <v>SERVIÇOS INICIAIS</v>
      </c>
      <c r="F10" t="s">
        <v>752</v>
      </c>
      <c r="G10" s="730"/>
      <c r="H10" s="729" t="str">
        <f ca="1">OFFSET(CÁLCULO!$P$12,0,EVENTOS!H$13)</f>
        <v>SERVIÇOS INICIAIS</v>
      </c>
      <c r="I10" s="729" t="str">
        <f ca="1">OFFSET(CÁLCULO!$P$12,0,EVENTOS!I$13)</f>
        <v>ADM LOCAL</v>
      </c>
      <c r="J10" s="729" t="str">
        <f ca="1">OFFSET(CÁLCULO!$P$12,0,EVENTOS!J$13)</f>
        <v>TRECHO 2</v>
      </c>
      <c r="K10" s="730" t="str">
        <f ca="1">OFFSET(CÁLCULO!$P$12,0,EVENTOS!K$13)</f>
        <v xml:space="preserve">TRECHO 3 </v>
      </c>
      <c r="L10" s="730" t="str">
        <f ca="1">OFFSET(CÁLCULO!$P$12,0,EVENTOS!L$13)</f>
        <v xml:space="preserve">TRECHO 4 </v>
      </c>
      <c r="M10" s="730" t="str">
        <f ca="1">OFFSET(CÁLCULO!$P$12,0,EVENTOS!M$13)</f>
        <v>TRECHO 5</v>
      </c>
      <c r="N10" s="730" t="str">
        <f ca="1">OFFSET(CÁLCULO!$P$12,0,EVENTOS!N$13)</f>
        <v>.</v>
      </c>
      <c r="O10" s="730" t="str">
        <f ca="1">OFFSET(CÁLCULO!$P$12,0,EVENTOS!O$13)</f>
        <v>.</v>
      </c>
      <c r="P10" s="730" t="str">
        <f ca="1">OFFSET(CÁLCULO!$P$12,0,EVENTOS!P$13)</f>
        <v>.</v>
      </c>
      <c r="Q10" s="730" t="str">
        <f ca="1">OFFSET(CÁLCULO!$P$12,0,EVENTOS!Q$13)</f>
        <v>.</v>
      </c>
      <c r="R10" s="730" t="str">
        <f ca="1">OFFSET(CÁLCULO!$P$12,0,EVENTOS!R$13)</f>
        <v>.</v>
      </c>
      <c r="S10" s="730" t="str">
        <f ca="1">OFFSET(CÁLCULO!$P$12,0,EVENTOS!S$13)</f>
        <v>.</v>
      </c>
      <c r="T10" s="730" t="str">
        <f ca="1">OFFSET(CÁLCULO!$P$12,0,EVENTOS!T$13)</f>
        <v>.</v>
      </c>
      <c r="U10" s="730" t="str">
        <f ca="1">OFFSET(CÁLCULO!$P$12,0,EVENTOS!U$13)</f>
        <v>.</v>
      </c>
      <c r="V10" s="730" t="str">
        <f ca="1">OFFSET(CÁLCULO!$P$12,0,EVENTOS!V$13)</f>
        <v>.</v>
      </c>
      <c r="W10" s="730" t="str">
        <f ca="1">OFFSET(CÁLCULO!$P$12,0,EVENTOS!W$13)</f>
        <v>.</v>
      </c>
      <c r="X10" s="730" t="str">
        <f ca="1">OFFSET(CÁLCULO!$P$12,0,EVENTOS!X$13)</f>
        <v>.</v>
      </c>
      <c r="Y10" s="730" t="str">
        <f ca="1">OFFSET(CÁLCULO!$P$12,0,EVENTOS!Y$13)</f>
        <v>.</v>
      </c>
    </row>
    <row r="11" spans="1:26" ht="35.1" customHeight="1" x14ac:dyDescent="0.25">
      <c r="A11" s="507" t="s">
        <v>655</v>
      </c>
      <c r="C11" s="735"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5"/>
      <c r="E11" s="729"/>
      <c r="F11" s="497"/>
      <c r="G11" s="731"/>
      <c r="H11" s="729"/>
      <c r="I11" s="729"/>
      <c r="J11" s="729"/>
      <c r="K11" s="731"/>
      <c r="L11" s="731"/>
      <c r="M11" s="731"/>
      <c r="N11" s="731"/>
      <c r="O11" s="731"/>
      <c r="P11" s="731"/>
      <c r="Q11" s="731"/>
      <c r="R11" s="731"/>
      <c r="S11" s="731"/>
      <c r="T11" s="731"/>
      <c r="U11" s="731"/>
      <c r="V11" s="731"/>
      <c r="W11" s="731"/>
      <c r="X11" s="731"/>
      <c r="Y11" s="731"/>
    </row>
    <row r="12" spans="1:26" ht="12" customHeight="1" x14ac:dyDescent="0.25">
      <c r="A12" s="508" t="s">
        <v>660</v>
      </c>
      <c r="E12" s="729"/>
      <c r="G12" s="732"/>
      <c r="H12" s="729"/>
      <c r="I12" s="729"/>
      <c r="J12" s="729"/>
      <c r="K12" s="732"/>
      <c r="L12" s="732"/>
      <c r="M12" s="732"/>
      <c r="N12" s="732"/>
      <c r="O12" s="732"/>
      <c r="P12" s="732"/>
      <c r="Q12" s="732"/>
      <c r="R12" s="732"/>
      <c r="S12" s="732"/>
      <c r="T12" s="732"/>
      <c r="U12" s="732"/>
      <c r="V12" s="732"/>
      <c r="W12" s="732"/>
      <c r="X12" s="732"/>
      <c r="Y12" s="732"/>
    </row>
    <row r="13" spans="1:26" ht="14.4" x14ac:dyDescent="0.3">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3</v>
      </c>
      <c r="K13" s="624">
        <f t="shared" ca="1" si="1"/>
        <v>4</v>
      </c>
      <c r="L13" s="624">
        <f t="shared" ca="1" si="1"/>
        <v>5</v>
      </c>
      <c r="M13" s="624">
        <f t="shared" ca="1" si="1"/>
        <v>6</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5">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5">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IF($C$15=0,0,ROUND(SUMPRODUCT((CÁLCULO!$M$15:$M$165=EVENTOS!$C15)*(ORÇAMENTO!$X$15:'ORÇAMENTO'!$X$165)),2))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5">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IF(AUTOEVENTO="Manual",ROUND(SUMPRODUCT((CÁLCULO!$M$15:$M$165=EVENTOS!$C16)*(OFFSET(CÁLCULO!$AI$15:$AI$165,0,E$13))),2),0)</f>
        <v>0</v>
      </c>
      <c r="F16" s="183">
        <f ca="1">IF(AUTOEVENTO="Manual",ROUND(SUMPRODUCT((CÁLCULO!$M$15:$M$165=EVENTOS!$C16)*(OFFSET(CÁLCULO!$AI$15,0,1):OFFSET(CÁLCULO!$BB$165,0,-1))),2),0)</f>
        <v>0</v>
      </c>
      <c r="G16" s="621" t="str">
        <f t="shared" ref="G16:G47" ca="1" si="5">IF(AND(D16=0,F16&gt;0),"NOME",
 IF(AND(D16&lt;&gt;0,$F$14&gt;0,F16=0),"VALOR",
 IF(AND(Import.TipoArredondamento="TransfereGOV",$A16="F",LEN(D16)&gt;100),"Nome &gt;100","")))</f>
        <v/>
      </c>
      <c r="H16" s="620" cm="1">
        <f t="array" aca="1" ref="H16" ca="1">IF(AUTOEVENTO="Manual",ROUND(SUMPRODUCT((CÁLCULO!$M$15:$M$165=EVENTOS!$C16)*(OFFSET(CÁLCULO!$AI$15:$AI$165,0,H$13))),2),0)</f>
        <v>0</v>
      </c>
      <c r="I16" s="620" cm="1">
        <f t="array" aca="1" ref="I16" ca="1">IF(AUTOEVENTO="Manual",ROUND(SUMPRODUCT((CÁLCULO!$M$15:$M$165=EVENTOS!$C16)*(OFFSET(CÁLCULO!$AI$15:$AI$165,0,I$13))),2),0)</f>
        <v>0</v>
      </c>
      <c r="J16" s="620" cm="1">
        <f t="array" aca="1" ref="J16" ca="1">IF(AUTOEVENTO="Manual",ROUND(SUMPRODUCT((CÁLCULO!$M$15:$M$165=EVENTOS!$C16)*(OFFSET(CÁLCULO!$AI$15:$AI$165,0,J$13))),2),0)</f>
        <v>0</v>
      </c>
      <c r="K16" s="620" cm="1">
        <f t="array" aca="1" ref="K16" ca="1">IF(AUTOEVENTO="Manual",ROUND(SUMPRODUCT((CÁLCULO!$M$15:$M$165=EVENTOS!$C16)*(OFFSET(CÁLCULO!$AI$15:$AI$165,0,K$13))),2),0)</f>
        <v>0</v>
      </c>
      <c r="L16" s="620" cm="1">
        <f t="array" aca="1" ref="L16" ca="1">IF(AUTOEVENTO="Manual",ROUND(SUMPRODUCT((CÁLCULO!$M$15:$M$165=EVENTOS!$C16)*(OFFSET(CÁLCULO!$AI$15:$AI$165,0,L$13))),2),0)</f>
        <v>0</v>
      </c>
      <c r="M16" s="620" cm="1">
        <f t="array" aca="1" ref="M16" ca="1">IF(AUTOEVENTO="Manual",ROUND(SUMPRODUCT((CÁLCULO!$M$15:$M$165=EVENTOS!$C16)*(OFFSET(CÁLCULO!$AI$15:$AI$165,0,M$13))),2),0)</f>
        <v>0</v>
      </c>
      <c r="N16" s="620" cm="1">
        <f t="array" aca="1" ref="N16" ca="1">IF(AUTOEVENTO="Manual",ROUND(SUMPRODUCT((CÁLCULO!$M$15:$M$165=EVENTOS!$C16)*(OFFSET(CÁLCULO!$AI$15:$AI$165,0,N$13))),2),0)</f>
        <v>0</v>
      </c>
      <c r="O16" s="620" cm="1">
        <f t="array" aca="1" ref="O16" ca="1">IF(AUTOEVENTO="Manual",ROUND(SUMPRODUCT((CÁLCULO!$M$15:$M$165=EVENTOS!$C16)*(OFFSET(CÁLCULO!$AI$15:$AI$165,0,O$13))),2),0)</f>
        <v>0</v>
      </c>
      <c r="P16" s="620" cm="1">
        <f t="array" aca="1" ref="P16" ca="1">IF(AUTOEVENTO="Manual",ROUND(SUMPRODUCT((CÁLCULO!$M$15:$M$165=EVENTOS!$C16)*(OFFSET(CÁLCULO!$AI$15:$AI$165,0,P$13))),2),0)</f>
        <v>0</v>
      </c>
      <c r="Q16" s="620" cm="1">
        <f t="array" aca="1" ref="Q16" ca="1">IF(AUTOEVENTO="Manual",ROUND(SUMPRODUCT((CÁLCULO!$M$15:$M$165=EVENTOS!$C16)*(OFFSET(CÁLCULO!$AI$15:$AI$165,0,Q$13))),2),0)</f>
        <v>0</v>
      </c>
      <c r="R16" s="620" cm="1">
        <f t="array" aca="1" ref="R16" ca="1">IF(AUTOEVENTO="Manual",ROUND(SUMPRODUCT((CÁLCULO!$M$15:$M$165=EVENTOS!$C16)*(OFFSET(CÁLCULO!$AI$15:$AI$165,0,R$13))),2),0)</f>
        <v>0</v>
      </c>
      <c r="S16" s="620" cm="1">
        <f t="array" aca="1" ref="S16" ca="1">IF(AUTOEVENTO="Manual",ROUND(SUMPRODUCT((CÁLCULO!$M$15:$M$165=EVENTOS!$C16)*(OFFSET(CÁLCULO!$AI$15:$AI$165,0,S$13))),2),0)</f>
        <v>0</v>
      </c>
      <c r="T16" s="620" cm="1">
        <f t="array" aca="1" ref="T16" ca="1">IF(AUTOEVENTO="Manual",ROUND(SUMPRODUCT((CÁLCULO!$M$15:$M$165=EVENTOS!$C16)*(OFFSET(CÁLCULO!$AI$15:$AI$165,0,T$13))),2),0)</f>
        <v>0</v>
      </c>
      <c r="U16" s="620" cm="1">
        <f t="array" aca="1" ref="U16" ca="1">IF(AUTOEVENTO="Manual",ROUND(SUMPRODUCT((CÁLCULO!$M$15:$M$165=EVENTOS!$C16)*(OFFSET(CÁLCULO!$AI$15:$AI$165,0,U$13))),2),0)</f>
        <v>0</v>
      </c>
      <c r="V16" s="620" cm="1">
        <f t="array" aca="1" ref="V16" ca="1">IF(AUTOEVENTO="Manual",ROUND(SUMPRODUCT((CÁLCULO!$M$15:$M$165=EVENTOS!$C16)*(OFFSET(CÁLCULO!$AI$15:$AI$165,0,V$13))),2),0)</f>
        <v>0</v>
      </c>
      <c r="W16" s="620" cm="1">
        <f t="array" aca="1" ref="W16" ca="1">IF(AUTOEVENTO="Manual",ROUND(SUMPRODUCT((CÁLCULO!$M$15:$M$165=EVENTOS!$C16)*(OFFSET(CÁLCULO!$AI$15:$AI$165,0,W$13))),2),0)</f>
        <v>0</v>
      </c>
      <c r="X16" s="620" cm="1">
        <f t="array" aca="1" ref="X16" ca="1">IF(AUTOEVENTO="Manual",ROUND(SUMPRODUCT((CÁLCULO!$M$15:$M$165=EVENTOS!$C16)*(OFFSET(CÁLCULO!$AI$15:$AI$165,0,X$13))),2),0)</f>
        <v>0</v>
      </c>
      <c r="Y16" s="620" cm="1">
        <f t="array" aca="1" ref="Y16" ca="1">IF(AUTOEVENTO="Manual",ROUND(SUMPRODUCT((CÁLCULO!$M$15:$M$165=EVENTOS!$C16)*(OFFSET(CÁLCULO!$AI$15:$AI$165,0,Y$13))),2),0)</f>
        <v>0</v>
      </c>
    </row>
    <row r="17" spans="1:25" x14ac:dyDescent="0.25">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IF(AUTOEVENTO="Manual",ROUND(SUMPRODUCT((CÁLCULO!$M$15:$M$165=EVENTOS!$C17)*(OFFSET(CÁLCULO!$AI$15:$AI$165,0,E$13))),2),0)</f>
        <v>0</v>
      </c>
      <c r="F17" s="183">
        <f ca="1">IF(AUTOEVENTO="Manual",ROUND(SUMPRODUCT((CÁLCULO!$M$15:$M$165=EVENTOS!$C17)*(OFFSET(CÁLCULO!$AI$15,0,1):OFFSET(CÁLCULO!$BB$165,0,-1))),2),0)</f>
        <v>0</v>
      </c>
      <c r="G17" s="621" t="str">
        <f t="shared" ca="1" si="5"/>
        <v/>
      </c>
      <c r="H17" s="620" cm="1">
        <f t="array" aca="1" ref="H17" ca="1">IF(AUTOEVENTO="Manual",ROUND(SUMPRODUCT((CÁLCULO!$M$15:$M$165=EVENTOS!$C17)*(OFFSET(CÁLCULO!$AI$15:$AI$165,0,H$13))),2),0)</f>
        <v>0</v>
      </c>
      <c r="I17" s="620" cm="1">
        <f t="array" aca="1" ref="I17" ca="1">IF(AUTOEVENTO="Manual",ROUND(SUMPRODUCT((CÁLCULO!$M$15:$M$165=EVENTOS!$C17)*(OFFSET(CÁLCULO!$AI$15:$AI$165,0,I$13))),2),0)</f>
        <v>0</v>
      </c>
      <c r="J17" s="620" cm="1">
        <f t="array" aca="1" ref="J17" ca="1">IF(AUTOEVENTO="Manual",ROUND(SUMPRODUCT((CÁLCULO!$M$15:$M$165=EVENTOS!$C17)*(OFFSET(CÁLCULO!$AI$15:$AI$165,0,J$13))),2),0)</f>
        <v>0</v>
      </c>
      <c r="K17" s="620" cm="1">
        <f t="array" aca="1" ref="K17" ca="1">IF(AUTOEVENTO="Manual",ROUND(SUMPRODUCT((CÁLCULO!$M$15:$M$165=EVENTOS!$C17)*(OFFSET(CÁLCULO!$AI$15:$AI$165,0,K$13))),2),0)</f>
        <v>0</v>
      </c>
      <c r="L17" s="620" cm="1">
        <f t="array" aca="1" ref="L17" ca="1">IF(AUTOEVENTO="Manual",ROUND(SUMPRODUCT((CÁLCULO!$M$15:$M$165=EVENTOS!$C17)*(OFFSET(CÁLCULO!$AI$15:$AI$165,0,L$13))),2),0)</f>
        <v>0</v>
      </c>
      <c r="M17" s="620" cm="1">
        <f t="array" aca="1" ref="M17" ca="1">IF(AUTOEVENTO="Manual",ROUND(SUMPRODUCT((CÁLCULO!$M$15:$M$165=EVENTOS!$C17)*(OFFSET(CÁLCULO!$AI$15:$AI$165,0,M$13))),2),0)</f>
        <v>0</v>
      </c>
      <c r="N17" s="620" cm="1">
        <f t="array" aca="1" ref="N17" ca="1">IF(AUTOEVENTO="Manual",ROUND(SUMPRODUCT((CÁLCULO!$M$15:$M$165=EVENTOS!$C17)*(OFFSET(CÁLCULO!$AI$15:$AI$165,0,N$13))),2),0)</f>
        <v>0</v>
      </c>
      <c r="O17" s="620" cm="1">
        <f t="array" aca="1" ref="O17" ca="1">IF(AUTOEVENTO="Manual",ROUND(SUMPRODUCT((CÁLCULO!$M$15:$M$165=EVENTOS!$C17)*(OFFSET(CÁLCULO!$AI$15:$AI$165,0,O$13))),2),0)</f>
        <v>0</v>
      </c>
      <c r="P17" s="620" cm="1">
        <f t="array" aca="1" ref="P17" ca="1">IF(AUTOEVENTO="Manual",ROUND(SUMPRODUCT((CÁLCULO!$M$15:$M$165=EVENTOS!$C17)*(OFFSET(CÁLCULO!$AI$15:$AI$165,0,P$13))),2),0)</f>
        <v>0</v>
      </c>
      <c r="Q17" s="620" cm="1">
        <f t="array" aca="1" ref="Q17" ca="1">IF(AUTOEVENTO="Manual",ROUND(SUMPRODUCT((CÁLCULO!$M$15:$M$165=EVENTOS!$C17)*(OFFSET(CÁLCULO!$AI$15:$AI$165,0,Q$13))),2),0)</f>
        <v>0</v>
      </c>
      <c r="R17" s="620" cm="1">
        <f t="array" aca="1" ref="R17" ca="1">IF(AUTOEVENTO="Manual",ROUND(SUMPRODUCT((CÁLCULO!$M$15:$M$165=EVENTOS!$C17)*(OFFSET(CÁLCULO!$AI$15:$AI$165,0,R$13))),2),0)</f>
        <v>0</v>
      </c>
      <c r="S17" s="620" cm="1">
        <f t="array" aca="1" ref="S17" ca="1">IF(AUTOEVENTO="Manual",ROUND(SUMPRODUCT((CÁLCULO!$M$15:$M$165=EVENTOS!$C17)*(OFFSET(CÁLCULO!$AI$15:$AI$165,0,S$13))),2),0)</f>
        <v>0</v>
      </c>
      <c r="T17" s="620" cm="1">
        <f t="array" aca="1" ref="T17" ca="1">IF(AUTOEVENTO="Manual",ROUND(SUMPRODUCT((CÁLCULO!$M$15:$M$165=EVENTOS!$C17)*(OFFSET(CÁLCULO!$AI$15:$AI$165,0,T$13))),2),0)</f>
        <v>0</v>
      </c>
      <c r="U17" s="620" cm="1">
        <f t="array" aca="1" ref="U17" ca="1">IF(AUTOEVENTO="Manual",ROUND(SUMPRODUCT((CÁLCULO!$M$15:$M$165=EVENTOS!$C17)*(OFFSET(CÁLCULO!$AI$15:$AI$165,0,U$13))),2),0)</f>
        <v>0</v>
      </c>
      <c r="V17" s="620" cm="1">
        <f t="array" aca="1" ref="V17" ca="1">IF(AUTOEVENTO="Manual",ROUND(SUMPRODUCT((CÁLCULO!$M$15:$M$165=EVENTOS!$C17)*(OFFSET(CÁLCULO!$AI$15:$AI$165,0,V$13))),2),0)</f>
        <v>0</v>
      </c>
      <c r="W17" s="620" cm="1">
        <f t="array" aca="1" ref="W17" ca="1">IF(AUTOEVENTO="Manual",ROUND(SUMPRODUCT((CÁLCULO!$M$15:$M$165=EVENTOS!$C17)*(OFFSET(CÁLCULO!$AI$15:$AI$165,0,W$13))),2),0)</f>
        <v>0</v>
      </c>
      <c r="X17" s="620" cm="1">
        <f t="array" aca="1" ref="X17" ca="1">IF(AUTOEVENTO="Manual",ROUND(SUMPRODUCT((CÁLCULO!$M$15:$M$165=EVENTOS!$C17)*(OFFSET(CÁLCULO!$AI$15:$AI$165,0,X$13))),2),0)</f>
        <v>0</v>
      </c>
      <c r="Y17" s="620" cm="1">
        <f t="array" aca="1" ref="Y17" ca="1">IF(AUTOEVENTO="Manual",ROUND(SUMPRODUCT((CÁLCULO!$M$15:$M$165=EVENTOS!$C17)*(OFFSET(CÁLCULO!$AI$15:$AI$165,0,Y$13))),2),0)</f>
        <v>0</v>
      </c>
    </row>
    <row r="18" spans="1:25" x14ac:dyDescent="0.25">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IF(AUTOEVENTO="Manual",ROUND(SUMPRODUCT((CÁLCULO!$M$15:$M$165=EVENTOS!$C18)*(OFFSET(CÁLCULO!$AI$15:$AI$165,0,E$13))),2),0)</f>
        <v>0</v>
      </c>
      <c r="F18" s="183">
        <f ca="1">IF(AUTOEVENTO="Manual",ROUND(SUMPRODUCT((CÁLCULO!$M$15:$M$165=EVENTOS!$C18)*(OFFSET(CÁLCULO!$AI$15,0,1):OFFSET(CÁLCULO!$BB$165,0,-1))),2),0)</f>
        <v>0</v>
      </c>
      <c r="G18" s="621" t="str">
        <f t="shared" ca="1" si="5"/>
        <v/>
      </c>
      <c r="H18" s="620" cm="1">
        <f t="array" aca="1" ref="H18" ca="1">IF(AUTOEVENTO="Manual",ROUND(SUMPRODUCT((CÁLCULO!$M$15:$M$165=EVENTOS!$C18)*(OFFSET(CÁLCULO!$AI$15:$AI$165,0,H$13))),2),0)</f>
        <v>0</v>
      </c>
      <c r="I18" s="620" cm="1">
        <f t="array" aca="1" ref="I18" ca="1">IF(AUTOEVENTO="Manual",ROUND(SUMPRODUCT((CÁLCULO!$M$15:$M$165=EVENTOS!$C18)*(OFFSET(CÁLCULO!$AI$15:$AI$165,0,I$13))),2),0)</f>
        <v>0</v>
      </c>
      <c r="J18" s="620" cm="1">
        <f t="array" aca="1" ref="J18" ca="1">IF(AUTOEVENTO="Manual",ROUND(SUMPRODUCT((CÁLCULO!$M$15:$M$165=EVENTOS!$C18)*(OFFSET(CÁLCULO!$AI$15:$AI$165,0,J$13))),2),0)</f>
        <v>0</v>
      </c>
      <c r="K18" s="620" cm="1">
        <f t="array" aca="1" ref="K18" ca="1">IF(AUTOEVENTO="Manual",ROUND(SUMPRODUCT((CÁLCULO!$M$15:$M$165=EVENTOS!$C18)*(OFFSET(CÁLCULO!$AI$15:$AI$165,0,K$13))),2),0)</f>
        <v>0</v>
      </c>
      <c r="L18" s="620" cm="1">
        <f t="array" aca="1" ref="L18" ca="1">IF(AUTOEVENTO="Manual",ROUND(SUMPRODUCT((CÁLCULO!$M$15:$M$165=EVENTOS!$C18)*(OFFSET(CÁLCULO!$AI$15:$AI$165,0,L$13))),2),0)</f>
        <v>0</v>
      </c>
      <c r="M18" s="620" cm="1">
        <f t="array" aca="1" ref="M18" ca="1">IF(AUTOEVENTO="Manual",ROUND(SUMPRODUCT((CÁLCULO!$M$15:$M$165=EVENTOS!$C18)*(OFFSET(CÁLCULO!$AI$15:$AI$165,0,M$13))),2),0)</f>
        <v>0</v>
      </c>
      <c r="N18" s="620" cm="1">
        <f t="array" aca="1" ref="N18" ca="1">IF(AUTOEVENTO="Manual",ROUND(SUMPRODUCT((CÁLCULO!$M$15:$M$165=EVENTOS!$C18)*(OFFSET(CÁLCULO!$AI$15:$AI$165,0,N$13))),2),0)</f>
        <v>0</v>
      </c>
      <c r="O18" s="620" cm="1">
        <f t="array" aca="1" ref="O18" ca="1">IF(AUTOEVENTO="Manual",ROUND(SUMPRODUCT((CÁLCULO!$M$15:$M$165=EVENTOS!$C18)*(OFFSET(CÁLCULO!$AI$15:$AI$165,0,O$13))),2),0)</f>
        <v>0</v>
      </c>
      <c r="P18" s="620" cm="1">
        <f t="array" aca="1" ref="P18" ca="1">IF(AUTOEVENTO="Manual",ROUND(SUMPRODUCT((CÁLCULO!$M$15:$M$165=EVENTOS!$C18)*(OFFSET(CÁLCULO!$AI$15:$AI$165,0,P$13))),2),0)</f>
        <v>0</v>
      </c>
      <c r="Q18" s="620" cm="1">
        <f t="array" aca="1" ref="Q18" ca="1">IF(AUTOEVENTO="Manual",ROUND(SUMPRODUCT((CÁLCULO!$M$15:$M$165=EVENTOS!$C18)*(OFFSET(CÁLCULO!$AI$15:$AI$165,0,Q$13))),2),0)</f>
        <v>0</v>
      </c>
      <c r="R18" s="620" cm="1">
        <f t="array" aca="1" ref="R18" ca="1">IF(AUTOEVENTO="Manual",ROUND(SUMPRODUCT((CÁLCULO!$M$15:$M$165=EVENTOS!$C18)*(OFFSET(CÁLCULO!$AI$15:$AI$165,0,R$13))),2),0)</f>
        <v>0</v>
      </c>
      <c r="S18" s="620" cm="1">
        <f t="array" aca="1" ref="S18" ca="1">IF(AUTOEVENTO="Manual",ROUND(SUMPRODUCT((CÁLCULO!$M$15:$M$165=EVENTOS!$C18)*(OFFSET(CÁLCULO!$AI$15:$AI$165,0,S$13))),2),0)</f>
        <v>0</v>
      </c>
      <c r="T18" s="620" cm="1">
        <f t="array" aca="1" ref="T18" ca="1">IF(AUTOEVENTO="Manual",ROUND(SUMPRODUCT((CÁLCULO!$M$15:$M$165=EVENTOS!$C18)*(OFFSET(CÁLCULO!$AI$15:$AI$165,0,T$13))),2),0)</f>
        <v>0</v>
      </c>
      <c r="U18" s="620" cm="1">
        <f t="array" aca="1" ref="U18" ca="1">IF(AUTOEVENTO="Manual",ROUND(SUMPRODUCT((CÁLCULO!$M$15:$M$165=EVENTOS!$C18)*(OFFSET(CÁLCULO!$AI$15:$AI$165,0,U$13))),2),0)</f>
        <v>0</v>
      </c>
      <c r="V18" s="620" cm="1">
        <f t="array" aca="1" ref="V18" ca="1">IF(AUTOEVENTO="Manual",ROUND(SUMPRODUCT((CÁLCULO!$M$15:$M$165=EVENTOS!$C18)*(OFFSET(CÁLCULO!$AI$15:$AI$165,0,V$13))),2),0)</f>
        <v>0</v>
      </c>
      <c r="W18" s="620" cm="1">
        <f t="array" aca="1" ref="W18" ca="1">IF(AUTOEVENTO="Manual",ROUND(SUMPRODUCT((CÁLCULO!$M$15:$M$165=EVENTOS!$C18)*(OFFSET(CÁLCULO!$AI$15:$AI$165,0,W$13))),2),0)</f>
        <v>0</v>
      </c>
      <c r="X18" s="620" cm="1">
        <f t="array" aca="1" ref="X18" ca="1">IF(AUTOEVENTO="Manual",ROUND(SUMPRODUCT((CÁLCULO!$M$15:$M$165=EVENTOS!$C18)*(OFFSET(CÁLCULO!$AI$15:$AI$165,0,X$13))),2),0)</f>
        <v>0</v>
      </c>
      <c r="Y18" s="620" cm="1">
        <f t="array" aca="1" ref="Y18" ca="1">IF(AUTOEVENTO="Manual",ROUND(SUMPRODUCT((CÁLCULO!$M$15:$M$165=EVENTOS!$C18)*(OFFSET(CÁLCULO!$AI$15:$AI$165,0,Y$13))),2),0)</f>
        <v>0</v>
      </c>
    </row>
    <row r="19" spans="1:25" x14ac:dyDescent="0.25">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IF(AUTOEVENTO="Manual",ROUND(SUMPRODUCT((CÁLCULO!$M$15:$M$165=EVENTOS!$C19)*(OFFSET(CÁLCULO!$AI$15:$AI$165,0,E$13))),2),0)</f>
        <v>0</v>
      </c>
      <c r="F19" s="183">
        <f ca="1">IF(AUTOEVENTO="Manual",ROUND(SUMPRODUCT((CÁLCULO!$M$15:$M$165=EVENTOS!$C19)*(OFFSET(CÁLCULO!$AI$15,0,1):OFFSET(CÁLCULO!$BB$165,0,-1))),2),0)</f>
        <v>0</v>
      </c>
      <c r="G19" s="621" t="str">
        <f t="shared" ca="1" si="5"/>
        <v/>
      </c>
      <c r="H19" s="620" cm="1">
        <f t="array" aca="1" ref="H19" ca="1">IF(AUTOEVENTO="Manual",ROUND(SUMPRODUCT((CÁLCULO!$M$15:$M$165=EVENTOS!$C19)*(OFFSET(CÁLCULO!$AI$15:$AI$165,0,H$13))),2),0)</f>
        <v>0</v>
      </c>
      <c r="I19" s="620" cm="1">
        <f t="array" aca="1" ref="I19" ca="1">IF(AUTOEVENTO="Manual",ROUND(SUMPRODUCT((CÁLCULO!$M$15:$M$165=EVENTOS!$C19)*(OFFSET(CÁLCULO!$AI$15:$AI$165,0,I$13))),2),0)</f>
        <v>0</v>
      </c>
      <c r="J19" s="620" cm="1">
        <f t="array" aca="1" ref="J19" ca="1">IF(AUTOEVENTO="Manual",ROUND(SUMPRODUCT((CÁLCULO!$M$15:$M$165=EVENTOS!$C19)*(OFFSET(CÁLCULO!$AI$15:$AI$165,0,J$13))),2),0)</f>
        <v>0</v>
      </c>
      <c r="K19" s="620" cm="1">
        <f t="array" aca="1" ref="K19" ca="1">IF(AUTOEVENTO="Manual",ROUND(SUMPRODUCT((CÁLCULO!$M$15:$M$165=EVENTOS!$C19)*(OFFSET(CÁLCULO!$AI$15:$AI$165,0,K$13))),2),0)</f>
        <v>0</v>
      </c>
      <c r="L19" s="620" cm="1">
        <f t="array" aca="1" ref="L19" ca="1">IF(AUTOEVENTO="Manual",ROUND(SUMPRODUCT((CÁLCULO!$M$15:$M$165=EVENTOS!$C19)*(OFFSET(CÁLCULO!$AI$15:$AI$165,0,L$13))),2),0)</f>
        <v>0</v>
      </c>
      <c r="M19" s="620" cm="1">
        <f t="array" aca="1" ref="M19" ca="1">IF(AUTOEVENTO="Manual",ROUND(SUMPRODUCT((CÁLCULO!$M$15:$M$165=EVENTOS!$C19)*(OFFSET(CÁLCULO!$AI$15:$AI$165,0,M$13))),2),0)</f>
        <v>0</v>
      </c>
      <c r="N19" s="620" cm="1">
        <f t="array" aca="1" ref="N19" ca="1">IF(AUTOEVENTO="Manual",ROUND(SUMPRODUCT((CÁLCULO!$M$15:$M$165=EVENTOS!$C19)*(OFFSET(CÁLCULO!$AI$15:$AI$165,0,N$13))),2),0)</f>
        <v>0</v>
      </c>
      <c r="O19" s="620" cm="1">
        <f t="array" aca="1" ref="O19" ca="1">IF(AUTOEVENTO="Manual",ROUND(SUMPRODUCT((CÁLCULO!$M$15:$M$165=EVENTOS!$C19)*(OFFSET(CÁLCULO!$AI$15:$AI$165,0,O$13))),2),0)</f>
        <v>0</v>
      </c>
      <c r="P19" s="620" cm="1">
        <f t="array" aca="1" ref="P19" ca="1">IF(AUTOEVENTO="Manual",ROUND(SUMPRODUCT((CÁLCULO!$M$15:$M$165=EVENTOS!$C19)*(OFFSET(CÁLCULO!$AI$15:$AI$165,0,P$13))),2),0)</f>
        <v>0</v>
      </c>
      <c r="Q19" s="620" cm="1">
        <f t="array" aca="1" ref="Q19" ca="1">IF(AUTOEVENTO="Manual",ROUND(SUMPRODUCT((CÁLCULO!$M$15:$M$165=EVENTOS!$C19)*(OFFSET(CÁLCULO!$AI$15:$AI$165,0,Q$13))),2),0)</f>
        <v>0</v>
      </c>
      <c r="R19" s="620" cm="1">
        <f t="array" aca="1" ref="R19" ca="1">IF(AUTOEVENTO="Manual",ROUND(SUMPRODUCT((CÁLCULO!$M$15:$M$165=EVENTOS!$C19)*(OFFSET(CÁLCULO!$AI$15:$AI$165,0,R$13))),2),0)</f>
        <v>0</v>
      </c>
      <c r="S19" s="620" cm="1">
        <f t="array" aca="1" ref="S19" ca="1">IF(AUTOEVENTO="Manual",ROUND(SUMPRODUCT((CÁLCULO!$M$15:$M$165=EVENTOS!$C19)*(OFFSET(CÁLCULO!$AI$15:$AI$165,0,S$13))),2),0)</f>
        <v>0</v>
      </c>
      <c r="T19" s="620" cm="1">
        <f t="array" aca="1" ref="T19" ca="1">IF(AUTOEVENTO="Manual",ROUND(SUMPRODUCT((CÁLCULO!$M$15:$M$165=EVENTOS!$C19)*(OFFSET(CÁLCULO!$AI$15:$AI$165,0,T$13))),2),0)</f>
        <v>0</v>
      </c>
      <c r="U19" s="620" cm="1">
        <f t="array" aca="1" ref="U19" ca="1">IF(AUTOEVENTO="Manual",ROUND(SUMPRODUCT((CÁLCULO!$M$15:$M$165=EVENTOS!$C19)*(OFFSET(CÁLCULO!$AI$15:$AI$165,0,U$13))),2),0)</f>
        <v>0</v>
      </c>
      <c r="V19" s="620" cm="1">
        <f t="array" aca="1" ref="V19" ca="1">IF(AUTOEVENTO="Manual",ROUND(SUMPRODUCT((CÁLCULO!$M$15:$M$165=EVENTOS!$C19)*(OFFSET(CÁLCULO!$AI$15:$AI$165,0,V$13))),2),0)</f>
        <v>0</v>
      </c>
      <c r="W19" s="620" cm="1">
        <f t="array" aca="1" ref="W19" ca="1">IF(AUTOEVENTO="Manual",ROUND(SUMPRODUCT((CÁLCULO!$M$15:$M$165=EVENTOS!$C19)*(OFFSET(CÁLCULO!$AI$15:$AI$165,0,W$13))),2),0)</f>
        <v>0</v>
      </c>
      <c r="X19" s="620" cm="1">
        <f t="array" aca="1" ref="X19" ca="1">IF(AUTOEVENTO="Manual",ROUND(SUMPRODUCT((CÁLCULO!$M$15:$M$165=EVENTOS!$C19)*(OFFSET(CÁLCULO!$AI$15:$AI$165,0,X$13))),2),0)</f>
        <v>0</v>
      </c>
      <c r="Y19" s="620" cm="1">
        <f t="array" aca="1" ref="Y19" ca="1">IF(AUTOEVENTO="Manual",ROUND(SUMPRODUCT((CÁLCULO!$M$15:$M$165=EVENTOS!$C19)*(OFFSET(CÁLCULO!$AI$15:$AI$165,0,Y$13))),2),0)</f>
        <v>0</v>
      </c>
    </row>
    <row r="20" spans="1:25" x14ac:dyDescent="0.25">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IF(AUTOEVENTO="Manual",ROUND(SUMPRODUCT((CÁLCULO!$M$15:$M$165=EVENTOS!$C20)*(OFFSET(CÁLCULO!$AI$15:$AI$165,0,E$13))),2),0)</f>
        <v>0</v>
      </c>
      <c r="F20" s="183">
        <f ca="1">IF(AUTOEVENTO="Manual",ROUND(SUMPRODUCT((CÁLCULO!$M$15:$M$165=EVENTOS!$C20)*(OFFSET(CÁLCULO!$AI$15,0,1):OFFSET(CÁLCULO!$BB$165,0,-1))),2),0)</f>
        <v>0</v>
      </c>
      <c r="G20" s="621" t="str">
        <f t="shared" ca="1" si="5"/>
        <v/>
      </c>
      <c r="H20" s="620" cm="1">
        <f t="array" aca="1" ref="H20" ca="1">IF(AUTOEVENTO="Manual",ROUND(SUMPRODUCT((CÁLCULO!$M$15:$M$165=EVENTOS!$C20)*(OFFSET(CÁLCULO!$AI$15:$AI$165,0,H$13))),2),0)</f>
        <v>0</v>
      </c>
      <c r="I20" s="620" cm="1">
        <f t="array" aca="1" ref="I20" ca="1">IF(AUTOEVENTO="Manual",ROUND(SUMPRODUCT((CÁLCULO!$M$15:$M$165=EVENTOS!$C20)*(OFFSET(CÁLCULO!$AI$15:$AI$165,0,I$13))),2),0)</f>
        <v>0</v>
      </c>
      <c r="J20" s="620" cm="1">
        <f t="array" aca="1" ref="J20" ca="1">IF(AUTOEVENTO="Manual",ROUND(SUMPRODUCT((CÁLCULO!$M$15:$M$165=EVENTOS!$C20)*(OFFSET(CÁLCULO!$AI$15:$AI$165,0,J$13))),2),0)</f>
        <v>0</v>
      </c>
      <c r="K20" s="620" cm="1">
        <f t="array" aca="1" ref="K20" ca="1">IF(AUTOEVENTO="Manual",ROUND(SUMPRODUCT((CÁLCULO!$M$15:$M$165=EVENTOS!$C20)*(OFFSET(CÁLCULO!$AI$15:$AI$165,0,K$13))),2),0)</f>
        <v>0</v>
      </c>
      <c r="L20" s="620" cm="1">
        <f t="array" aca="1" ref="L20" ca="1">IF(AUTOEVENTO="Manual",ROUND(SUMPRODUCT((CÁLCULO!$M$15:$M$165=EVENTOS!$C20)*(OFFSET(CÁLCULO!$AI$15:$AI$165,0,L$13))),2),0)</f>
        <v>0</v>
      </c>
      <c r="M20" s="620" cm="1">
        <f t="array" aca="1" ref="M20" ca="1">IF(AUTOEVENTO="Manual",ROUND(SUMPRODUCT((CÁLCULO!$M$15:$M$165=EVENTOS!$C20)*(OFFSET(CÁLCULO!$AI$15:$AI$165,0,M$13))),2),0)</f>
        <v>0</v>
      </c>
      <c r="N20" s="620" cm="1">
        <f t="array" aca="1" ref="N20" ca="1">IF(AUTOEVENTO="Manual",ROUND(SUMPRODUCT((CÁLCULO!$M$15:$M$165=EVENTOS!$C20)*(OFFSET(CÁLCULO!$AI$15:$AI$165,0,N$13))),2),0)</f>
        <v>0</v>
      </c>
      <c r="O20" s="620" cm="1">
        <f t="array" aca="1" ref="O20" ca="1">IF(AUTOEVENTO="Manual",ROUND(SUMPRODUCT((CÁLCULO!$M$15:$M$165=EVENTOS!$C20)*(OFFSET(CÁLCULO!$AI$15:$AI$165,0,O$13))),2),0)</f>
        <v>0</v>
      </c>
      <c r="P20" s="620" cm="1">
        <f t="array" aca="1" ref="P20" ca="1">IF(AUTOEVENTO="Manual",ROUND(SUMPRODUCT((CÁLCULO!$M$15:$M$165=EVENTOS!$C20)*(OFFSET(CÁLCULO!$AI$15:$AI$165,0,P$13))),2),0)</f>
        <v>0</v>
      </c>
      <c r="Q20" s="620" cm="1">
        <f t="array" aca="1" ref="Q20" ca="1">IF(AUTOEVENTO="Manual",ROUND(SUMPRODUCT((CÁLCULO!$M$15:$M$165=EVENTOS!$C20)*(OFFSET(CÁLCULO!$AI$15:$AI$165,0,Q$13))),2),0)</f>
        <v>0</v>
      </c>
      <c r="R20" s="620" cm="1">
        <f t="array" aca="1" ref="R20" ca="1">IF(AUTOEVENTO="Manual",ROUND(SUMPRODUCT((CÁLCULO!$M$15:$M$165=EVENTOS!$C20)*(OFFSET(CÁLCULO!$AI$15:$AI$165,0,R$13))),2),0)</f>
        <v>0</v>
      </c>
      <c r="S20" s="620" cm="1">
        <f t="array" aca="1" ref="S20" ca="1">IF(AUTOEVENTO="Manual",ROUND(SUMPRODUCT((CÁLCULO!$M$15:$M$165=EVENTOS!$C20)*(OFFSET(CÁLCULO!$AI$15:$AI$165,0,S$13))),2),0)</f>
        <v>0</v>
      </c>
      <c r="T20" s="620" cm="1">
        <f t="array" aca="1" ref="T20" ca="1">IF(AUTOEVENTO="Manual",ROUND(SUMPRODUCT((CÁLCULO!$M$15:$M$165=EVENTOS!$C20)*(OFFSET(CÁLCULO!$AI$15:$AI$165,0,T$13))),2),0)</f>
        <v>0</v>
      </c>
      <c r="U20" s="620" cm="1">
        <f t="array" aca="1" ref="U20" ca="1">IF(AUTOEVENTO="Manual",ROUND(SUMPRODUCT((CÁLCULO!$M$15:$M$165=EVENTOS!$C20)*(OFFSET(CÁLCULO!$AI$15:$AI$165,0,U$13))),2),0)</f>
        <v>0</v>
      </c>
      <c r="V20" s="620" cm="1">
        <f t="array" aca="1" ref="V20" ca="1">IF(AUTOEVENTO="Manual",ROUND(SUMPRODUCT((CÁLCULO!$M$15:$M$165=EVENTOS!$C20)*(OFFSET(CÁLCULO!$AI$15:$AI$165,0,V$13))),2),0)</f>
        <v>0</v>
      </c>
      <c r="W20" s="620" cm="1">
        <f t="array" aca="1" ref="W20" ca="1">IF(AUTOEVENTO="Manual",ROUND(SUMPRODUCT((CÁLCULO!$M$15:$M$165=EVENTOS!$C20)*(OFFSET(CÁLCULO!$AI$15:$AI$165,0,W$13))),2),0)</f>
        <v>0</v>
      </c>
      <c r="X20" s="620" cm="1">
        <f t="array" aca="1" ref="X20" ca="1">IF(AUTOEVENTO="Manual",ROUND(SUMPRODUCT((CÁLCULO!$M$15:$M$165=EVENTOS!$C20)*(OFFSET(CÁLCULO!$AI$15:$AI$165,0,X$13))),2),0)</f>
        <v>0</v>
      </c>
      <c r="Y20" s="620" cm="1">
        <f t="array" aca="1" ref="Y20" ca="1">IF(AUTOEVENTO="Manual",ROUND(SUMPRODUCT((CÁLCULO!$M$15:$M$165=EVENTOS!$C20)*(OFFSET(CÁLCULO!$AI$15:$AI$165,0,Y$13))),2),0)</f>
        <v>0</v>
      </c>
    </row>
    <row r="21" spans="1:25" x14ac:dyDescent="0.25">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IF(AUTOEVENTO="Manual",ROUND(SUMPRODUCT((CÁLCULO!$M$15:$M$165=EVENTOS!$C21)*(OFFSET(CÁLCULO!$AI$15:$AI$165,0,E$13))),2),0)</f>
        <v>0</v>
      </c>
      <c r="F21" s="183">
        <f ca="1">IF(AUTOEVENTO="Manual",ROUND(SUMPRODUCT((CÁLCULO!$M$15:$M$165=EVENTOS!$C21)*(OFFSET(CÁLCULO!$AI$15,0,1):OFFSET(CÁLCULO!$BB$165,0,-1))),2),0)</f>
        <v>0</v>
      </c>
      <c r="G21" s="621" t="str">
        <f t="shared" ca="1" si="5"/>
        <v/>
      </c>
      <c r="H21" s="620" cm="1">
        <f t="array" aca="1" ref="H21" ca="1">IF(AUTOEVENTO="Manual",ROUND(SUMPRODUCT((CÁLCULO!$M$15:$M$165=EVENTOS!$C21)*(OFFSET(CÁLCULO!$AI$15:$AI$165,0,H$13))),2),0)</f>
        <v>0</v>
      </c>
      <c r="I21" s="620" cm="1">
        <f t="array" aca="1" ref="I21" ca="1">IF(AUTOEVENTO="Manual",ROUND(SUMPRODUCT((CÁLCULO!$M$15:$M$165=EVENTOS!$C21)*(OFFSET(CÁLCULO!$AI$15:$AI$165,0,I$13))),2),0)</f>
        <v>0</v>
      </c>
      <c r="J21" s="620" cm="1">
        <f t="array" aca="1" ref="J21" ca="1">IF(AUTOEVENTO="Manual",ROUND(SUMPRODUCT((CÁLCULO!$M$15:$M$165=EVENTOS!$C21)*(OFFSET(CÁLCULO!$AI$15:$AI$165,0,J$13))),2),0)</f>
        <v>0</v>
      </c>
      <c r="K21" s="620" cm="1">
        <f t="array" aca="1" ref="K21" ca="1">IF(AUTOEVENTO="Manual",ROUND(SUMPRODUCT((CÁLCULO!$M$15:$M$165=EVENTOS!$C21)*(OFFSET(CÁLCULO!$AI$15:$AI$165,0,K$13))),2),0)</f>
        <v>0</v>
      </c>
      <c r="L21" s="620" cm="1">
        <f t="array" aca="1" ref="L21" ca="1">IF(AUTOEVENTO="Manual",ROUND(SUMPRODUCT((CÁLCULO!$M$15:$M$165=EVENTOS!$C21)*(OFFSET(CÁLCULO!$AI$15:$AI$165,0,L$13))),2),0)</f>
        <v>0</v>
      </c>
      <c r="M21" s="620" cm="1">
        <f t="array" aca="1" ref="M21" ca="1">IF(AUTOEVENTO="Manual",ROUND(SUMPRODUCT((CÁLCULO!$M$15:$M$165=EVENTOS!$C21)*(OFFSET(CÁLCULO!$AI$15:$AI$165,0,M$13))),2),0)</f>
        <v>0</v>
      </c>
      <c r="N21" s="620" cm="1">
        <f t="array" aca="1" ref="N21" ca="1">IF(AUTOEVENTO="Manual",ROUND(SUMPRODUCT((CÁLCULO!$M$15:$M$165=EVENTOS!$C21)*(OFFSET(CÁLCULO!$AI$15:$AI$165,0,N$13))),2),0)</f>
        <v>0</v>
      </c>
      <c r="O21" s="620" cm="1">
        <f t="array" aca="1" ref="O21" ca="1">IF(AUTOEVENTO="Manual",ROUND(SUMPRODUCT((CÁLCULO!$M$15:$M$165=EVENTOS!$C21)*(OFFSET(CÁLCULO!$AI$15:$AI$165,0,O$13))),2),0)</f>
        <v>0</v>
      </c>
      <c r="P21" s="620" cm="1">
        <f t="array" aca="1" ref="P21" ca="1">IF(AUTOEVENTO="Manual",ROUND(SUMPRODUCT((CÁLCULO!$M$15:$M$165=EVENTOS!$C21)*(OFFSET(CÁLCULO!$AI$15:$AI$165,0,P$13))),2),0)</f>
        <v>0</v>
      </c>
      <c r="Q21" s="620" cm="1">
        <f t="array" aca="1" ref="Q21" ca="1">IF(AUTOEVENTO="Manual",ROUND(SUMPRODUCT((CÁLCULO!$M$15:$M$165=EVENTOS!$C21)*(OFFSET(CÁLCULO!$AI$15:$AI$165,0,Q$13))),2),0)</f>
        <v>0</v>
      </c>
      <c r="R21" s="620" cm="1">
        <f t="array" aca="1" ref="R21" ca="1">IF(AUTOEVENTO="Manual",ROUND(SUMPRODUCT((CÁLCULO!$M$15:$M$165=EVENTOS!$C21)*(OFFSET(CÁLCULO!$AI$15:$AI$165,0,R$13))),2),0)</f>
        <v>0</v>
      </c>
      <c r="S21" s="620" cm="1">
        <f t="array" aca="1" ref="S21" ca="1">IF(AUTOEVENTO="Manual",ROUND(SUMPRODUCT((CÁLCULO!$M$15:$M$165=EVENTOS!$C21)*(OFFSET(CÁLCULO!$AI$15:$AI$165,0,S$13))),2),0)</f>
        <v>0</v>
      </c>
      <c r="T21" s="620" cm="1">
        <f t="array" aca="1" ref="T21" ca="1">IF(AUTOEVENTO="Manual",ROUND(SUMPRODUCT((CÁLCULO!$M$15:$M$165=EVENTOS!$C21)*(OFFSET(CÁLCULO!$AI$15:$AI$165,0,T$13))),2),0)</f>
        <v>0</v>
      </c>
      <c r="U21" s="620" cm="1">
        <f t="array" aca="1" ref="U21" ca="1">IF(AUTOEVENTO="Manual",ROUND(SUMPRODUCT((CÁLCULO!$M$15:$M$165=EVENTOS!$C21)*(OFFSET(CÁLCULO!$AI$15:$AI$165,0,U$13))),2),0)</f>
        <v>0</v>
      </c>
      <c r="V21" s="620" cm="1">
        <f t="array" aca="1" ref="V21" ca="1">IF(AUTOEVENTO="Manual",ROUND(SUMPRODUCT((CÁLCULO!$M$15:$M$165=EVENTOS!$C21)*(OFFSET(CÁLCULO!$AI$15:$AI$165,0,V$13))),2),0)</f>
        <v>0</v>
      </c>
      <c r="W21" s="620" cm="1">
        <f t="array" aca="1" ref="W21" ca="1">IF(AUTOEVENTO="Manual",ROUND(SUMPRODUCT((CÁLCULO!$M$15:$M$165=EVENTOS!$C21)*(OFFSET(CÁLCULO!$AI$15:$AI$165,0,W$13))),2),0)</f>
        <v>0</v>
      </c>
      <c r="X21" s="620" cm="1">
        <f t="array" aca="1" ref="X21" ca="1">IF(AUTOEVENTO="Manual",ROUND(SUMPRODUCT((CÁLCULO!$M$15:$M$165=EVENTOS!$C21)*(OFFSET(CÁLCULO!$AI$15:$AI$165,0,X$13))),2),0)</f>
        <v>0</v>
      </c>
      <c r="Y21" s="620" cm="1">
        <f t="array" aca="1" ref="Y21" ca="1">IF(AUTOEVENTO="Manual",ROUND(SUMPRODUCT((CÁLCULO!$M$15:$M$165=EVENTOS!$C21)*(OFFSET(CÁLCULO!$AI$15:$AI$165,0,Y$13))),2),0)</f>
        <v>0</v>
      </c>
    </row>
    <row r="22" spans="1:25" x14ac:dyDescent="0.25">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IF(AUTOEVENTO="Manual",ROUND(SUMPRODUCT((CÁLCULO!$M$15:$M$165=EVENTOS!$C22)*(OFFSET(CÁLCULO!$AI$15:$AI$165,0,E$13))),2),0)</f>
        <v>0</v>
      </c>
      <c r="F22" s="183">
        <f ca="1">IF(AUTOEVENTO="Manual",ROUND(SUMPRODUCT((CÁLCULO!$M$15:$M$165=EVENTOS!$C22)*(OFFSET(CÁLCULO!$AI$15,0,1):OFFSET(CÁLCULO!$BB$165,0,-1))),2),0)</f>
        <v>0</v>
      </c>
      <c r="G22" s="621" t="str">
        <f t="shared" ca="1" si="5"/>
        <v/>
      </c>
      <c r="H22" s="620" cm="1">
        <f t="array" aca="1" ref="H22" ca="1">IF(AUTOEVENTO="Manual",ROUND(SUMPRODUCT((CÁLCULO!$M$15:$M$165=EVENTOS!$C22)*(OFFSET(CÁLCULO!$AI$15:$AI$165,0,H$13))),2),0)</f>
        <v>0</v>
      </c>
      <c r="I22" s="620" cm="1">
        <f t="array" aca="1" ref="I22" ca="1">IF(AUTOEVENTO="Manual",ROUND(SUMPRODUCT((CÁLCULO!$M$15:$M$165=EVENTOS!$C22)*(OFFSET(CÁLCULO!$AI$15:$AI$165,0,I$13))),2),0)</f>
        <v>0</v>
      </c>
      <c r="J22" s="620" cm="1">
        <f t="array" aca="1" ref="J22" ca="1">IF(AUTOEVENTO="Manual",ROUND(SUMPRODUCT((CÁLCULO!$M$15:$M$165=EVENTOS!$C22)*(OFFSET(CÁLCULO!$AI$15:$AI$165,0,J$13))),2),0)</f>
        <v>0</v>
      </c>
      <c r="K22" s="620" cm="1">
        <f t="array" aca="1" ref="K22" ca="1">IF(AUTOEVENTO="Manual",ROUND(SUMPRODUCT((CÁLCULO!$M$15:$M$165=EVENTOS!$C22)*(OFFSET(CÁLCULO!$AI$15:$AI$165,0,K$13))),2),0)</f>
        <v>0</v>
      </c>
      <c r="L22" s="620" cm="1">
        <f t="array" aca="1" ref="L22" ca="1">IF(AUTOEVENTO="Manual",ROUND(SUMPRODUCT((CÁLCULO!$M$15:$M$165=EVENTOS!$C22)*(OFFSET(CÁLCULO!$AI$15:$AI$165,0,L$13))),2),0)</f>
        <v>0</v>
      </c>
      <c r="M22" s="620" cm="1">
        <f t="array" aca="1" ref="M22" ca="1">IF(AUTOEVENTO="Manual",ROUND(SUMPRODUCT((CÁLCULO!$M$15:$M$165=EVENTOS!$C22)*(OFFSET(CÁLCULO!$AI$15:$AI$165,0,M$13))),2),0)</f>
        <v>0</v>
      </c>
      <c r="N22" s="620" cm="1">
        <f t="array" aca="1" ref="N22" ca="1">IF(AUTOEVENTO="Manual",ROUND(SUMPRODUCT((CÁLCULO!$M$15:$M$165=EVENTOS!$C22)*(OFFSET(CÁLCULO!$AI$15:$AI$165,0,N$13))),2),0)</f>
        <v>0</v>
      </c>
      <c r="O22" s="620" cm="1">
        <f t="array" aca="1" ref="O22" ca="1">IF(AUTOEVENTO="Manual",ROUND(SUMPRODUCT((CÁLCULO!$M$15:$M$165=EVENTOS!$C22)*(OFFSET(CÁLCULO!$AI$15:$AI$165,0,O$13))),2),0)</f>
        <v>0</v>
      </c>
      <c r="P22" s="620" cm="1">
        <f t="array" aca="1" ref="P22" ca="1">IF(AUTOEVENTO="Manual",ROUND(SUMPRODUCT((CÁLCULO!$M$15:$M$165=EVENTOS!$C22)*(OFFSET(CÁLCULO!$AI$15:$AI$165,0,P$13))),2),0)</f>
        <v>0</v>
      </c>
      <c r="Q22" s="620" cm="1">
        <f t="array" aca="1" ref="Q22" ca="1">IF(AUTOEVENTO="Manual",ROUND(SUMPRODUCT((CÁLCULO!$M$15:$M$165=EVENTOS!$C22)*(OFFSET(CÁLCULO!$AI$15:$AI$165,0,Q$13))),2),0)</f>
        <v>0</v>
      </c>
      <c r="R22" s="620" cm="1">
        <f t="array" aca="1" ref="R22" ca="1">IF(AUTOEVENTO="Manual",ROUND(SUMPRODUCT((CÁLCULO!$M$15:$M$165=EVENTOS!$C22)*(OFFSET(CÁLCULO!$AI$15:$AI$165,0,R$13))),2),0)</f>
        <v>0</v>
      </c>
      <c r="S22" s="620" cm="1">
        <f t="array" aca="1" ref="S22" ca="1">IF(AUTOEVENTO="Manual",ROUND(SUMPRODUCT((CÁLCULO!$M$15:$M$165=EVENTOS!$C22)*(OFFSET(CÁLCULO!$AI$15:$AI$165,0,S$13))),2),0)</f>
        <v>0</v>
      </c>
      <c r="T22" s="620" cm="1">
        <f t="array" aca="1" ref="T22" ca="1">IF(AUTOEVENTO="Manual",ROUND(SUMPRODUCT((CÁLCULO!$M$15:$M$165=EVENTOS!$C22)*(OFFSET(CÁLCULO!$AI$15:$AI$165,0,T$13))),2),0)</f>
        <v>0</v>
      </c>
      <c r="U22" s="620" cm="1">
        <f t="array" aca="1" ref="U22" ca="1">IF(AUTOEVENTO="Manual",ROUND(SUMPRODUCT((CÁLCULO!$M$15:$M$165=EVENTOS!$C22)*(OFFSET(CÁLCULO!$AI$15:$AI$165,0,U$13))),2),0)</f>
        <v>0</v>
      </c>
      <c r="V22" s="620" cm="1">
        <f t="array" aca="1" ref="V22" ca="1">IF(AUTOEVENTO="Manual",ROUND(SUMPRODUCT((CÁLCULO!$M$15:$M$165=EVENTOS!$C22)*(OFFSET(CÁLCULO!$AI$15:$AI$165,0,V$13))),2),0)</f>
        <v>0</v>
      </c>
      <c r="W22" s="620" cm="1">
        <f t="array" aca="1" ref="W22" ca="1">IF(AUTOEVENTO="Manual",ROUND(SUMPRODUCT((CÁLCULO!$M$15:$M$165=EVENTOS!$C22)*(OFFSET(CÁLCULO!$AI$15:$AI$165,0,W$13))),2),0)</f>
        <v>0</v>
      </c>
      <c r="X22" s="620" cm="1">
        <f t="array" aca="1" ref="X22" ca="1">IF(AUTOEVENTO="Manual",ROUND(SUMPRODUCT((CÁLCULO!$M$15:$M$165=EVENTOS!$C22)*(OFFSET(CÁLCULO!$AI$15:$AI$165,0,X$13))),2),0)</f>
        <v>0</v>
      </c>
      <c r="Y22" s="620" cm="1">
        <f t="array" aca="1" ref="Y22" ca="1">IF(AUTOEVENTO="Manual",ROUND(SUMPRODUCT((CÁLCULO!$M$15:$M$165=EVENTOS!$C22)*(OFFSET(CÁLCULO!$AI$15:$AI$165,0,Y$13))),2),0)</f>
        <v>0</v>
      </c>
    </row>
    <row r="23" spans="1:25" x14ac:dyDescent="0.25">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IF(AUTOEVENTO="Manual",ROUND(SUMPRODUCT((CÁLCULO!$M$15:$M$165=EVENTOS!$C23)*(OFFSET(CÁLCULO!$AI$15:$AI$165,0,E$13))),2),0)</f>
        <v>0</v>
      </c>
      <c r="F23" s="183">
        <f ca="1">IF(AUTOEVENTO="Manual",ROUND(SUMPRODUCT((CÁLCULO!$M$15:$M$165=EVENTOS!$C23)*(OFFSET(CÁLCULO!$AI$15,0,1):OFFSET(CÁLCULO!$BB$165,0,-1))),2),0)</f>
        <v>0</v>
      </c>
      <c r="G23" s="621" t="str">
        <f t="shared" ca="1" si="5"/>
        <v/>
      </c>
      <c r="H23" s="620" cm="1">
        <f t="array" aca="1" ref="H23" ca="1">IF(AUTOEVENTO="Manual",ROUND(SUMPRODUCT((CÁLCULO!$M$15:$M$165=EVENTOS!$C23)*(OFFSET(CÁLCULO!$AI$15:$AI$165,0,H$13))),2),0)</f>
        <v>0</v>
      </c>
      <c r="I23" s="620" cm="1">
        <f t="array" aca="1" ref="I23" ca="1">IF(AUTOEVENTO="Manual",ROUND(SUMPRODUCT((CÁLCULO!$M$15:$M$165=EVENTOS!$C23)*(OFFSET(CÁLCULO!$AI$15:$AI$165,0,I$13))),2),0)</f>
        <v>0</v>
      </c>
      <c r="J23" s="620" cm="1">
        <f t="array" aca="1" ref="J23" ca="1">IF(AUTOEVENTO="Manual",ROUND(SUMPRODUCT((CÁLCULO!$M$15:$M$165=EVENTOS!$C23)*(OFFSET(CÁLCULO!$AI$15:$AI$165,0,J$13))),2),0)</f>
        <v>0</v>
      </c>
      <c r="K23" s="620" cm="1">
        <f t="array" aca="1" ref="K23" ca="1">IF(AUTOEVENTO="Manual",ROUND(SUMPRODUCT((CÁLCULO!$M$15:$M$165=EVENTOS!$C23)*(OFFSET(CÁLCULO!$AI$15:$AI$165,0,K$13))),2),0)</f>
        <v>0</v>
      </c>
      <c r="L23" s="620" cm="1">
        <f t="array" aca="1" ref="L23" ca="1">IF(AUTOEVENTO="Manual",ROUND(SUMPRODUCT((CÁLCULO!$M$15:$M$165=EVENTOS!$C23)*(OFFSET(CÁLCULO!$AI$15:$AI$165,0,L$13))),2),0)</f>
        <v>0</v>
      </c>
      <c r="M23" s="620" cm="1">
        <f t="array" aca="1" ref="M23" ca="1">IF(AUTOEVENTO="Manual",ROUND(SUMPRODUCT((CÁLCULO!$M$15:$M$165=EVENTOS!$C23)*(OFFSET(CÁLCULO!$AI$15:$AI$165,0,M$13))),2),0)</f>
        <v>0</v>
      </c>
      <c r="N23" s="620" cm="1">
        <f t="array" aca="1" ref="N23" ca="1">IF(AUTOEVENTO="Manual",ROUND(SUMPRODUCT((CÁLCULO!$M$15:$M$165=EVENTOS!$C23)*(OFFSET(CÁLCULO!$AI$15:$AI$165,0,N$13))),2),0)</f>
        <v>0</v>
      </c>
      <c r="O23" s="620" cm="1">
        <f t="array" aca="1" ref="O23" ca="1">IF(AUTOEVENTO="Manual",ROUND(SUMPRODUCT((CÁLCULO!$M$15:$M$165=EVENTOS!$C23)*(OFFSET(CÁLCULO!$AI$15:$AI$165,0,O$13))),2),0)</f>
        <v>0</v>
      </c>
      <c r="P23" s="620" cm="1">
        <f t="array" aca="1" ref="P23" ca="1">IF(AUTOEVENTO="Manual",ROUND(SUMPRODUCT((CÁLCULO!$M$15:$M$165=EVENTOS!$C23)*(OFFSET(CÁLCULO!$AI$15:$AI$165,0,P$13))),2),0)</f>
        <v>0</v>
      </c>
      <c r="Q23" s="620" cm="1">
        <f t="array" aca="1" ref="Q23" ca="1">IF(AUTOEVENTO="Manual",ROUND(SUMPRODUCT((CÁLCULO!$M$15:$M$165=EVENTOS!$C23)*(OFFSET(CÁLCULO!$AI$15:$AI$165,0,Q$13))),2),0)</f>
        <v>0</v>
      </c>
      <c r="R23" s="620" cm="1">
        <f t="array" aca="1" ref="R23" ca="1">IF(AUTOEVENTO="Manual",ROUND(SUMPRODUCT((CÁLCULO!$M$15:$M$165=EVENTOS!$C23)*(OFFSET(CÁLCULO!$AI$15:$AI$165,0,R$13))),2),0)</f>
        <v>0</v>
      </c>
      <c r="S23" s="620" cm="1">
        <f t="array" aca="1" ref="S23" ca="1">IF(AUTOEVENTO="Manual",ROUND(SUMPRODUCT((CÁLCULO!$M$15:$M$165=EVENTOS!$C23)*(OFFSET(CÁLCULO!$AI$15:$AI$165,0,S$13))),2),0)</f>
        <v>0</v>
      </c>
      <c r="T23" s="620" cm="1">
        <f t="array" aca="1" ref="T23" ca="1">IF(AUTOEVENTO="Manual",ROUND(SUMPRODUCT((CÁLCULO!$M$15:$M$165=EVENTOS!$C23)*(OFFSET(CÁLCULO!$AI$15:$AI$165,0,T$13))),2),0)</f>
        <v>0</v>
      </c>
      <c r="U23" s="620" cm="1">
        <f t="array" aca="1" ref="U23" ca="1">IF(AUTOEVENTO="Manual",ROUND(SUMPRODUCT((CÁLCULO!$M$15:$M$165=EVENTOS!$C23)*(OFFSET(CÁLCULO!$AI$15:$AI$165,0,U$13))),2),0)</f>
        <v>0</v>
      </c>
      <c r="V23" s="620" cm="1">
        <f t="array" aca="1" ref="V23" ca="1">IF(AUTOEVENTO="Manual",ROUND(SUMPRODUCT((CÁLCULO!$M$15:$M$165=EVENTOS!$C23)*(OFFSET(CÁLCULO!$AI$15:$AI$165,0,V$13))),2),0)</f>
        <v>0</v>
      </c>
      <c r="W23" s="620" cm="1">
        <f t="array" aca="1" ref="W23" ca="1">IF(AUTOEVENTO="Manual",ROUND(SUMPRODUCT((CÁLCULO!$M$15:$M$165=EVENTOS!$C23)*(OFFSET(CÁLCULO!$AI$15:$AI$165,0,W$13))),2),0)</f>
        <v>0</v>
      </c>
      <c r="X23" s="620" cm="1">
        <f t="array" aca="1" ref="X23" ca="1">IF(AUTOEVENTO="Manual",ROUND(SUMPRODUCT((CÁLCULO!$M$15:$M$165=EVENTOS!$C23)*(OFFSET(CÁLCULO!$AI$15:$AI$165,0,X$13))),2),0)</f>
        <v>0</v>
      </c>
      <c r="Y23" s="620" cm="1">
        <f t="array" aca="1" ref="Y23" ca="1">IF(AUTOEVENTO="Manual",ROUND(SUMPRODUCT((CÁLCULO!$M$15:$M$165=EVENTOS!$C23)*(OFFSET(CÁLCULO!$AI$15:$AI$165,0,Y$13))),2),0)</f>
        <v>0</v>
      </c>
    </row>
    <row r="24" spans="1:25" x14ac:dyDescent="0.25">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IF(AUTOEVENTO="Manual",ROUND(SUMPRODUCT((CÁLCULO!$M$15:$M$165=EVENTOS!$C24)*(OFFSET(CÁLCULO!$AI$15:$AI$165,0,E$13))),2),0)</f>
        <v>0</v>
      </c>
      <c r="F24" s="183">
        <f ca="1">IF(AUTOEVENTO="Manual",ROUND(SUMPRODUCT((CÁLCULO!$M$15:$M$165=EVENTOS!$C24)*(OFFSET(CÁLCULO!$AI$15,0,1):OFFSET(CÁLCULO!$BB$165,0,-1))),2),0)</f>
        <v>0</v>
      </c>
      <c r="G24" s="621" t="str">
        <f t="shared" ca="1" si="5"/>
        <v/>
      </c>
      <c r="H24" s="620" cm="1">
        <f t="array" aca="1" ref="H24" ca="1">IF(AUTOEVENTO="Manual",ROUND(SUMPRODUCT((CÁLCULO!$M$15:$M$165=EVENTOS!$C24)*(OFFSET(CÁLCULO!$AI$15:$AI$165,0,H$13))),2),0)</f>
        <v>0</v>
      </c>
      <c r="I24" s="620" cm="1">
        <f t="array" aca="1" ref="I24" ca="1">IF(AUTOEVENTO="Manual",ROUND(SUMPRODUCT((CÁLCULO!$M$15:$M$165=EVENTOS!$C24)*(OFFSET(CÁLCULO!$AI$15:$AI$165,0,I$13))),2),0)</f>
        <v>0</v>
      </c>
      <c r="J24" s="620" cm="1">
        <f t="array" aca="1" ref="J24" ca="1">IF(AUTOEVENTO="Manual",ROUND(SUMPRODUCT((CÁLCULO!$M$15:$M$165=EVENTOS!$C24)*(OFFSET(CÁLCULO!$AI$15:$AI$165,0,J$13))),2),0)</f>
        <v>0</v>
      </c>
      <c r="K24" s="620" cm="1">
        <f t="array" aca="1" ref="K24" ca="1">IF(AUTOEVENTO="Manual",ROUND(SUMPRODUCT((CÁLCULO!$M$15:$M$165=EVENTOS!$C24)*(OFFSET(CÁLCULO!$AI$15:$AI$165,0,K$13))),2),0)</f>
        <v>0</v>
      </c>
      <c r="L24" s="620" cm="1">
        <f t="array" aca="1" ref="L24" ca="1">IF(AUTOEVENTO="Manual",ROUND(SUMPRODUCT((CÁLCULO!$M$15:$M$165=EVENTOS!$C24)*(OFFSET(CÁLCULO!$AI$15:$AI$165,0,L$13))),2),0)</f>
        <v>0</v>
      </c>
      <c r="M24" s="620" cm="1">
        <f t="array" aca="1" ref="M24" ca="1">IF(AUTOEVENTO="Manual",ROUND(SUMPRODUCT((CÁLCULO!$M$15:$M$165=EVENTOS!$C24)*(OFFSET(CÁLCULO!$AI$15:$AI$165,0,M$13))),2),0)</f>
        <v>0</v>
      </c>
      <c r="N24" s="620" cm="1">
        <f t="array" aca="1" ref="N24" ca="1">IF(AUTOEVENTO="Manual",ROUND(SUMPRODUCT((CÁLCULO!$M$15:$M$165=EVENTOS!$C24)*(OFFSET(CÁLCULO!$AI$15:$AI$165,0,N$13))),2),0)</f>
        <v>0</v>
      </c>
      <c r="O24" s="620" cm="1">
        <f t="array" aca="1" ref="O24" ca="1">IF(AUTOEVENTO="Manual",ROUND(SUMPRODUCT((CÁLCULO!$M$15:$M$165=EVENTOS!$C24)*(OFFSET(CÁLCULO!$AI$15:$AI$165,0,O$13))),2),0)</f>
        <v>0</v>
      </c>
      <c r="P24" s="620" cm="1">
        <f t="array" aca="1" ref="P24" ca="1">IF(AUTOEVENTO="Manual",ROUND(SUMPRODUCT((CÁLCULO!$M$15:$M$165=EVENTOS!$C24)*(OFFSET(CÁLCULO!$AI$15:$AI$165,0,P$13))),2),0)</f>
        <v>0</v>
      </c>
      <c r="Q24" s="620" cm="1">
        <f t="array" aca="1" ref="Q24" ca="1">IF(AUTOEVENTO="Manual",ROUND(SUMPRODUCT((CÁLCULO!$M$15:$M$165=EVENTOS!$C24)*(OFFSET(CÁLCULO!$AI$15:$AI$165,0,Q$13))),2),0)</f>
        <v>0</v>
      </c>
      <c r="R24" s="620" cm="1">
        <f t="array" aca="1" ref="R24" ca="1">IF(AUTOEVENTO="Manual",ROUND(SUMPRODUCT((CÁLCULO!$M$15:$M$165=EVENTOS!$C24)*(OFFSET(CÁLCULO!$AI$15:$AI$165,0,R$13))),2),0)</f>
        <v>0</v>
      </c>
      <c r="S24" s="620" cm="1">
        <f t="array" aca="1" ref="S24" ca="1">IF(AUTOEVENTO="Manual",ROUND(SUMPRODUCT((CÁLCULO!$M$15:$M$165=EVENTOS!$C24)*(OFFSET(CÁLCULO!$AI$15:$AI$165,0,S$13))),2),0)</f>
        <v>0</v>
      </c>
      <c r="T24" s="620" cm="1">
        <f t="array" aca="1" ref="T24" ca="1">IF(AUTOEVENTO="Manual",ROUND(SUMPRODUCT((CÁLCULO!$M$15:$M$165=EVENTOS!$C24)*(OFFSET(CÁLCULO!$AI$15:$AI$165,0,T$13))),2),0)</f>
        <v>0</v>
      </c>
      <c r="U24" s="620" cm="1">
        <f t="array" aca="1" ref="U24" ca="1">IF(AUTOEVENTO="Manual",ROUND(SUMPRODUCT((CÁLCULO!$M$15:$M$165=EVENTOS!$C24)*(OFFSET(CÁLCULO!$AI$15:$AI$165,0,U$13))),2),0)</f>
        <v>0</v>
      </c>
      <c r="V24" s="620" cm="1">
        <f t="array" aca="1" ref="V24" ca="1">IF(AUTOEVENTO="Manual",ROUND(SUMPRODUCT((CÁLCULO!$M$15:$M$165=EVENTOS!$C24)*(OFFSET(CÁLCULO!$AI$15:$AI$165,0,V$13))),2),0)</f>
        <v>0</v>
      </c>
      <c r="W24" s="620" cm="1">
        <f t="array" aca="1" ref="W24" ca="1">IF(AUTOEVENTO="Manual",ROUND(SUMPRODUCT((CÁLCULO!$M$15:$M$165=EVENTOS!$C24)*(OFFSET(CÁLCULO!$AI$15:$AI$165,0,W$13))),2),0)</f>
        <v>0</v>
      </c>
      <c r="X24" s="620" cm="1">
        <f t="array" aca="1" ref="X24" ca="1">IF(AUTOEVENTO="Manual",ROUND(SUMPRODUCT((CÁLCULO!$M$15:$M$165=EVENTOS!$C24)*(OFFSET(CÁLCULO!$AI$15:$AI$165,0,X$13))),2),0)</f>
        <v>0</v>
      </c>
      <c r="Y24" s="620" cm="1">
        <f t="array" aca="1" ref="Y24" ca="1">IF(AUTOEVENTO="Manual",ROUND(SUMPRODUCT((CÁLCULO!$M$15:$M$165=EVENTOS!$C24)*(OFFSET(CÁLCULO!$AI$15:$AI$165,0,Y$13))),2),0)</f>
        <v>0</v>
      </c>
    </row>
    <row r="25" spans="1:25" x14ac:dyDescent="0.25">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IF(AUTOEVENTO="Manual",ROUND(SUMPRODUCT((CÁLCULO!$M$15:$M$165=EVENTOS!$C25)*(OFFSET(CÁLCULO!$AI$15:$AI$165,0,E$13))),2),0)</f>
        <v>0</v>
      </c>
      <c r="F25" s="183">
        <f ca="1">IF(AUTOEVENTO="Manual",ROUND(SUMPRODUCT((CÁLCULO!$M$15:$M$165=EVENTOS!$C25)*(OFFSET(CÁLCULO!$AI$15,0,1):OFFSET(CÁLCULO!$BB$165,0,-1))),2),0)</f>
        <v>0</v>
      </c>
      <c r="G25" s="621" t="str">
        <f t="shared" ca="1" si="5"/>
        <v/>
      </c>
      <c r="H25" s="620" cm="1">
        <f t="array" aca="1" ref="H25" ca="1">IF(AUTOEVENTO="Manual",ROUND(SUMPRODUCT((CÁLCULO!$M$15:$M$165=EVENTOS!$C25)*(OFFSET(CÁLCULO!$AI$15:$AI$165,0,H$13))),2),0)</f>
        <v>0</v>
      </c>
      <c r="I25" s="620" cm="1">
        <f t="array" aca="1" ref="I25" ca="1">IF(AUTOEVENTO="Manual",ROUND(SUMPRODUCT((CÁLCULO!$M$15:$M$165=EVENTOS!$C25)*(OFFSET(CÁLCULO!$AI$15:$AI$165,0,I$13))),2),0)</f>
        <v>0</v>
      </c>
      <c r="J25" s="620" cm="1">
        <f t="array" aca="1" ref="J25" ca="1">IF(AUTOEVENTO="Manual",ROUND(SUMPRODUCT((CÁLCULO!$M$15:$M$165=EVENTOS!$C25)*(OFFSET(CÁLCULO!$AI$15:$AI$165,0,J$13))),2),0)</f>
        <v>0</v>
      </c>
      <c r="K25" s="620" cm="1">
        <f t="array" aca="1" ref="K25" ca="1">IF(AUTOEVENTO="Manual",ROUND(SUMPRODUCT((CÁLCULO!$M$15:$M$165=EVENTOS!$C25)*(OFFSET(CÁLCULO!$AI$15:$AI$165,0,K$13))),2),0)</f>
        <v>0</v>
      </c>
      <c r="L25" s="620" cm="1">
        <f t="array" aca="1" ref="L25" ca="1">IF(AUTOEVENTO="Manual",ROUND(SUMPRODUCT((CÁLCULO!$M$15:$M$165=EVENTOS!$C25)*(OFFSET(CÁLCULO!$AI$15:$AI$165,0,L$13))),2),0)</f>
        <v>0</v>
      </c>
      <c r="M25" s="620" cm="1">
        <f t="array" aca="1" ref="M25" ca="1">IF(AUTOEVENTO="Manual",ROUND(SUMPRODUCT((CÁLCULO!$M$15:$M$165=EVENTOS!$C25)*(OFFSET(CÁLCULO!$AI$15:$AI$165,0,M$13))),2),0)</f>
        <v>0</v>
      </c>
      <c r="N25" s="620" cm="1">
        <f t="array" aca="1" ref="N25" ca="1">IF(AUTOEVENTO="Manual",ROUND(SUMPRODUCT((CÁLCULO!$M$15:$M$165=EVENTOS!$C25)*(OFFSET(CÁLCULO!$AI$15:$AI$165,0,N$13))),2),0)</f>
        <v>0</v>
      </c>
      <c r="O25" s="620" cm="1">
        <f t="array" aca="1" ref="O25" ca="1">IF(AUTOEVENTO="Manual",ROUND(SUMPRODUCT((CÁLCULO!$M$15:$M$165=EVENTOS!$C25)*(OFFSET(CÁLCULO!$AI$15:$AI$165,0,O$13))),2),0)</f>
        <v>0</v>
      </c>
      <c r="P25" s="620" cm="1">
        <f t="array" aca="1" ref="P25" ca="1">IF(AUTOEVENTO="Manual",ROUND(SUMPRODUCT((CÁLCULO!$M$15:$M$165=EVENTOS!$C25)*(OFFSET(CÁLCULO!$AI$15:$AI$165,0,P$13))),2),0)</f>
        <v>0</v>
      </c>
      <c r="Q25" s="620" cm="1">
        <f t="array" aca="1" ref="Q25" ca="1">IF(AUTOEVENTO="Manual",ROUND(SUMPRODUCT((CÁLCULO!$M$15:$M$165=EVENTOS!$C25)*(OFFSET(CÁLCULO!$AI$15:$AI$165,0,Q$13))),2),0)</f>
        <v>0</v>
      </c>
      <c r="R25" s="620" cm="1">
        <f t="array" aca="1" ref="R25" ca="1">IF(AUTOEVENTO="Manual",ROUND(SUMPRODUCT((CÁLCULO!$M$15:$M$165=EVENTOS!$C25)*(OFFSET(CÁLCULO!$AI$15:$AI$165,0,R$13))),2),0)</f>
        <v>0</v>
      </c>
      <c r="S25" s="620" cm="1">
        <f t="array" aca="1" ref="S25" ca="1">IF(AUTOEVENTO="Manual",ROUND(SUMPRODUCT((CÁLCULO!$M$15:$M$165=EVENTOS!$C25)*(OFFSET(CÁLCULO!$AI$15:$AI$165,0,S$13))),2),0)</f>
        <v>0</v>
      </c>
      <c r="T25" s="620" cm="1">
        <f t="array" aca="1" ref="T25" ca="1">IF(AUTOEVENTO="Manual",ROUND(SUMPRODUCT((CÁLCULO!$M$15:$M$165=EVENTOS!$C25)*(OFFSET(CÁLCULO!$AI$15:$AI$165,0,T$13))),2),0)</f>
        <v>0</v>
      </c>
      <c r="U25" s="620" cm="1">
        <f t="array" aca="1" ref="U25" ca="1">IF(AUTOEVENTO="Manual",ROUND(SUMPRODUCT((CÁLCULO!$M$15:$M$165=EVENTOS!$C25)*(OFFSET(CÁLCULO!$AI$15:$AI$165,0,U$13))),2),0)</f>
        <v>0</v>
      </c>
      <c r="V25" s="620" cm="1">
        <f t="array" aca="1" ref="V25" ca="1">IF(AUTOEVENTO="Manual",ROUND(SUMPRODUCT((CÁLCULO!$M$15:$M$165=EVENTOS!$C25)*(OFFSET(CÁLCULO!$AI$15:$AI$165,0,V$13))),2),0)</f>
        <v>0</v>
      </c>
      <c r="W25" s="620" cm="1">
        <f t="array" aca="1" ref="W25" ca="1">IF(AUTOEVENTO="Manual",ROUND(SUMPRODUCT((CÁLCULO!$M$15:$M$165=EVENTOS!$C25)*(OFFSET(CÁLCULO!$AI$15:$AI$165,0,W$13))),2),0)</f>
        <v>0</v>
      </c>
      <c r="X25" s="620" cm="1">
        <f t="array" aca="1" ref="X25" ca="1">IF(AUTOEVENTO="Manual",ROUND(SUMPRODUCT((CÁLCULO!$M$15:$M$165=EVENTOS!$C25)*(OFFSET(CÁLCULO!$AI$15:$AI$165,0,X$13))),2),0)</f>
        <v>0</v>
      </c>
      <c r="Y25" s="620" cm="1">
        <f t="array" aca="1" ref="Y25" ca="1">IF(AUTOEVENTO="Manual",ROUND(SUMPRODUCT((CÁLCULO!$M$15:$M$165=EVENTOS!$C25)*(OFFSET(CÁLCULO!$AI$15:$AI$165,0,Y$13))),2),0)</f>
        <v>0</v>
      </c>
    </row>
    <row r="26" spans="1:25" x14ac:dyDescent="0.25">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IF(AUTOEVENTO="Manual",ROUND(SUMPRODUCT((CÁLCULO!$M$15:$M$165=EVENTOS!$C26)*(OFFSET(CÁLCULO!$AI$15:$AI$165,0,E$13))),2),0)</f>
        <v>0</v>
      </c>
      <c r="F26" s="183">
        <f ca="1">IF(AUTOEVENTO="Manual",ROUND(SUMPRODUCT((CÁLCULO!$M$15:$M$165=EVENTOS!$C26)*(OFFSET(CÁLCULO!$AI$15,0,1):OFFSET(CÁLCULO!$BB$165,0,-1))),2),0)</f>
        <v>0</v>
      </c>
      <c r="G26" s="621" t="str">
        <f t="shared" ca="1" si="5"/>
        <v/>
      </c>
      <c r="H26" s="620" cm="1">
        <f t="array" aca="1" ref="H26" ca="1">IF(AUTOEVENTO="Manual",ROUND(SUMPRODUCT((CÁLCULO!$M$15:$M$165=EVENTOS!$C26)*(OFFSET(CÁLCULO!$AI$15:$AI$165,0,H$13))),2),0)</f>
        <v>0</v>
      </c>
      <c r="I26" s="620" cm="1">
        <f t="array" aca="1" ref="I26" ca="1">IF(AUTOEVENTO="Manual",ROUND(SUMPRODUCT((CÁLCULO!$M$15:$M$165=EVENTOS!$C26)*(OFFSET(CÁLCULO!$AI$15:$AI$165,0,I$13))),2),0)</f>
        <v>0</v>
      </c>
      <c r="J26" s="620" cm="1">
        <f t="array" aca="1" ref="J26" ca="1">IF(AUTOEVENTO="Manual",ROUND(SUMPRODUCT((CÁLCULO!$M$15:$M$165=EVENTOS!$C26)*(OFFSET(CÁLCULO!$AI$15:$AI$165,0,J$13))),2),0)</f>
        <v>0</v>
      </c>
      <c r="K26" s="620" cm="1">
        <f t="array" aca="1" ref="K26" ca="1">IF(AUTOEVENTO="Manual",ROUND(SUMPRODUCT((CÁLCULO!$M$15:$M$165=EVENTOS!$C26)*(OFFSET(CÁLCULO!$AI$15:$AI$165,0,K$13))),2),0)</f>
        <v>0</v>
      </c>
      <c r="L26" s="620" cm="1">
        <f t="array" aca="1" ref="L26" ca="1">IF(AUTOEVENTO="Manual",ROUND(SUMPRODUCT((CÁLCULO!$M$15:$M$165=EVENTOS!$C26)*(OFFSET(CÁLCULO!$AI$15:$AI$165,0,L$13))),2),0)</f>
        <v>0</v>
      </c>
      <c r="M26" s="620" cm="1">
        <f t="array" aca="1" ref="M26" ca="1">IF(AUTOEVENTO="Manual",ROUND(SUMPRODUCT((CÁLCULO!$M$15:$M$165=EVENTOS!$C26)*(OFFSET(CÁLCULO!$AI$15:$AI$165,0,M$13))),2),0)</f>
        <v>0</v>
      </c>
      <c r="N26" s="620" cm="1">
        <f t="array" aca="1" ref="N26" ca="1">IF(AUTOEVENTO="Manual",ROUND(SUMPRODUCT((CÁLCULO!$M$15:$M$165=EVENTOS!$C26)*(OFFSET(CÁLCULO!$AI$15:$AI$165,0,N$13))),2),0)</f>
        <v>0</v>
      </c>
      <c r="O26" s="620" cm="1">
        <f t="array" aca="1" ref="O26" ca="1">IF(AUTOEVENTO="Manual",ROUND(SUMPRODUCT((CÁLCULO!$M$15:$M$165=EVENTOS!$C26)*(OFFSET(CÁLCULO!$AI$15:$AI$165,0,O$13))),2),0)</f>
        <v>0</v>
      </c>
      <c r="P26" s="620" cm="1">
        <f t="array" aca="1" ref="P26" ca="1">IF(AUTOEVENTO="Manual",ROUND(SUMPRODUCT((CÁLCULO!$M$15:$M$165=EVENTOS!$C26)*(OFFSET(CÁLCULO!$AI$15:$AI$165,0,P$13))),2),0)</f>
        <v>0</v>
      </c>
      <c r="Q26" s="620" cm="1">
        <f t="array" aca="1" ref="Q26" ca="1">IF(AUTOEVENTO="Manual",ROUND(SUMPRODUCT((CÁLCULO!$M$15:$M$165=EVENTOS!$C26)*(OFFSET(CÁLCULO!$AI$15:$AI$165,0,Q$13))),2),0)</f>
        <v>0</v>
      </c>
      <c r="R26" s="620" cm="1">
        <f t="array" aca="1" ref="R26" ca="1">IF(AUTOEVENTO="Manual",ROUND(SUMPRODUCT((CÁLCULO!$M$15:$M$165=EVENTOS!$C26)*(OFFSET(CÁLCULO!$AI$15:$AI$165,0,R$13))),2),0)</f>
        <v>0</v>
      </c>
      <c r="S26" s="620" cm="1">
        <f t="array" aca="1" ref="S26" ca="1">IF(AUTOEVENTO="Manual",ROUND(SUMPRODUCT((CÁLCULO!$M$15:$M$165=EVENTOS!$C26)*(OFFSET(CÁLCULO!$AI$15:$AI$165,0,S$13))),2),0)</f>
        <v>0</v>
      </c>
      <c r="T26" s="620" cm="1">
        <f t="array" aca="1" ref="T26" ca="1">IF(AUTOEVENTO="Manual",ROUND(SUMPRODUCT((CÁLCULO!$M$15:$M$165=EVENTOS!$C26)*(OFFSET(CÁLCULO!$AI$15:$AI$165,0,T$13))),2),0)</f>
        <v>0</v>
      </c>
      <c r="U26" s="620" cm="1">
        <f t="array" aca="1" ref="U26" ca="1">IF(AUTOEVENTO="Manual",ROUND(SUMPRODUCT((CÁLCULO!$M$15:$M$165=EVENTOS!$C26)*(OFFSET(CÁLCULO!$AI$15:$AI$165,0,U$13))),2),0)</f>
        <v>0</v>
      </c>
      <c r="V26" s="620" cm="1">
        <f t="array" aca="1" ref="V26" ca="1">IF(AUTOEVENTO="Manual",ROUND(SUMPRODUCT((CÁLCULO!$M$15:$M$165=EVENTOS!$C26)*(OFFSET(CÁLCULO!$AI$15:$AI$165,0,V$13))),2),0)</f>
        <v>0</v>
      </c>
      <c r="W26" s="620" cm="1">
        <f t="array" aca="1" ref="W26" ca="1">IF(AUTOEVENTO="Manual",ROUND(SUMPRODUCT((CÁLCULO!$M$15:$M$165=EVENTOS!$C26)*(OFFSET(CÁLCULO!$AI$15:$AI$165,0,W$13))),2),0)</f>
        <v>0</v>
      </c>
      <c r="X26" s="620" cm="1">
        <f t="array" aca="1" ref="X26" ca="1">IF(AUTOEVENTO="Manual",ROUND(SUMPRODUCT((CÁLCULO!$M$15:$M$165=EVENTOS!$C26)*(OFFSET(CÁLCULO!$AI$15:$AI$165,0,X$13))),2),0)</f>
        <v>0</v>
      </c>
      <c r="Y26" s="620" cm="1">
        <f t="array" aca="1" ref="Y26" ca="1">IF(AUTOEVENTO="Manual",ROUND(SUMPRODUCT((CÁLCULO!$M$15:$M$165=EVENTOS!$C26)*(OFFSET(CÁLCULO!$AI$15:$AI$165,0,Y$13))),2),0)</f>
        <v>0</v>
      </c>
    </row>
    <row r="27" spans="1:25" x14ac:dyDescent="0.25">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IF(AUTOEVENTO="Manual",ROUND(SUMPRODUCT((CÁLCULO!$M$15:$M$165=EVENTOS!$C27)*(OFFSET(CÁLCULO!$AI$15:$AI$165,0,E$13))),2),0)</f>
        <v>0</v>
      </c>
      <c r="F27" s="183">
        <f ca="1">IF(AUTOEVENTO="Manual",ROUND(SUMPRODUCT((CÁLCULO!$M$15:$M$165=EVENTOS!$C27)*(OFFSET(CÁLCULO!$AI$15,0,1):OFFSET(CÁLCULO!$BB$165,0,-1))),2),0)</f>
        <v>0</v>
      </c>
      <c r="G27" s="621" t="str">
        <f t="shared" ca="1" si="5"/>
        <v/>
      </c>
      <c r="H27" s="620" cm="1">
        <f t="array" aca="1" ref="H27" ca="1">IF(AUTOEVENTO="Manual",ROUND(SUMPRODUCT((CÁLCULO!$M$15:$M$165=EVENTOS!$C27)*(OFFSET(CÁLCULO!$AI$15:$AI$165,0,H$13))),2),0)</f>
        <v>0</v>
      </c>
      <c r="I27" s="620" cm="1">
        <f t="array" aca="1" ref="I27" ca="1">IF(AUTOEVENTO="Manual",ROUND(SUMPRODUCT((CÁLCULO!$M$15:$M$165=EVENTOS!$C27)*(OFFSET(CÁLCULO!$AI$15:$AI$165,0,I$13))),2),0)</f>
        <v>0</v>
      </c>
      <c r="J27" s="620" cm="1">
        <f t="array" aca="1" ref="J27" ca="1">IF(AUTOEVENTO="Manual",ROUND(SUMPRODUCT((CÁLCULO!$M$15:$M$165=EVENTOS!$C27)*(OFFSET(CÁLCULO!$AI$15:$AI$165,0,J$13))),2),0)</f>
        <v>0</v>
      </c>
      <c r="K27" s="620" cm="1">
        <f t="array" aca="1" ref="K27" ca="1">IF(AUTOEVENTO="Manual",ROUND(SUMPRODUCT((CÁLCULO!$M$15:$M$165=EVENTOS!$C27)*(OFFSET(CÁLCULO!$AI$15:$AI$165,0,K$13))),2),0)</f>
        <v>0</v>
      </c>
      <c r="L27" s="620" cm="1">
        <f t="array" aca="1" ref="L27" ca="1">IF(AUTOEVENTO="Manual",ROUND(SUMPRODUCT((CÁLCULO!$M$15:$M$165=EVENTOS!$C27)*(OFFSET(CÁLCULO!$AI$15:$AI$165,0,L$13))),2),0)</f>
        <v>0</v>
      </c>
      <c r="M27" s="620" cm="1">
        <f t="array" aca="1" ref="M27" ca="1">IF(AUTOEVENTO="Manual",ROUND(SUMPRODUCT((CÁLCULO!$M$15:$M$165=EVENTOS!$C27)*(OFFSET(CÁLCULO!$AI$15:$AI$165,0,M$13))),2),0)</f>
        <v>0</v>
      </c>
      <c r="N27" s="620" cm="1">
        <f t="array" aca="1" ref="N27" ca="1">IF(AUTOEVENTO="Manual",ROUND(SUMPRODUCT((CÁLCULO!$M$15:$M$165=EVENTOS!$C27)*(OFFSET(CÁLCULO!$AI$15:$AI$165,0,N$13))),2),0)</f>
        <v>0</v>
      </c>
      <c r="O27" s="620" cm="1">
        <f t="array" aca="1" ref="O27" ca="1">IF(AUTOEVENTO="Manual",ROUND(SUMPRODUCT((CÁLCULO!$M$15:$M$165=EVENTOS!$C27)*(OFFSET(CÁLCULO!$AI$15:$AI$165,0,O$13))),2),0)</f>
        <v>0</v>
      </c>
      <c r="P27" s="620" cm="1">
        <f t="array" aca="1" ref="P27" ca="1">IF(AUTOEVENTO="Manual",ROUND(SUMPRODUCT((CÁLCULO!$M$15:$M$165=EVENTOS!$C27)*(OFFSET(CÁLCULO!$AI$15:$AI$165,0,P$13))),2),0)</f>
        <v>0</v>
      </c>
      <c r="Q27" s="620" cm="1">
        <f t="array" aca="1" ref="Q27" ca="1">IF(AUTOEVENTO="Manual",ROUND(SUMPRODUCT((CÁLCULO!$M$15:$M$165=EVENTOS!$C27)*(OFFSET(CÁLCULO!$AI$15:$AI$165,0,Q$13))),2),0)</f>
        <v>0</v>
      </c>
      <c r="R27" s="620" cm="1">
        <f t="array" aca="1" ref="R27" ca="1">IF(AUTOEVENTO="Manual",ROUND(SUMPRODUCT((CÁLCULO!$M$15:$M$165=EVENTOS!$C27)*(OFFSET(CÁLCULO!$AI$15:$AI$165,0,R$13))),2),0)</f>
        <v>0</v>
      </c>
      <c r="S27" s="620" cm="1">
        <f t="array" aca="1" ref="S27" ca="1">IF(AUTOEVENTO="Manual",ROUND(SUMPRODUCT((CÁLCULO!$M$15:$M$165=EVENTOS!$C27)*(OFFSET(CÁLCULO!$AI$15:$AI$165,0,S$13))),2),0)</f>
        <v>0</v>
      </c>
      <c r="T27" s="620" cm="1">
        <f t="array" aca="1" ref="T27" ca="1">IF(AUTOEVENTO="Manual",ROUND(SUMPRODUCT((CÁLCULO!$M$15:$M$165=EVENTOS!$C27)*(OFFSET(CÁLCULO!$AI$15:$AI$165,0,T$13))),2),0)</f>
        <v>0</v>
      </c>
      <c r="U27" s="620" cm="1">
        <f t="array" aca="1" ref="U27" ca="1">IF(AUTOEVENTO="Manual",ROUND(SUMPRODUCT((CÁLCULO!$M$15:$M$165=EVENTOS!$C27)*(OFFSET(CÁLCULO!$AI$15:$AI$165,0,U$13))),2),0)</f>
        <v>0</v>
      </c>
      <c r="V27" s="620" cm="1">
        <f t="array" aca="1" ref="V27" ca="1">IF(AUTOEVENTO="Manual",ROUND(SUMPRODUCT((CÁLCULO!$M$15:$M$165=EVENTOS!$C27)*(OFFSET(CÁLCULO!$AI$15:$AI$165,0,V$13))),2),0)</f>
        <v>0</v>
      </c>
      <c r="W27" s="620" cm="1">
        <f t="array" aca="1" ref="W27" ca="1">IF(AUTOEVENTO="Manual",ROUND(SUMPRODUCT((CÁLCULO!$M$15:$M$165=EVENTOS!$C27)*(OFFSET(CÁLCULO!$AI$15:$AI$165,0,W$13))),2),0)</f>
        <v>0</v>
      </c>
      <c r="X27" s="620" cm="1">
        <f t="array" aca="1" ref="X27" ca="1">IF(AUTOEVENTO="Manual",ROUND(SUMPRODUCT((CÁLCULO!$M$15:$M$165=EVENTOS!$C27)*(OFFSET(CÁLCULO!$AI$15:$AI$165,0,X$13))),2),0)</f>
        <v>0</v>
      </c>
      <c r="Y27" s="620" cm="1">
        <f t="array" aca="1" ref="Y27" ca="1">IF(AUTOEVENTO="Manual",ROUND(SUMPRODUCT((CÁLCULO!$M$15:$M$165=EVENTOS!$C27)*(OFFSET(CÁLCULO!$AI$15:$AI$165,0,Y$13))),2),0)</f>
        <v>0</v>
      </c>
    </row>
    <row r="28" spans="1:25" x14ac:dyDescent="0.25">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IF(AUTOEVENTO="Manual",ROUND(SUMPRODUCT((CÁLCULO!$M$15:$M$165=EVENTOS!$C28)*(OFFSET(CÁLCULO!$AI$15:$AI$165,0,E$13))),2),0)</f>
        <v>0</v>
      </c>
      <c r="F28" s="183">
        <f ca="1">IF(AUTOEVENTO="Manual",ROUND(SUMPRODUCT((CÁLCULO!$M$15:$M$165=EVENTOS!$C28)*(OFFSET(CÁLCULO!$AI$15,0,1):OFFSET(CÁLCULO!$BB$165,0,-1))),2),0)</f>
        <v>0</v>
      </c>
      <c r="G28" s="621" t="str">
        <f t="shared" ca="1" si="5"/>
        <v/>
      </c>
      <c r="H28" s="620" cm="1">
        <f t="array" aca="1" ref="H28" ca="1">IF(AUTOEVENTO="Manual",ROUND(SUMPRODUCT((CÁLCULO!$M$15:$M$165=EVENTOS!$C28)*(OFFSET(CÁLCULO!$AI$15:$AI$165,0,H$13))),2),0)</f>
        <v>0</v>
      </c>
      <c r="I28" s="620" cm="1">
        <f t="array" aca="1" ref="I28" ca="1">IF(AUTOEVENTO="Manual",ROUND(SUMPRODUCT((CÁLCULO!$M$15:$M$165=EVENTOS!$C28)*(OFFSET(CÁLCULO!$AI$15:$AI$165,0,I$13))),2),0)</f>
        <v>0</v>
      </c>
      <c r="J28" s="620" cm="1">
        <f t="array" aca="1" ref="J28" ca="1">IF(AUTOEVENTO="Manual",ROUND(SUMPRODUCT((CÁLCULO!$M$15:$M$165=EVENTOS!$C28)*(OFFSET(CÁLCULO!$AI$15:$AI$165,0,J$13))),2),0)</f>
        <v>0</v>
      </c>
      <c r="K28" s="620" cm="1">
        <f t="array" aca="1" ref="K28" ca="1">IF(AUTOEVENTO="Manual",ROUND(SUMPRODUCT((CÁLCULO!$M$15:$M$165=EVENTOS!$C28)*(OFFSET(CÁLCULO!$AI$15:$AI$165,0,K$13))),2),0)</f>
        <v>0</v>
      </c>
      <c r="L28" s="620" cm="1">
        <f t="array" aca="1" ref="L28" ca="1">IF(AUTOEVENTO="Manual",ROUND(SUMPRODUCT((CÁLCULO!$M$15:$M$165=EVENTOS!$C28)*(OFFSET(CÁLCULO!$AI$15:$AI$165,0,L$13))),2),0)</f>
        <v>0</v>
      </c>
      <c r="M28" s="620" cm="1">
        <f t="array" aca="1" ref="M28" ca="1">IF(AUTOEVENTO="Manual",ROUND(SUMPRODUCT((CÁLCULO!$M$15:$M$165=EVENTOS!$C28)*(OFFSET(CÁLCULO!$AI$15:$AI$165,0,M$13))),2),0)</f>
        <v>0</v>
      </c>
      <c r="N28" s="620" cm="1">
        <f t="array" aca="1" ref="N28" ca="1">IF(AUTOEVENTO="Manual",ROUND(SUMPRODUCT((CÁLCULO!$M$15:$M$165=EVENTOS!$C28)*(OFFSET(CÁLCULO!$AI$15:$AI$165,0,N$13))),2),0)</f>
        <v>0</v>
      </c>
      <c r="O28" s="620" cm="1">
        <f t="array" aca="1" ref="O28" ca="1">IF(AUTOEVENTO="Manual",ROUND(SUMPRODUCT((CÁLCULO!$M$15:$M$165=EVENTOS!$C28)*(OFFSET(CÁLCULO!$AI$15:$AI$165,0,O$13))),2),0)</f>
        <v>0</v>
      </c>
      <c r="P28" s="620" cm="1">
        <f t="array" aca="1" ref="P28" ca="1">IF(AUTOEVENTO="Manual",ROUND(SUMPRODUCT((CÁLCULO!$M$15:$M$165=EVENTOS!$C28)*(OFFSET(CÁLCULO!$AI$15:$AI$165,0,P$13))),2),0)</f>
        <v>0</v>
      </c>
      <c r="Q28" s="620" cm="1">
        <f t="array" aca="1" ref="Q28" ca="1">IF(AUTOEVENTO="Manual",ROUND(SUMPRODUCT((CÁLCULO!$M$15:$M$165=EVENTOS!$C28)*(OFFSET(CÁLCULO!$AI$15:$AI$165,0,Q$13))),2),0)</f>
        <v>0</v>
      </c>
      <c r="R28" s="620" cm="1">
        <f t="array" aca="1" ref="R28" ca="1">IF(AUTOEVENTO="Manual",ROUND(SUMPRODUCT((CÁLCULO!$M$15:$M$165=EVENTOS!$C28)*(OFFSET(CÁLCULO!$AI$15:$AI$165,0,R$13))),2),0)</f>
        <v>0</v>
      </c>
      <c r="S28" s="620" cm="1">
        <f t="array" aca="1" ref="S28" ca="1">IF(AUTOEVENTO="Manual",ROUND(SUMPRODUCT((CÁLCULO!$M$15:$M$165=EVENTOS!$C28)*(OFFSET(CÁLCULO!$AI$15:$AI$165,0,S$13))),2),0)</f>
        <v>0</v>
      </c>
      <c r="T28" s="620" cm="1">
        <f t="array" aca="1" ref="T28" ca="1">IF(AUTOEVENTO="Manual",ROUND(SUMPRODUCT((CÁLCULO!$M$15:$M$165=EVENTOS!$C28)*(OFFSET(CÁLCULO!$AI$15:$AI$165,0,T$13))),2),0)</f>
        <v>0</v>
      </c>
      <c r="U28" s="620" cm="1">
        <f t="array" aca="1" ref="U28" ca="1">IF(AUTOEVENTO="Manual",ROUND(SUMPRODUCT((CÁLCULO!$M$15:$M$165=EVENTOS!$C28)*(OFFSET(CÁLCULO!$AI$15:$AI$165,0,U$13))),2),0)</f>
        <v>0</v>
      </c>
      <c r="V28" s="620" cm="1">
        <f t="array" aca="1" ref="V28" ca="1">IF(AUTOEVENTO="Manual",ROUND(SUMPRODUCT((CÁLCULO!$M$15:$M$165=EVENTOS!$C28)*(OFFSET(CÁLCULO!$AI$15:$AI$165,0,V$13))),2),0)</f>
        <v>0</v>
      </c>
      <c r="W28" s="620" cm="1">
        <f t="array" aca="1" ref="W28" ca="1">IF(AUTOEVENTO="Manual",ROUND(SUMPRODUCT((CÁLCULO!$M$15:$M$165=EVENTOS!$C28)*(OFFSET(CÁLCULO!$AI$15:$AI$165,0,W$13))),2),0)</f>
        <v>0</v>
      </c>
      <c r="X28" s="620" cm="1">
        <f t="array" aca="1" ref="X28" ca="1">IF(AUTOEVENTO="Manual",ROUND(SUMPRODUCT((CÁLCULO!$M$15:$M$165=EVENTOS!$C28)*(OFFSET(CÁLCULO!$AI$15:$AI$165,0,X$13))),2),0)</f>
        <v>0</v>
      </c>
      <c r="Y28" s="620" cm="1">
        <f t="array" aca="1" ref="Y28" ca="1">IF(AUTOEVENTO="Manual",ROUND(SUMPRODUCT((CÁLCULO!$M$15:$M$165=EVENTOS!$C28)*(OFFSET(CÁLCULO!$AI$15:$AI$165,0,Y$13))),2),0)</f>
        <v>0</v>
      </c>
    </row>
    <row r="29" spans="1:25" x14ac:dyDescent="0.25">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IF(AUTOEVENTO="Manual",ROUND(SUMPRODUCT((CÁLCULO!$M$15:$M$165=EVENTOS!$C29)*(OFFSET(CÁLCULO!$AI$15:$AI$165,0,E$13))),2),0)</f>
        <v>0</v>
      </c>
      <c r="F29" s="183">
        <f ca="1">IF(AUTOEVENTO="Manual",ROUND(SUMPRODUCT((CÁLCULO!$M$15:$M$165=EVENTOS!$C29)*(OFFSET(CÁLCULO!$AI$15,0,1):OFFSET(CÁLCULO!$BB$165,0,-1))),2),0)</f>
        <v>0</v>
      </c>
      <c r="G29" s="621" t="str">
        <f t="shared" ca="1" si="5"/>
        <v/>
      </c>
      <c r="H29" s="620" cm="1">
        <f t="array" aca="1" ref="H29" ca="1">IF(AUTOEVENTO="Manual",ROUND(SUMPRODUCT((CÁLCULO!$M$15:$M$165=EVENTOS!$C29)*(OFFSET(CÁLCULO!$AI$15:$AI$165,0,H$13))),2),0)</f>
        <v>0</v>
      </c>
      <c r="I29" s="620" cm="1">
        <f t="array" aca="1" ref="I29" ca="1">IF(AUTOEVENTO="Manual",ROUND(SUMPRODUCT((CÁLCULO!$M$15:$M$165=EVENTOS!$C29)*(OFFSET(CÁLCULO!$AI$15:$AI$165,0,I$13))),2),0)</f>
        <v>0</v>
      </c>
      <c r="J29" s="620" cm="1">
        <f t="array" aca="1" ref="J29" ca="1">IF(AUTOEVENTO="Manual",ROUND(SUMPRODUCT((CÁLCULO!$M$15:$M$165=EVENTOS!$C29)*(OFFSET(CÁLCULO!$AI$15:$AI$165,0,J$13))),2),0)</f>
        <v>0</v>
      </c>
      <c r="K29" s="620" cm="1">
        <f t="array" aca="1" ref="K29" ca="1">IF(AUTOEVENTO="Manual",ROUND(SUMPRODUCT((CÁLCULO!$M$15:$M$165=EVENTOS!$C29)*(OFFSET(CÁLCULO!$AI$15:$AI$165,0,K$13))),2),0)</f>
        <v>0</v>
      </c>
      <c r="L29" s="620" cm="1">
        <f t="array" aca="1" ref="L29" ca="1">IF(AUTOEVENTO="Manual",ROUND(SUMPRODUCT((CÁLCULO!$M$15:$M$165=EVENTOS!$C29)*(OFFSET(CÁLCULO!$AI$15:$AI$165,0,L$13))),2),0)</f>
        <v>0</v>
      </c>
      <c r="M29" s="620" cm="1">
        <f t="array" aca="1" ref="M29" ca="1">IF(AUTOEVENTO="Manual",ROUND(SUMPRODUCT((CÁLCULO!$M$15:$M$165=EVENTOS!$C29)*(OFFSET(CÁLCULO!$AI$15:$AI$165,0,M$13))),2),0)</f>
        <v>0</v>
      </c>
      <c r="N29" s="620" cm="1">
        <f t="array" aca="1" ref="N29" ca="1">IF(AUTOEVENTO="Manual",ROUND(SUMPRODUCT((CÁLCULO!$M$15:$M$165=EVENTOS!$C29)*(OFFSET(CÁLCULO!$AI$15:$AI$165,0,N$13))),2),0)</f>
        <v>0</v>
      </c>
      <c r="O29" s="620" cm="1">
        <f t="array" aca="1" ref="O29" ca="1">IF(AUTOEVENTO="Manual",ROUND(SUMPRODUCT((CÁLCULO!$M$15:$M$165=EVENTOS!$C29)*(OFFSET(CÁLCULO!$AI$15:$AI$165,0,O$13))),2),0)</f>
        <v>0</v>
      </c>
      <c r="P29" s="620" cm="1">
        <f t="array" aca="1" ref="P29" ca="1">IF(AUTOEVENTO="Manual",ROUND(SUMPRODUCT((CÁLCULO!$M$15:$M$165=EVENTOS!$C29)*(OFFSET(CÁLCULO!$AI$15:$AI$165,0,P$13))),2),0)</f>
        <v>0</v>
      </c>
      <c r="Q29" s="620" cm="1">
        <f t="array" aca="1" ref="Q29" ca="1">IF(AUTOEVENTO="Manual",ROUND(SUMPRODUCT((CÁLCULO!$M$15:$M$165=EVENTOS!$C29)*(OFFSET(CÁLCULO!$AI$15:$AI$165,0,Q$13))),2),0)</f>
        <v>0</v>
      </c>
      <c r="R29" s="620" cm="1">
        <f t="array" aca="1" ref="R29" ca="1">IF(AUTOEVENTO="Manual",ROUND(SUMPRODUCT((CÁLCULO!$M$15:$M$165=EVENTOS!$C29)*(OFFSET(CÁLCULO!$AI$15:$AI$165,0,R$13))),2),0)</f>
        <v>0</v>
      </c>
      <c r="S29" s="620" cm="1">
        <f t="array" aca="1" ref="S29" ca="1">IF(AUTOEVENTO="Manual",ROUND(SUMPRODUCT((CÁLCULO!$M$15:$M$165=EVENTOS!$C29)*(OFFSET(CÁLCULO!$AI$15:$AI$165,0,S$13))),2),0)</f>
        <v>0</v>
      </c>
      <c r="T29" s="620" cm="1">
        <f t="array" aca="1" ref="T29" ca="1">IF(AUTOEVENTO="Manual",ROUND(SUMPRODUCT((CÁLCULO!$M$15:$M$165=EVENTOS!$C29)*(OFFSET(CÁLCULO!$AI$15:$AI$165,0,T$13))),2),0)</f>
        <v>0</v>
      </c>
      <c r="U29" s="620" cm="1">
        <f t="array" aca="1" ref="U29" ca="1">IF(AUTOEVENTO="Manual",ROUND(SUMPRODUCT((CÁLCULO!$M$15:$M$165=EVENTOS!$C29)*(OFFSET(CÁLCULO!$AI$15:$AI$165,0,U$13))),2),0)</f>
        <v>0</v>
      </c>
      <c r="V29" s="620" cm="1">
        <f t="array" aca="1" ref="V29" ca="1">IF(AUTOEVENTO="Manual",ROUND(SUMPRODUCT((CÁLCULO!$M$15:$M$165=EVENTOS!$C29)*(OFFSET(CÁLCULO!$AI$15:$AI$165,0,V$13))),2),0)</f>
        <v>0</v>
      </c>
      <c r="W29" s="620" cm="1">
        <f t="array" aca="1" ref="W29" ca="1">IF(AUTOEVENTO="Manual",ROUND(SUMPRODUCT((CÁLCULO!$M$15:$M$165=EVENTOS!$C29)*(OFFSET(CÁLCULO!$AI$15:$AI$165,0,W$13))),2),0)</f>
        <v>0</v>
      </c>
      <c r="X29" s="620" cm="1">
        <f t="array" aca="1" ref="X29" ca="1">IF(AUTOEVENTO="Manual",ROUND(SUMPRODUCT((CÁLCULO!$M$15:$M$165=EVENTOS!$C29)*(OFFSET(CÁLCULO!$AI$15:$AI$165,0,X$13))),2),0)</f>
        <v>0</v>
      </c>
      <c r="Y29" s="620" cm="1">
        <f t="array" aca="1" ref="Y29" ca="1">IF(AUTOEVENTO="Manual",ROUND(SUMPRODUCT((CÁLCULO!$M$15:$M$165=EVENTOS!$C29)*(OFFSET(CÁLCULO!$AI$15:$AI$165,0,Y$13))),2),0)</f>
        <v>0</v>
      </c>
    </row>
    <row r="30" spans="1:25" x14ac:dyDescent="0.25">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IF(AUTOEVENTO="Manual",ROUND(SUMPRODUCT((CÁLCULO!$M$15:$M$165=EVENTOS!$C30)*(OFFSET(CÁLCULO!$AI$15:$AI$165,0,E$13))),2),0)</f>
        <v>0</v>
      </c>
      <c r="F30" s="183">
        <f ca="1">IF(AUTOEVENTO="Manual",ROUND(SUMPRODUCT((CÁLCULO!$M$15:$M$165=EVENTOS!$C30)*(OFFSET(CÁLCULO!$AI$15,0,1):OFFSET(CÁLCULO!$BB$165,0,-1))),2),0)</f>
        <v>0</v>
      </c>
      <c r="G30" s="621" t="str">
        <f t="shared" ca="1" si="5"/>
        <v/>
      </c>
      <c r="H30" s="620" cm="1">
        <f t="array" aca="1" ref="H30" ca="1">IF(AUTOEVENTO="Manual",ROUND(SUMPRODUCT((CÁLCULO!$M$15:$M$165=EVENTOS!$C30)*(OFFSET(CÁLCULO!$AI$15:$AI$165,0,H$13))),2),0)</f>
        <v>0</v>
      </c>
      <c r="I30" s="620" cm="1">
        <f t="array" aca="1" ref="I30" ca="1">IF(AUTOEVENTO="Manual",ROUND(SUMPRODUCT((CÁLCULO!$M$15:$M$165=EVENTOS!$C30)*(OFFSET(CÁLCULO!$AI$15:$AI$165,0,I$13))),2),0)</f>
        <v>0</v>
      </c>
      <c r="J30" s="620" cm="1">
        <f t="array" aca="1" ref="J30" ca="1">IF(AUTOEVENTO="Manual",ROUND(SUMPRODUCT((CÁLCULO!$M$15:$M$165=EVENTOS!$C30)*(OFFSET(CÁLCULO!$AI$15:$AI$165,0,J$13))),2),0)</f>
        <v>0</v>
      </c>
      <c r="K30" s="620" cm="1">
        <f t="array" aca="1" ref="K30" ca="1">IF(AUTOEVENTO="Manual",ROUND(SUMPRODUCT((CÁLCULO!$M$15:$M$165=EVENTOS!$C30)*(OFFSET(CÁLCULO!$AI$15:$AI$165,0,K$13))),2),0)</f>
        <v>0</v>
      </c>
      <c r="L30" s="620" cm="1">
        <f t="array" aca="1" ref="L30" ca="1">IF(AUTOEVENTO="Manual",ROUND(SUMPRODUCT((CÁLCULO!$M$15:$M$165=EVENTOS!$C30)*(OFFSET(CÁLCULO!$AI$15:$AI$165,0,L$13))),2),0)</f>
        <v>0</v>
      </c>
      <c r="M30" s="620" cm="1">
        <f t="array" aca="1" ref="M30" ca="1">IF(AUTOEVENTO="Manual",ROUND(SUMPRODUCT((CÁLCULO!$M$15:$M$165=EVENTOS!$C30)*(OFFSET(CÁLCULO!$AI$15:$AI$165,0,M$13))),2),0)</f>
        <v>0</v>
      </c>
      <c r="N30" s="620" cm="1">
        <f t="array" aca="1" ref="N30" ca="1">IF(AUTOEVENTO="Manual",ROUND(SUMPRODUCT((CÁLCULO!$M$15:$M$165=EVENTOS!$C30)*(OFFSET(CÁLCULO!$AI$15:$AI$165,0,N$13))),2),0)</f>
        <v>0</v>
      </c>
      <c r="O30" s="620" cm="1">
        <f t="array" aca="1" ref="O30" ca="1">IF(AUTOEVENTO="Manual",ROUND(SUMPRODUCT((CÁLCULO!$M$15:$M$165=EVENTOS!$C30)*(OFFSET(CÁLCULO!$AI$15:$AI$165,0,O$13))),2),0)</f>
        <v>0</v>
      </c>
      <c r="P30" s="620" cm="1">
        <f t="array" aca="1" ref="P30" ca="1">IF(AUTOEVENTO="Manual",ROUND(SUMPRODUCT((CÁLCULO!$M$15:$M$165=EVENTOS!$C30)*(OFFSET(CÁLCULO!$AI$15:$AI$165,0,P$13))),2),0)</f>
        <v>0</v>
      </c>
      <c r="Q30" s="620" cm="1">
        <f t="array" aca="1" ref="Q30" ca="1">IF(AUTOEVENTO="Manual",ROUND(SUMPRODUCT((CÁLCULO!$M$15:$M$165=EVENTOS!$C30)*(OFFSET(CÁLCULO!$AI$15:$AI$165,0,Q$13))),2),0)</f>
        <v>0</v>
      </c>
      <c r="R30" s="620" cm="1">
        <f t="array" aca="1" ref="R30" ca="1">IF(AUTOEVENTO="Manual",ROUND(SUMPRODUCT((CÁLCULO!$M$15:$M$165=EVENTOS!$C30)*(OFFSET(CÁLCULO!$AI$15:$AI$165,0,R$13))),2),0)</f>
        <v>0</v>
      </c>
      <c r="S30" s="620" cm="1">
        <f t="array" aca="1" ref="S30" ca="1">IF(AUTOEVENTO="Manual",ROUND(SUMPRODUCT((CÁLCULO!$M$15:$M$165=EVENTOS!$C30)*(OFFSET(CÁLCULO!$AI$15:$AI$165,0,S$13))),2),0)</f>
        <v>0</v>
      </c>
      <c r="T30" s="620" cm="1">
        <f t="array" aca="1" ref="T30" ca="1">IF(AUTOEVENTO="Manual",ROUND(SUMPRODUCT((CÁLCULO!$M$15:$M$165=EVENTOS!$C30)*(OFFSET(CÁLCULO!$AI$15:$AI$165,0,T$13))),2),0)</f>
        <v>0</v>
      </c>
      <c r="U30" s="620" cm="1">
        <f t="array" aca="1" ref="U30" ca="1">IF(AUTOEVENTO="Manual",ROUND(SUMPRODUCT((CÁLCULO!$M$15:$M$165=EVENTOS!$C30)*(OFFSET(CÁLCULO!$AI$15:$AI$165,0,U$13))),2),0)</f>
        <v>0</v>
      </c>
      <c r="V30" s="620" cm="1">
        <f t="array" aca="1" ref="V30" ca="1">IF(AUTOEVENTO="Manual",ROUND(SUMPRODUCT((CÁLCULO!$M$15:$M$165=EVENTOS!$C30)*(OFFSET(CÁLCULO!$AI$15:$AI$165,0,V$13))),2),0)</f>
        <v>0</v>
      </c>
      <c r="W30" s="620" cm="1">
        <f t="array" aca="1" ref="W30" ca="1">IF(AUTOEVENTO="Manual",ROUND(SUMPRODUCT((CÁLCULO!$M$15:$M$165=EVENTOS!$C30)*(OFFSET(CÁLCULO!$AI$15:$AI$165,0,W$13))),2),0)</f>
        <v>0</v>
      </c>
      <c r="X30" s="620" cm="1">
        <f t="array" aca="1" ref="X30" ca="1">IF(AUTOEVENTO="Manual",ROUND(SUMPRODUCT((CÁLCULO!$M$15:$M$165=EVENTOS!$C30)*(OFFSET(CÁLCULO!$AI$15:$AI$165,0,X$13))),2),0)</f>
        <v>0</v>
      </c>
      <c r="Y30" s="620" cm="1">
        <f t="array" aca="1" ref="Y30" ca="1">IF(AUTOEVENTO="Manual",ROUND(SUMPRODUCT((CÁLCULO!$M$15:$M$165=EVENTOS!$C30)*(OFFSET(CÁLCULO!$AI$15:$AI$165,0,Y$13))),2),0)</f>
        <v>0</v>
      </c>
    </row>
    <row r="31" spans="1:25" x14ac:dyDescent="0.25">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IF(AUTOEVENTO="Manual",ROUND(SUMPRODUCT((CÁLCULO!$M$15:$M$165=EVENTOS!$C31)*(OFFSET(CÁLCULO!$AI$15:$AI$165,0,E$13))),2),0)</f>
        <v>0</v>
      </c>
      <c r="F31" s="183">
        <f ca="1">IF(AUTOEVENTO="Manual",ROUND(SUMPRODUCT((CÁLCULO!$M$15:$M$165=EVENTOS!$C31)*(OFFSET(CÁLCULO!$AI$15,0,1):OFFSET(CÁLCULO!$BB$165,0,-1))),2),0)</f>
        <v>0</v>
      </c>
      <c r="G31" s="621" t="str">
        <f t="shared" ca="1" si="5"/>
        <v/>
      </c>
      <c r="H31" s="620" cm="1">
        <f t="array" aca="1" ref="H31" ca="1">IF(AUTOEVENTO="Manual",ROUND(SUMPRODUCT((CÁLCULO!$M$15:$M$165=EVENTOS!$C31)*(OFFSET(CÁLCULO!$AI$15:$AI$165,0,H$13))),2),0)</f>
        <v>0</v>
      </c>
      <c r="I31" s="620" cm="1">
        <f t="array" aca="1" ref="I31" ca="1">IF(AUTOEVENTO="Manual",ROUND(SUMPRODUCT((CÁLCULO!$M$15:$M$165=EVENTOS!$C31)*(OFFSET(CÁLCULO!$AI$15:$AI$165,0,I$13))),2),0)</f>
        <v>0</v>
      </c>
      <c r="J31" s="620" cm="1">
        <f t="array" aca="1" ref="J31" ca="1">IF(AUTOEVENTO="Manual",ROUND(SUMPRODUCT((CÁLCULO!$M$15:$M$165=EVENTOS!$C31)*(OFFSET(CÁLCULO!$AI$15:$AI$165,0,J$13))),2),0)</f>
        <v>0</v>
      </c>
      <c r="K31" s="620" cm="1">
        <f t="array" aca="1" ref="K31" ca="1">IF(AUTOEVENTO="Manual",ROUND(SUMPRODUCT((CÁLCULO!$M$15:$M$165=EVENTOS!$C31)*(OFFSET(CÁLCULO!$AI$15:$AI$165,0,K$13))),2),0)</f>
        <v>0</v>
      </c>
      <c r="L31" s="620" cm="1">
        <f t="array" aca="1" ref="L31" ca="1">IF(AUTOEVENTO="Manual",ROUND(SUMPRODUCT((CÁLCULO!$M$15:$M$165=EVENTOS!$C31)*(OFFSET(CÁLCULO!$AI$15:$AI$165,0,L$13))),2),0)</f>
        <v>0</v>
      </c>
      <c r="M31" s="620" cm="1">
        <f t="array" aca="1" ref="M31" ca="1">IF(AUTOEVENTO="Manual",ROUND(SUMPRODUCT((CÁLCULO!$M$15:$M$165=EVENTOS!$C31)*(OFFSET(CÁLCULO!$AI$15:$AI$165,0,M$13))),2),0)</f>
        <v>0</v>
      </c>
      <c r="N31" s="620" cm="1">
        <f t="array" aca="1" ref="N31" ca="1">IF(AUTOEVENTO="Manual",ROUND(SUMPRODUCT((CÁLCULO!$M$15:$M$165=EVENTOS!$C31)*(OFFSET(CÁLCULO!$AI$15:$AI$165,0,N$13))),2),0)</f>
        <v>0</v>
      </c>
      <c r="O31" s="620" cm="1">
        <f t="array" aca="1" ref="O31" ca="1">IF(AUTOEVENTO="Manual",ROUND(SUMPRODUCT((CÁLCULO!$M$15:$M$165=EVENTOS!$C31)*(OFFSET(CÁLCULO!$AI$15:$AI$165,0,O$13))),2),0)</f>
        <v>0</v>
      </c>
      <c r="P31" s="620" cm="1">
        <f t="array" aca="1" ref="P31" ca="1">IF(AUTOEVENTO="Manual",ROUND(SUMPRODUCT((CÁLCULO!$M$15:$M$165=EVENTOS!$C31)*(OFFSET(CÁLCULO!$AI$15:$AI$165,0,P$13))),2),0)</f>
        <v>0</v>
      </c>
      <c r="Q31" s="620" cm="1">
        <f t="array" aca="1" ref="Q31" ca="1">IF(AUTOEVENTO="Manual",ROUND(SUMPRODUCT((CÁLCULO!$M$15:$M$165=EVENTOS!$C31)*(OFFSET(CÁLCULO!$AI$15:$AI$165,0,Q$13))),2),0)</f>
        <v>0</v>
      </c>
      <c r="R31" s="620" cm="1">
        <f t="array" aca="1" ref="R31" ca="1">IF(AUTOEVENTO="Manual",ROUND(SUMPRODUCT((CÁLCULO!$M$15:$M$165=EVENTOS!$C31)*(OFFSET(CÁLCULO!$AI$15:$AI$165,0,R$13))),2),0)</f>
        <v>0</v>
      </c>
      <c r="S31" s="620" cm="1">
        <f t="array" aca="1" ref="S31" ca="1">IF(AUTOEVENTO="Manual",ROUND(SUMPRODUCT((CÁLCULO!$M$15:$M$165=EVENTOS!$C31)*(OFFSET(CÁLCULO!$AI$15:$AI$165,0,S$13))),2),0)</f>
        <v>0</v>
      </c>
      <c r="T31" s="620" cm="1">
        <f t="array" aca="1" ref="T31" ca="1">IF(AUTOEVENTO="Manual",ROUND(SUMPRODUCT((CÁLCULO!$M$15:$M$165=EVENTOS!$C31)*(OFFSET(CÁLCULO!$AI$15:$AI$165,0,T$13))),2),0)</f>
        <v>0</v>
      </c>
      <c r="U31" s="620" cm="1">
        <f t="array" aca="1" ref="U31" ca="1">IF(AUTOEVENTO="Manual",ROUND(SUMPRODUCT((CÁLCULO!$M$15:$M$165=EVENTOS!$C31)*(OFFSET(CÁLCULO!$AI$15:$AI$165,0,U$13))),2),0)</f>
        <v>0</v>
      </c>
      <c r="V31" s="620" cm="1">
        <f t="array" aca="1" ref="V31" ca="1">IF(AUTOEVENTO="Manual",ROUND(SUMPRODUCT((CÁLCULO!$M$15:$M$165=EVENTOS!$C31)*(OFFSET(CÁLCULO!$AI$15:$AI$165,0,V$13))),2),0)</f>
        <v>0</v>
      </c>
      <c r="W31" s="620" cm="1">
        <f t="array" aca="1" ref="W31" ca="1">IF(AUTOEVENTO="Manual",ROUND(SUMPRODUCT((CÁLCULO!$M$15:$M$165=EVENTOS!$C31)*(OFFSET(CÁLCULO!$AI$15:$AI$165,0,W$13))),2),0)</f>
        <v>0</v>
      </c>
      <c r="X31" s="620" cm="1">
        <f t="array" aca="1" ref="X31" ca="1">IF(AUTOEVENTO="Manual",ROUND(SUMPRODUCT((CÁLCULO!$M$15:$M$165=EVENTOS!$C31)*(OFFSET(CÁLCULO!$AI$15:$AI$165,0,X$13))),2),0)</f>
        <v>0</v>
      </c>
      <c r="Y31" s="620" cm="1">
        <f t="array" aca="1" ref="Y31" ca="1">IF(AUTOEVENTO="Manual",ROUND(SUMPRODUCT((CÁLCULO!$M$15:$M$165=EVENTOS!$C31)*(OFFSET(CÁLCULO!$AI$15:$AI$165,0,Y$13))),2),0)</f>
        <v>0</v>
      </c>
    </row>
    <row r="32" spans="1:25" x14ac:dyDescent="0.25">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IF(AUTOEVENTO="Manual",ROUND(SUMPRODUCT((CÁLCULO!$M$15:$M$165=EVENTOS!$C32)*(OFFSET(CÁLCULO!$AI$15:$AI$165,0,E$13))),2),0)</f>
        <v>0</v>
      </c>
      <c r="F32" s="183">
        <f ca="1">IF(AUTOEVENTO="Manual",ROUND(SUMPRODUCT((CÁLCULO!$M$15:$M$165=EVENTOS!$C32)*(OFFSET(CÁLCULO!$AI$15,0,1):OFFSET(CÁLCULO!$BB$165,0,-1))),2),0)</f>
        <v>0</v>
      </c>
      <c r="G32" s="621" t="str">
        <f t="shared" ca="1" si="5"/>
        <v/>
      </c>
      <c r="H32" s="620" cm="1">
        <f t="array" aca="1" ref="H32" ca="1">IF(AUTOEVENTO="Manual",ROUND(SUMPRODUCT((CÁLCULO!$M$15:$M$165=EVENTOS!$C32)*(OFFSET(CÁLCULO!$AI$15:$AI$165,0,H$13))),2),0)</f>
        <v>0</v>
      </c>
      <c r="I32" s="620" cm="1">
        <f t="array" aca="1" ref="I32" ca="1">IF(AUTOEVENTO="Manual",ROUND(SUMPRODUCT((CÁLCULO!$M$15:$M$165=EVENTOS!$C32)*(OFFSET(CÁLCULO!$AI$15:$AI$165,0,I$13))),2),0)</f>
        <v>0</v>
      </c>
      <c r="J32" s="620" cm="1">
        <f t="array" aca="1" ref="J32" ca="1">IF(AUTOEVENTO="Manual",ROUND(SUMPRODUCT((CÁLCULO!$M$15:$M$165=EVENTOS!$C32)*(OFFSET(CÁLCULO!$AI$15:$AI$165,0,J$13))),2),0)</f>
        <v>0</v>
      </c>
      <c r="K32" s="620" cm="1">
        <f t="array" aca="1" ref="K32" ca="1">IF(AUTOEVENTO="Manual",ROUND(SUMPRODUCT((CÁLCULO!$M$15:$M$165=EVENTOS!$C32)*(OFFSET(CÁLCULO!$AI$15:$AI$165,0,K$13))),2),0)</f>
        <v>0</v>
      </c>
      <c r="L32" s="620" cm="1">
        <f t="array" aca="1" ref="L32" ca="1">IF(AUTOEVENTO="Manual",ROUND(SUMPRODUCT((CÁLCULO!$M$15:$M$165=EVENTOS!$C32)*(OFFSET(CÁLCULO!$AI$15:$AI$165,0,L$13))),2),0)</f>
        <v>0</v>
      </c>
      <c r="M32" s="620" cm="1">
        <f t="array" aca="1" ref="M32" ca="1">IF(AUTOEVENTO="Manual",ROUND(SUMPRODUCT((CÁLCULO!$M$15:$M$165=EVENTOS!$C32)*(OFFSET(CÁLCULO!$AI$15:$AI$165,0,M$13))),2),0)</f>
        <v>0</v>
      </c>
      <c r="N32" s="620" cm="1">
        <f t="array" aca="1" ref="N32" ca="1">IF(AUTOEVENTO="Manual",ROUND(SUMPRODUCT((CÁLCULO!$M$15:$M$165=EVENTOS!$C32)*(OFFSET(CÁLCULO!$AI$15:$AI$165,0,N$13))),2),0)</f>
        <v>0</v>
      </c>
      <c r="O32" s="620" cm="1">
        <f t="array" aca="1" ref="O32" ca="1">IF(AUTOEVENTO="Manual",ROUND(SUMPRODUCT((CÁLCULO!$M$15:$M$165=EVENTOS!$C32)*(OFFSET(CÁLCULO!$AI$15:$AI$165,0,O$13))),2),0)</f>
        <v>0</v>
      </c>
      <c r="P32" s="620" cm="1">
        <f t="array" aca="1" ref="P32" ca="1">IF(AUTOEVENTO="Manual",ROUND(SUMPRODUCT((CÁLCULO!$M$15:$M$165=EVENTOS!$C32)*(OFFSET(CÁLCULO!$AI$15:$AI$165,0,P$13))),2),0)</f>
        <v>0</v>
      </c>
      <c r="Q32" s="620" cm="1">
        <f t="array" aca="1" ref="Q32" ca="1">IF(AUTOEVENTO="Manual",ROUND(SUMPRODUCT((CÁLCULO!$M$15:$M$165=EVENTOS!$C32)*(OFFSET(CÁLCULO!$AI$15:$AI$165,0,Q$13))),2),0)</f>
        <v>0</v>
      </c>
      <c r="R32" s="620" cm="1">
        <f t="array" aca="1" ref="R32" ca="1">IF(AUTOEVENTO="Manual",ROUND(SUMPRODUCT((CÁLCULO!$M$15:$M$165=EVENTOS!$C32)*(OFFSET(CÁLCULO!$AI$15:$AI$165,0,R$13))),2),0)</f>
        <v>0</v>
      </c>
      <c r="S32" s="620" cm="1">
        <f t="array" aca="1" ref="S32" ca="1">IF(AUTOEVENTO="Manual",ROUND(SUMPRODUCT((CÁLCULO!$M$15:$M$165=EVENTOS!$C32)*(OFFSET(CÁLCULO!$AI$15:$AI$165,0,S$13))),2),0)</f>
        <v>0</v>
      </c>
      <c r="T32" s="620" cm="1">
        <f t="array" aca="1" ref="T32" ca="1">IF(AUTOEVENTO="Manual",ROUND(SUMPRODUCT((CÁLCULO!$M$15:$M$165=EVENTOS!$C32)*(OFFSET(CÁLCULO!$AI$15:$AI$165,0,T$13))),2),0)</f>
        <v>0</v>
      </c>
      <c r="U32" s="620" cm="1">
        <f t="array" aca="1" ref="U32" ca="1">IF(AUTOEVENTO="Manual",ROUND(SUMPRODUCT((CÁLCULO!$M$15:$M$165=EVENTOS!$C32)*(OFFSET(CÁLCULO!$AI$15:$AI$165,0,U$13))),2),0)</f>
        <v>0</v>
      </c>
      <c r="V32" s="620" cm="1">
        <f t="array" aca="1" ref="V32" ca="1">IF(AUTOEVENTO="Manual",ROUND(SUMPRODUCT((CÁLCULO!$M$15:$M$165=EVENTOS!$C32)*(OFFSET(CÁLCULO!$AI$15:$AI$165,0,V$13))),2),0)</f>
        <v>0</v>
      </c>
      <c r="W32" s="620" cm="1">
        <f t="array" aca="1" ref="W32" ca="1">IF(AUTOEVENTO="Manual",ROUND(SUMPRODUCT((CÁLCULO!$M$15:$M$165=EVENTOS!$C32)*(OFFSET(CÁLCULO!$AI$15:$AI$165,0,W$13))),2),0)</f>
        <v>0</v>
      </c>
      <c r="X32" s="620" cm="1">
        <f t="array" aca="1" ref="X32" ca="1">IF(AUTOEVENTO="Manual",ROUND(SUMPRODUCT((CÁLCULO!$M$15:$M$165=EVENTOS!$C32)*(OFFSET(CÁLCULO!$AI$15:$AI$165,0,X$13))),2),0)</f>
        <v>0</v>
      </c>
      <c r="Y32" s="620" cm="1">
        <f t="array" aca="1" ref="Y32" ca="1">IF(AUTOEVENTO="Manual",ROUND(SUMPRODUCT((CÁLCULO!$M$15:$M$165=EVENTOS!$C32)*(OFFSET(CÁLCULO!$AI$15:$AI$165,0,Y$13))),2),0)</f>
        <v>0</v>
      </c>
    </row>
    <row r="33" spans="1:25" x14ac:dyDescent="0.25">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IF(AUTOEVENTO="Manual",ROUND(SUMPRODUCT((CÁLCULO!$M$15:$M$165=EVENTOS!$C33)*(OFFSET(CÁLCULO!$AI$15:$AI$165,0,E$13))),2),0)</f>
        <v>0</v>
      </c>
      <c r="F33" s="183">
        <f ca="1">IF(AUTOEVENTO="Manual",ROUND(SUMPRODUCT((CÁLCULO!$M$15:$M$165=EVENTOS!$C33)*(OFFSET(CÁLCULO!$AI$15,0,1):OFFSET(CÁLCULO!$BB$165,0,-1))),2),0)</f>
        <v>0</v>
      </c>
      <c r="G33" s="621" t="str">
        <f t="shared" ca="1" si="5"/>
        <v/>
      </c>
      <c r="H33" s="620" cm="1">
        <f t="array" aca="1" ref="H33" ca="1">IF(AUTOEVENTO="Manual",ROUND(SUMPRODUCT((CÁLCULO!$M$15:$M$165=EVENTOS!$C33)*(OFFSET(CÁLCULO!$AI$15:$AI$165,0,H$13))),2),0)</f>
        <v>0</v>
      </c>
      <c r="I33" s="620" cm="1">
        <f t="array" aca="1" ref="I33" ca="1">IF(AUTOEVENTO="Manual",ROUND(SUMPRODUCT((CÁLCULO!$M$15:$M$165=EVENTOS!$C33)*(OFFSET(CÁLCULO!$AI$15:$AI$165,0,I$13))),2),0)</f>
        <v>0</v>
      </c>
      <c r="J33" s="620" cm="1">
        <f t="array" aca="1" ref="J33" ca="1">IF(AUTOEVENTO="Manual",ROUND(SUMPRODUCT((CÁLCULO!$M$15:$M$165=EVENTOS!$C33)*(OFFSET(CÁLCULO!$AI$15:$AI$165,0,J$13))),2),0)</f>
        <v>0</v>
      </c>
      <c r="K33" s="620" cm="1">
        <f t="array" aca="1" ref="K33" ca="1">IF(AUTOEVENTO="Manual",ROUND(SUMPRODUCT((CÁLCULO!$M$15:$M$165=EVENTOS!$C33)*(OFFSET(CÁLCULO!$AI$15:$AI$165,0,K$13))),2),0)</f>
        <v>0</v>
      </c>
      <c r="L33" s="620" cm="1">
        <f t="array" aca="1" ref="L33" ca="1">IF(AUTOEVENTO="Manual",ROUND(SUMPRODUCT((CÁLCULO!$M$15:$M$165=EVENTOS!$C33)*(OFFSET(CÁLCULO!$AI$15:$AI$165,0,L$13))),2),0)</f>
        <v>0</v>
      </c>
      <c r="M33" s="620" cm="1">
        <f t="array" aca="1" ref="M33" ca="1">IF(AUTOEVENTO="Manual",ROUND(SUMPRODUCT((CÁLCULO!$M$15:$M$165=EVENTOS!$C33)*(OFFSET(CÁLCULO!$AI$15:$AI$165,0,M$13))),2),0)</f>
        <v>0</v>
      </c>
      <c r="N33" s="620" cm="1">
        <f t="array" aca="1" ref="N33" ca="1">IF(AUTOEVENTO="Manual",ROUND(SUMPRODUCT((CÁLCULO!$M$15:$M$165=EVENTOS!$C33)*(OFFSET(CÁLCULO!$AI$15:$AI$165,0,N$13))),2),0)</f>
        <v>0</v>
      </c>
      <c r="O33" s="620" cm="1">
        <f t="array" aca="1" ref="O33" ca="1">IF(AUTOEVENTO="Manual",ROUND(SUMPRODUCT((CÁLCULO!$M$15:$M$165=EVENTOS!$C33)*(OFFSET(CÁLCULO!$AI$15:$AI$165,0,O$13))),2),0)</f>
        <v>0</v>
      </c>
      <c r="P33" s="620" cm="1">
        <f t="array" aca="1" ref="P33" ca="1">IF(AUTOEVENTO="Manual",ROUND(SUMPRODUCT((CÁLCULO!$M$15:$M$165=EVENTOS!$C33)*(OFFSET(CÁLCULO!$AI$15:$AI$165,0,P$13))),2),0)</f>
        <v>0</v>
      </c>
      <c r="Q33" s="620" cm="1">
        <f t="array" aca="1" ref="Q33" ca="1">IF(AUTOEVENTO="Manual",ROUND(SUMPRODUCT((CÁLCULO!$M$15:$M$165=EVENTOS!$C33)*(OFFSET(CÁLCULO!$AI$15:$AI$165,0,Q$13))),2),0)</f>
        <v>0</v>
      </c>
      <c r="R33" s="620" cm="1">
        <f t="array" aca="1" ref="R33" ca="1">IF(AUTOEVENTO="Manual",ROUND(SUMPRODUCT((CÁLCULO!$M$15:$M$165=EVENTOS!$C33)*(OFFSET(CÁLCULO!$AI$15:$AI$165,0,R$13))),2),0)</f>
        <v>0</v>
      </c>
      <c r="S33" s="620" cm="1">
        <f t="array" aca="1" ref="S33" ca="1">IF(AUTOEVENTO="Manual",ROUND(SUMPRODUCT((CÁLCULO!$M$15:$M$165=EVENTOS!$C33)*(OFFSET(CÁLCULO!$AI$15:$AI$165,0,S$13))),2),0)</f>
        <v>0</v>
      </c>
      <c r="T33" s="620" cm="1">
        <f t="array" aca="1" ref="T33" ca="1">IF(AUTOEVENTO="Manual",ROUND(SUMPRODUCT((CÁLCULO!$M$15:$M$165=EVENTOS!$C33)*(OFFSET(CÁLCULO!$AI$15:$AI$165,0,T$13))),2),0)</f>
        <v>0</v>
      </c>
      <c r="U33" s="620" cm="1">
        <f t="array" aca="1" ref="U33" ca="1">IF(AUTOEVENTO="Manual",ROUND(SUMPRODUCT((CÁLCULO!$M$15:$M$165=EVENTOS!$C33)*(OFFSET(CÁLCULO!$AI$15:$AI$165,0,U$13))),2),0)</f>
        <v>0</v>
      </c>
      <c r="V33" s="620" cm="1">
        <f t="array" aca="1" ref="V33" ca="1">IF(AUTOEVENTO="Manual",ROUND(SUMPRODUCT((CÁLCULO!$M$15:$M$165=EVENTOS!$C33)*(OFFSET(CÁLCULO!$AI$15:$AI$165,0,V$13))),2),0)</f>
        <v>0</v>
      </c>
      <c r="W33" s="620" cm="1">
        <f t="array" aca="1" ref="W33" ca="1">IF(AUTOEVENTO="Manual",ROUND(SUMPRODUCT((CÁLCULO!$M$15:$M$165=EVENTOS!$C33)*(OFFSET(CÁLCULO!$AI$15:$AI$165,0,W$13))),2),0)</f>
        <v>0</v>
      </c>
      <c r="X33" s="620" cm="1">
        <f t="array" aca="1" ref="X33" ca="1">IF(AUTOEVENTO="Manual",ROUND(SUMPRODUCT((CÁLCULO!$M$15:$M$165=EVENTOS!$C33)*(OFFSET(CÁLCULO!$AI$15:$AI$165,0,X$13))),2),0)</f>
        <v>0</v>
      </c>
      <c r="Y33" s="620" cm="1">
        <f t="array" aca="1" ref="Y33" ca="1">IF(AUTOEVENTO="Manual",ROUND(SUMPRODUCT((CÁLCULO!$M$15:$M$165=EVENTOS!$C33)*(OFFSET(CÁLCULO!$AI$15:$AI$165,0,Y$13))),2),0)</f>
        <v>0</v>
      </c>
    </row>
    <row r="34" spans="1:25" x14ac:dyDescent="0.25">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IF(AUTOEVENTO="Manual",ROUND(SUMPRODUCT((CÁLCULO!$M$15:$M$165=EVENTOS!$C34)*(OFFSET(CÁLCULO!$AI$15:$AI$165,0,E$13))),2),0)</f>
        <v>0</v>
      </c>
      <c r="F34" s="183">
        <f ca="1">IF(AUTOEVENTO="Manual",ROUND(SUMPRODUCT((CÁLCULO!$M$15:$M$165=EVENTOS!$C34)*(OFFSET(CÁLCULO!$AI$15,0,1):OFFSET(CÁLCULO!$BB$165,0,-1))),2),0)</f>
        <v>0</v>
      </c>
      <c r="G34" s="621" t="str">
        <f t="shared" ca="1" si="5"/>
        <v/>
      </c>
      <c r="H34" s="620" cm="1">
        <f t="array" aca="1" ref="H34" ca="1">IF(AUTOEVENTO="Manual",ROUND(SUMPRODUCT((CÁLCULO!$M$15:$M$165=EVENTOS!$C34)*(OFFSET(CÁLCULO!$AI$15:$AI$165,0,H$13))),2),0)</f>
        <v>0</v>
      </c>
      <c r="I34" s="620" cm="1">
        <f t="array" aca="1" ref="I34" ca="1">IF(AUTOEVENTO="Manual",ROUND(SUMPRODUCT((CÁLCULO!$M$15:$M$165=EVENTOS!$C34)*(OFFSET(CÁLCULO!$AI$15:$AI$165,0,I$13))),2),0)</f>
        <v>0</v>
      </c>
      <c r="J34" s="620" cm="1">
        <f t="array" aca="1" ref="J34" ca="1">IF(AUTOEVENTO="Manual",ROUND(SUMPRODUCT((CÁLCULO!$M$15:$M$165=EVENTOS!$C34)*(OFFSET(CÁLCULO!$AI$15:$AI$165,0,J$13))),2),0)</f>
        <v>0</v>
      </c>
      <c r="K34" s="620" cm="1">
        <f t="array" aca="1" ref="K34" ca="1">IF(AUTOEVENTO="Manual",ROUND(SUMPRODUCT((CÁLCULO!$M$15:$M$165=EVENTOS!$C34)*(OFFSET(CÁLCULO!$AI$15:$AI$165,0,K$13))),2),0)</f>
        <v>0</v>
      </c>
      <c r="L34" s="620" cm="1">
        <f t="array" aca="1" ref="L34" ca="1">IF(AUTOEVENTO="Manual",ROUND(SUMPRODUCT((CÁLCULO!$M$15:$M$165=EVENTOS!$C34)*(OFFSET(CÁLCULO!$AI$15:$AI$165,0,L$13))),2),0)</f>
        <v>0</v>
      </c>
      <c r="M34" s="620" cm="1">
        <f t="array" aca="1" ref="M34" ca="1">IF(AUTOEVENTO="Manual",ROUND(SUMPRODUCT((CÁLCULO!$M$15:$M$165=EVENTOS!$C34)*(OFFSET(CÁLCULO!$AI$15:$AI$165,0,M$13))),2),0)</f>
        <v>0</v>
      </c>
      <c r="N34" s="620" cm="1">
        <f t="array" aca="1" ref="N34" ca="1">IF(AUTOEVENTO="Manual",ROUND(SUMPRODUCT((CÁLCULO!$M$15:$M$165=EVENTOS!$C34)*(OFFSET(CÁLCULO!$AI$15:$AI$165,0,N$13))),2),0)</f>
        <v>0</v>
      </c>
      <c r="O34" s="620" cm="1">
        <f t="array" aca="1" ref="O34" ca="1">IF(AUTOEVENTO="Manual",ROUND(SUMPRODUCT((CÁLCULO!$M$15:$M$165=EVENTOS!$C34)*(OFFSET(CÁLCULO!$AI$15:$AI$165,0,O$13))),2),0)</f>
        <v>0</v>
      </c>
      <c r="P34" s="620" cm="1">
        <f t="array" aca="1" ref="P34" ca="1">IF(AUTOEVENTO="Manual",ROUND(SUMPRODUCT((CÁLCULO!$M$15:$M$165=EVENTOS!$C34)*(OFFSET(CÁLCULO!$AI$15:$AI$165,0,P$13))),2),0)</f>
        <v>0</v>
      </c>
      <c r="Q34" s="620" cm="1">
        <f t="array" aca="1" ref="Q34" ca="1">IF(AUTOEVENTO="Manual",ROUND(SUMPRODUCT((CÁLCULO!$M$15:$M$165=EVENTOS!$C34)*(OFFSET(CÁLCULO!$AI$15:$AI$165,0,Q$13))),2),0)</f>
        <v>0</v>
      </c>
      <c r="R34" s="620" cm="1">
        <f t="array" aca="1" ref="R34" ca="1">IF(AUTOEVENTO="Manual",ROUND(SUMPRODUCT((CÁLCULO!$M$15:$M$165=EVENTOS!$C34)*(OFFSET(CÁLCULO!$AI$15:$AI$165,0,R$13))),2),0)</f>
        <v>0</v>
      </c>
      <c r="S34" s="620" cm="1">
        <f t="array" aca="1" ref="S34" ca="1">IF(AUTOEVENTO="Manual",ROUND(SUMPRODUCT((CÁLCULO!$M$15:$M$165=EVENTOS!$C34)*(OFFSET(CÁLCULO!$AI$15:$AI$165,0,S$13))),2),0)</f>
        <v>0</v>
      </c>
      <c r="T34" s="620" cm="1">
        <f t="array" aca="1" ref="T34" ca="1">IF(AUTOEVENTO="Manual",ROUND(SUMPRODUCT((CÁLCULO!$M$15:$M$165=EVENTOS!$C34)*(OFFSET(CÁLCULO!$AI$15:$AI$165,0,T$13))),2),0)</f>
        <v>0</v>
      </c>
      <c r="U34" s="620" cm="1">
        <f t="array" aca="1" ref="U34" ca="1">IF(AUTOEVENTO="Manual",ROUND(SUMPRODUCT((CÁLCULO!$M$15:$M$165=EVENTOS!$C34)*(OFFSET(CÁLCULO!$AI$15:$AI$165,0,U$13))),2),0)</f>
        <v>0</v>
      </c>
      <c r="V34" s="620" cm="1">
        <f t="array" aca="1" ref="V34" ca="1">IF(AUTOEVENTO="Manual",ROUND(SUMPRODUCT((CÁLCULO!$M$15:$M$165=EVENTOS!$C34)*(OFFSET(CÁLCULO!$AI$15:$AI$165,0,V$13))),2),0)</f>
        <v>0</v>
      </c>
      <c r="W34" s="620" cm="1">
        <f t="array" aca="1" ref="W34" ca="1">IF(AUTOEVENTO="Manual",ROUND(SUMPRODUCT((CÁLCULO!$M$15:$M$165=EVENTOS!$C34)*(OFFSET(CÁLCULO!$AI$15:$AI$165,0,W$13))),2),0)</f>
        <v>0</v>
      </c>
      <c r="X34" s="620" cm="1">
        <f t="array" aca="1" ref="X34" ca="1">IF(AUTOEVENTO="Manual",ROUND(SUMPRODUCT((CÁLCULO!$M$15:$M$165=EVENTOS!$C34)*(OFFSET(CÁLCULO!$AI$15:$AI$165,0,X$13))),2),0)</f>
        <v>0</v>
      </c>
      <c r="Y34" s="620" cm="1">
        <f t="array" aca="1" ref="Y34" ca="1">IF(AUTOEVENTO="Manual",ROUND(SUMPRODUCT((CÁLCULO!$M$15:$M$165=EVENTOS!$C34)*(OFFSET(CÁLCULO!$AI$15:$AI$165,0,Y$13))),2),0)</f>
        <v>0</v>
      </c>
    </row>
    <row r="35" spans="1:25" x14ac:dyDescent="0.25">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IF(AUTOEVENTO="Manual",ROUND(SUMPRODUCT((CÁLCULO!$M$15:$M$165=EVENTOS!$C35)*(OFFSET(CÁLCULO!$AI$15:$AI$165,0,E$13))),2),0)</f>
        <v>0</v>
      </c>
      <c r="F35" s="183">
        <f ca="1">IF(AUTOEVENTO="Manual",ROUND(SUMPRODUCT((CÁLCULO!$M$15:$M$165=EVENTOS!$C35)*(OFFSET(CÁLCULO!$AI$15,0,1):OFFSET(CÁLCULO!$BB$165,0,-1))),2),0)</f>
        <v>0</v>
      </c>
      <c r="G35" s="621" t="str">
        <f t="shared" ca="1" si="5"/>
        <v/>
      </c>
      <c r="H35" s="620" cm="1">
        <f t="array" aca="1" ref="H35" ca="1">IF(AUTOEVENTO="Manual",ROUND(SUMPRODUCT((CÁLCULO!$M$15:$M$165=EVENTOS!$C35)*(OFFSET(CÁLCULO!$AI$15:$AI$165,0,H$13))),2),0)</f>
        <v>0</v>
      </c>
      <c r="I35" s="620" cm="1">
        <f t="array" aca="1" ref="I35" ca="1">IF(AUTOEVENTO="Manual",ROUND(SUMPRODUCT((CÁLCULO!$M$15:$M$165=EVENTOS!$C35)*(OFFSET(CÁLCULO!$AI$15:$AI$165,0,I$13))),2),0)</f>
        <v>0</v>
      </c>
      <c r="J35" s="620" cm="1">
        <f t="array" aca="1" ref="J35" ca="1">IF(AUTOEVENTO="Manual",ROUND(SUMPRODUCT((CÁLCULO!$M$15:$M$165=EVENTOS!$C35)*(OFFSET(CÁLCULO!$AI$15:$AI$165,0,J$13))),2),0)</f>
        <v>0</v>
      </c>
      <c r="K35" s="620" cm="1">
        <f t="array" aca="1" ref="K35" ca="1">IF(AUTOEVENTO="Manual",ROUND(SUMPRODUCT((CÁLCULO!$M$15:$M$165=EVENTOS!$C35)*(OFFSET(CÁLCULO!$AI$15:$AI$165,0,K$13))),2),0)</f>
        <v>0</v>
      </c>
      <c r="L35" s="620" cm="1">
        <f t="array" aca="1" ref="L35" ca="1">IF(AUTOEVENTO="Manual",ROUND(SUMPRODUCT((CÁLCULO!$M$15:$M$165=EVENTOS!$C35)*(OFFSET(CÁLCULO!$AI$15:$AI$165,0,L$13))),2),0)</f>
        <v>0</v>
      </c>
      <c r="M35" s="620" cm="1">
        <f t="array" aca="1" ref="M35" ca="1">IF(AUTOEVENTO="Manual",ROUND(SUMPRODUCT((CÁLCULO!$M$15:$M$165=EVENTOS!$C35)*(OFFSET(CÁLCULO!$AI$15:$AI$165,0,M$13))),2),0)</f>
        <v>0</v>
      </c>
      <c r="N35" s="620" cm="1">
        <f t="array" aca="1" ref="N35" ca="1">IF(AUTOEVENTO="Manual",ROUND(SUMPRODUCT((CÁLCULO!$M$15:$M$165=EVENTOS!$C35)*(OFFSET(CÁLCULO!$AI$15:$AI$165,0,N$13))),2),0)</f>
        <v>0</v>
      </c>
      <c r="O35" s="620" cm="1">
        <f t="array" aca="1" ref="O35" ca="1">IF(AUTOEVENTO="Manual",ROUND(SUMPRODUCT((CÁLCULO!$M$15:$M$165=EVENTOS!$C35)*(OFFSET(CÁLCULO!$AI$15:$AI$165,0,O$13))),2),0)</f>
        <v>0</v>
      </c>
      <c r="P35" s="620" cm="1">
        <f t="array" aca="1" ref="P35" ca="1">IF(AUTOEVENTO="Manual",ROUND(SUMPRODUCT((CÁLCULO!$M$15:$M$165=EVENTOS!$C35)*(OFFSET(CÁLCULO!$AI$15:$AI$165,0,P$13))),2),0)</f>
        <v>0</v>
      </c>
      <c r="Q35" s="620" cm="1">
        <f t="array" aca="1" ref="Q35" ca="1">IF(AUTOEVENTO="Manual",ROUND(SUMPRODUCT((CÁLCULO!$M$15:$M$165=EVENTOS!$C35)*(OFFSET(CÁLCULO!$AI$15:$AI$165,0,Q$13))),2),0)</f>
        <v>0</v>
      </c>
      <c r="R35" s="620" cm="1">
        <f t="array" aca="1" ref="R35" ca="1">IF(AUTOEVENTO="Manual",ROUND(SUMPRODUCT((CÁLCULO!$M$15:$M$165=EVENTOS!$C35)*(OFFSET(CÁLCULO!$AI$15:$AI$165,0,R$13))),2),0)</f>
        <v>0</v>
      </c>
      <c r="S35" s="620" cm="1">
        <f t="array" aca="1" ref="S35" ca="1">IF(AUTOEVENTO="Manual",ROUND(SUMPRODUCT((CÁLCULO!$M$15:$M$165=EVENTOS!$C35)*(OFFSET(CÁLCULO!$AI$15:$AI$165,0,S$13))),2),0)</f>
        <v>0</v>
      </c>
      <c r="T35" s="620" cm="1">
        <f t="array" aca="1" ref="T35" ca="1">IF(AUTOEVENTO="Manual",ROUND(SUMPRODUCT((CÁLCULO!$M$15:$M$165=EVENTOS!$C35)*(OFFSET(CÁLCULO!$AI$15:$AI$165,0,T$13))),2),0)</f>
        <v>0</v>
      </c>
      <c r="U35" s="620" cm="1">
        <f t="array" aca="1" ref="U35" ca="1">IF(AUTOEVENTO="Manual",ROUND(SUMPRODUCT((CÁLCULO!$M$15:$M$165=EVENTOS!$C35)*(OFFSET(CÁLCULO!$AI$15:$AI$165,0,U$13))),2),0)</f>
        <v>0</v>
      </c>
      <c r="V35" s="620" cm="1">
        <f t="array" aca="1" ref="V35" ca="1">IF(AUTOEVENTO="Manual",ROUND(SUMPRODUCT((CÁLCULO!$M$15:$M$165=EVENTOS!$C35)*(OFFSET(CÁLCULO!$AI$15:$AI$165,0,V$13))),2),0)</f>
        <v>0</v>
      </c>
      <c r="W35" s="620" cm="1">
        <f t="array" aca="1" ref="W35" ca="1">IF(AUTOEVENTO="Manual",ROUND(SUMPRODUCT((CÁLCULO!$M$15:$M$165=EVENTOS!$C35)*(OFFSET(CÁLCULO!$AI$15:$AI$165,0,W$13))),2),0)</f>
        <v>0</v>
      </c>
      <c r="X35" s="620" cm="1">
        <f t="array" aca="1" ref="X35" ca="1">IF(AUTOEVENTO="Manual",ROUND(SUMPRODUCT((CÁLCULO!$M$15:$M$165=EVENTOS!$C35)*(OFFSET(CÁLCULO!$AI$15:$AI$165,0,X$13))),2),0)</f>
        <v>0</v>
      </c>
      <c r="Y35" s="620" cm="1">
        <f t="array" aca="1" ref="Y35" ca="1">IF(AUTOEVENTO="Manual",ROUND(SUMPRODUCT((CÁLCULO!$M$15:$M$165=EVENTOS!$C35)*(OFFSET(CÁLCULO!$AI$15:$AI$165,0,Y$13))),2),0)</f>
        <v>0</v>
      </c>
    </row>
    <row r="36" spans="1:25" x14ac:dyDescent="0.25">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IF(AUTOEVENTO="Manual",ROUND(SUMPRODUCT((CÁLCULO!$M$15:$M$165=EVENTOS!$C36)*(OFFSET(CÁLCULO!$AI$15:$AI$165,0,E$13))),2),0)</f>
        <v>0</v>
      </c>
      <c r="F36" s="183">
        <f ca="1">IF(AUTOEVENTO="Manual",ROUND(SUMPRODUCT((CÁLCULO!$M$15:$M$165=EVENTOS!$C36)*(OFFSET(CÁLCULO!$AI$15,0,1):OFFSET(CÁLCULO!$BB$165,0,-1))),2),0)</f>
        <v>0</v>
      </c>
      <c r="G36" s="621" t="str">
        <f t="shared" ca="1" si="5"/>
        <v/>
      </c>
      <c r="H36" s="620" cm="1">
        <f t="array" aca="1" ref="H36" ca="1">IF(AUTOEVENTO="Manual",ROUND(SUMPRODUCT((CÁLCULO!$M$15:$M$165=EVENTOS!$C36)*(OFFSET(CÁLCULO!$AI$15:$AI$165,0,H$13))),2),0)</f>
        <v>0</v>
      </c>
      <c r="I36" s="620" cm="1">
        <f t="array" aca="1" ref="I36" ca="1">IF(AUTOEVENTO="Manual",ROUND(SUMPRODUCT((CÁLCULO!$M$15:$M$165=EVENTOS!$C36)*(OFFSET(CÁLCULO!$AI$15:$AI$165,0,I$13))),2),0)</f>
        <v>0</v>
      </c>
      <c r="J36" s="620" cm="1">
        <f t="array" aca="1" ref="J36" ca="1">IF(AUTOEVENTO="Manual",ROUND(SUMPRODUCT((CÁLCULO!$M$15:$M$165=EVENTOS!$C36)*(OFFSET(CÁLCULO!$AI$15:$AI$165,0,J$13))),2),0)</f>
        <v>0</v>
      </c>
      <c r="K36" s="620" cm="1">
        <f t="array" aca="1" ref="K36" ca="1">IF(AUTOEVENTO="Manual",ROUND(SUMPRODUCT((CÁLCULO!$M$15:$M$165=EVENTOS!$C36)*(OFFSET(CÁLCULO!$AI$15:$AI$165,0,K$13))),2),0)</f>
        <v>0</v>
      </c>
      <c r="L36" s="620" cm="1">
        <f t="array" aca="1" ref="L36" ca="1">IF(AUTOEVENTO="Manual",ROUND(SUMPRODUCT((CÁLCULO!$M$15:$M$165=EVENTOS!$C36)*(OFFSET(CÁLCULO!$AI$15:$AI$165,0,L$13))),2),0)</f>
        <v>0</v>
      </c>
      <c r="M36" s="620" cm="1">
        <f t="array" aca="1" ref="M36" ca="1">IF(AUTOEVENTO="Manual",ROUND(SUMPRODUCT((CÁLCULO!$M$15:$M$165=EVENTOS!$C36)*(OFFSET(CÁLCULO!$AI$15:$AI$165,0,M$13))),2),0)</f>
        <v>0</v>
      </c>
      <c r="N36" s="620" cm="1">
        <f t="array" aca="1" ref="N36" ca="1">IF(AUTOEVENTO="Manual",ROUND(SUMPRODUCT((CÁLCULO!$M$15:$M$165=EVENTOS!$C36)*(OFFSET(CÁLCULO!$AI$15:$AI$165,0,N$13))),2),0)</f>
        <v>0</v>
      </c>
      <c r="O36" s="620" cm="1">
        <f t="array" aca="1" ref="O36" ca="1">IF(AUTOEVENTO="Manual",ROUND(SUMPRODUCT((CÁLCULO!$M$15:$M$165=EVENTOS!$C36)*(OFFSET(CÁLCULO!$AI$15:$AI$165,0,O$13))),2),0)</f>
        <v>0</v>
      </c>
      <c r="P36" s="620" cm="1">
        <f t="array" aca="1" ref="P36" ca="1">IF(AUTOEVENTO="Manual",ROUND(SUMPRODUCT((CÁLCULO!$M$15:$M$165=EVENTOS!$C36)*(OFFSET(CÁLCULO!$AI$15:$AI$165,0,P$13))),2),0)</f>
        <v>0</v>
      </c>
      <c r="Q36" s="620" cm="1">
        <f t="array" aca="1" ref="Q36" ca="1">IF(AUTOEVENTO="Manual",ROUND(SUMPRODUCT((CÁLCULO!$M$15:$M$165=EVENTOS!$C36)*(OFFSET(CÁLCULO!$AI$15:$AI$165,0,Q$13))),2),0)</f>
        <v>0</v>
      </c>
      <c r="R36" s="620" cm="1">
        <f t="array" aca="1" ref="R36" ca="1">IF(AUTOEVENTO="Manual",ROUND(SUMPRODUCT((CÁLCULO!$M$15:$M$165=EVENTOS!$C36)*(OFFSET(CÁLCULO!$AI$15:$AI$165,0,R$13))),2),0)</f>
        <v>0</v>
      </c>
      <c r="S36" s="620" cm="1">
        <f t="array" aca="1" ref="S36" ca="1">IF(AUTOEVENTO="Manual",ROUND(SUMPRODUCT((CÁLCULO!$M$15:$M$165=EVENTOS!$C36)*(OFFSET(CÁLCULO!$AI$15:$AI$165,0,S$13))),2),0)</f>
        <v>0</v>
      </c>
      <c r="T36" s="620" cm="1">
        <f t="array" aca="1" ref="T36" ca="1">IF(AUTOEVENTO="Manual",ROUND(SUMPRODUCT((CÁLCULO!$M$15:$M$165=EVENTOS!$C36)*(OFFSET(CÁLCULO!$AI$15:$AI$165,0,T$13))),2),0)</f>
        <v>0</v>
      </c>
      <c r="U36" s="620" cm="1">
        <f t="array" aca="1" ref="U36" ca="1">IF(AUTOEVENTO="Manual",ROUND(SUMPRODUCT((CÁLCULO!$M$15:$M$165=EVENTOS!$C36)*(OFFSET(CÁLCULO!$AI$15:$AI$165,0,U$13))),2),0)</f>
        <v>0</v>
      </c>
      <c r="V36" s="620" cm="1">
        <f t="array" aca="1" ref="V36" ca="1">IF(AUTOEVENTO="Manual",ROUND(SUMPRODUCT((CÁLCULO!$M$15:$M$165=EVENTOS!$C36)*(OFFSET(CÁLCULO!$AI$15:$AI$165,0,V$13))),2),0)</f>
        <v>0</v>
      </c>
      <c r="W36" s="620" cm="1">
        <f t="array" aca="1" ref="W36" ca="1">IF(AUTOEVENTO="Manual",ROUND(SUMPRODUCT((CÁLCULO!$M$15:$M$165=EVENTOS!$C36)*(OFFSET(CÁLCULO!$AI$15:$AI$165,0,W$13))),2),0)</f>
        <v>0</v>
      </c>
      <c r="X36" s="620" cm="1">
        <f t="array" aca="1" ref="X36" ca="1">IF(AUTOEVENTO="Manual",ROUND(SUMPRODUCT((CÁLCULO!$M$15:$M$165=EVENTOS!$C36)*(OFFSET(CÁLCULO!$AI$15:$AI$165,0,X$13))),2),0)</f>
        <v>0</v>
      </c>
      <c r="Y36" s="620" cm="1">
        <f t="array" aca="1" ref="Y36" ca="1">IF(AUTOEVENTO="Manual",ROUND(SUMPRODUCT((CÁLCULO!$M$15:$M$165=EVENTOS!$C36)*(OFFSET(CÁLCULO!$AI$15:$AI$165,0,Y$13))),2),0)</f>
        <v>0</v>
      </c>
    </row>
    <row r="37" spans="1:25" x14ac:dyDescent="0.25">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IF(AUTOEVENTO="Manual",ROUND(SUMPRODUCT((CÁLCULO!$M$15:$M$165=EVENTOS!$C37)*(OFFSET(CÁLCULO!$AI$15:$AI$165,0,E$13))),2),0)</f>
        <v>0</v>
      </c>
      <c r="F37" s="183">
        <f ca="1">IF(AUTOEVENTO="Manual",ROUND(SUMPRODUCT((CÁLCULO!$M$15:$M$165=EVENTOS!$C37)*(OFFSET(CÁLCULO!$AI$15,0,1):OFFSET(CÁLCULO!$BB$165,0,-1))),2),0)</f>
        <v>0</v>
      </c>
      <c r="G37" s="621" t="str">
        <f t="shared" ca="1" si="5"/>
        <v/>
      </c>
      <c r="H37" s="620" cm="1">
        <f t="array" aca="1" ref="H37" ca="1">IF(AUTOEVENTO="Manual",ROUND(SUMPRODUCT((CÁLCULO!$M$15:$M$165=EVENTOS!$C37)*(OFFSET(CÁLCULO!$AI$15:$AI$165,0,H$13))),2),0)</f>
        <v>0</v>
      </c>
      <c r="I37" s="620" cm="1">
        <f t="array" aca="1" ref="I37" ca="1">IF(AUTOEVENTO="Manual",ROUND(SUMPRODUCT((CÁLCULO!$M$15:$M$165=EVENTOS!$C37)*(OFFSET(CÁLCULO!$AI$15:$AI$165,0,I$13))),2),0)</f>
        <v>0</v>
      </c>
      <c r="J37" s="620" cm="1">
        <f t="array" aca="1" ref="J37" ca="1">IF(AUTOEVENTO="Manual",ROUND(SUMPRODUCT((CÁLCULO!$M$15:$M$165=EVENTOS!$C37)*(OFFSET(CÁLCULO!$AI$15:$AI$165,0,J$13))),2),0)</f>
        <v>0</v>
      </c>
      <c r="K37" s="620" cm="1">
        <f t="array" aca="1" ref="K37" ca="1">IF(AUTOEVENTO="Manual",ROUND(SUMPRODUCT((CÁLCULO!$M$15:$M$165=EVENTOS!$C37)*(OFFSET(CÁLCULO!$AI$15:$AI$165,0,K$13))),2),0)</f>
        <v>0</v>
      </c>
      <c r="L37" s="620" cm="1">
        <f t="array" aca="1" ref="L37" ca="1">IF(AUTOEVENTO="Manual",ROUND(SUMPRODUCT((CÁLCULO!$M$15:$M$165=EVENTOS!$C37)*(OFFSET(CÁLCULO!$AI$15:$AI$165,0,L$13))),2),0)</f>
        <v>0</v>
      </c>
      <c r="M37" s="620" cm="1">
        <f t="array" aca="1" ref="M37" ca="1">IF(AUTOEVENTO="Manual",ROUND(SUMPRODUCT((CÁLCULO!$M$15:$M$165=EVENTOS!$C37)*(OFFSET(CÁLCULO!$AI$15:$AI$165,0,M$13))),2),0)</f>
        <v>0</v>
      </c>
      <c r="N37" s="620" cm="1">
        <f t="array" aca="1" ref="N37" ca="1">IF(AUTOEVENTO="Manual",ROUND(SUMPRODUCT((CÁLCULO!$M$15:$M$165=EVENTOS!$C37)*(OFFSET(CÁLCULO!$AI$15:$AI$165,0,N$13))),2),0)</f>
        <v>0</v>
      </c>
      <c r="O37" s="620" cm="1">
        <f t="array" aca="1" ref="O37" ca="1">IF(AUTOEVENTO="Manual",ROUND(SUMPRODUCT((CÁLCULO!$M$15:$M$165=EVENTOS!$C37)*(OFFSET(CÁLCULO!$AI$15:$AI$165,0,O$13))),2),0)</f>
        <v>0</v>
      </c>
      <c r="P37" s="620" cm="1">
        <f t="array" aca="1" ref="P37" ca="1">IF(AUTOEVENTO="Manual",ROUND(SUMPRODUCT((CÁLCULO!$M$15:$M$165=EVENTOS!$C37)*(OFFSET(CÁLCULO!$AI$15:$AI$165,0,P$13))),2),0)</f>
        <v>0</v>
      </c>
      <c r="Q37" s="620" cm="1">
        <f t="array" aca="1" ref="Q37" ca="1">IF(AUTOEVENTO="Manual",ROUND(SUMPRODUCT((CÁLCULO!$M$15:$M$165=EVENTOS!$C37)*(OFFSET(CÁLCULO!$AI$15:$AI$165,0,Q$13))),2),0)</f>
        <v>0</v>
      </c>
      <c r="R37" s="620" cm="1">
        <f t="array" aca="1" ref="R37" ca="1">IF(AUTOEVENTO="Manual",ROUND(SUMPRODUCT((CÁLCULO!$M$15:$M$165=EVENTOS!$C37)*(OFFSET(CÁLCULO!$AI$15:$AI$165,0,R$13))),2),0)</f>
        <v>0</v>
      </c>
      <c r="S37" s="620" cm="1">
        <f t="array" aca="1" ref="S37" ca="1">IF(AUTOEVENTO="Manual",ROUND(SUMPRODUCT((CÁLCULO!$M$15:$M$165=EVENTOS!$C37)*(OFFSET(CÁLCULO!$AI$15:$AI$165,0,S$13))),2),0)</f>
        <v>0</v>
      </c>
      <c r="T37" s="620" cm="1">
        <f t="array" aca="1" ref="T37" ca="1">IF(AUTOEVENTO="Manual",ROUND(SUMPRODUCT((CÁLCULO!$M$15:$M$165=EVENTOS!$C37)*(OFFSET(CÁLCULO!$AI$15:$AI$165,0,T$13))),2),0)</f>
        <v>0</v>
      </c>
      <c r="U37" s="620" cm="1">
        <f t="array" aca="1" ref="U37" ca="1">IF(AUTOEVENTO="Manual",ROUND(SUMPRODUCT((CÁLCULO!$M$15:$M$165=EVENTOS!$C37)*(OFFSET(CÁLCULO!$AI$15:$AI$165,0,U$13))),2),0)</f>
        <v>0</v>
      </c>
      <c r="V37" s="620" cm="1">
        <f t="array" aca="1" ref="V37" ca="1">IF(AUTOEVENTO="Manual",ROUND(SUMPRODUCT((CÁLCULO!$M$15:$M$165=EVENTOS!$C37)*(OFFSET(CÁLCULO!$AI$15:$AI$165,0,V$13))),2),0)</f>
        <v>0</v>
      </c>
      <c r="W37" s="620" cm="1">
        <f t="array" aca="1" ref="W37" ca="1">IF(AUTOEVENTO="Manual",ROUND(SUMPRODUCT((CÁLCULO!$M$15:$M$165=EVENTOS!$C37)*(OFFSET(CÁLCULO!$AI$15:$AI$165,0,W$13))),2),0)</f>
        <v>0</v>
      </c>
      <c r="X37" s="620" cm="1">
        <f t="array" aca="1" ref="X37" ca="1">IF(AUTOEVENTO="Manual",ROUND(SUMPRODUCT((CÁLCULO!$M$15:$M$165=EVENTOS!$C37)*(OFFSET(CÁLCULO!$AI$15:$AI$165,0,X$13))),2),0)</f>
        <v>0</v>
      </c>
      <c r="Y37" s="620" cm="1">
        <f t="array" aca="1" ref="Y37" ca="1">IF(AUTOEVENTO="Manual",ROUND(SUMPRODUCT((CÁLCULO!$M$15:$M$165=EVENTOS!$C37)*(OFFSET(CÁLCULO!$AI$15:$AI$165,0,Y$13))),2),0)</f>
        <v>0</v>
      </c>
    </row>
    <row r="38" spans="1:25" x14ac:dyDescent="0.25">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IF(AUTOEVENTO="Manual",ROUND(SUMPRODUCT((CÁLCULO!$M$15:$M$165=EVENTOS!$C38)*(OFFSET(CÁLCULO!$AI$15:$AI$165,0,E$13))),2),0)</f>
        <v>0</v>
      </c>
      <c r="F38" s="183">
        <f ca="1">IF(AUTOEVENTO="Manual",ROUND(SUMPRODUCT((CÁLCULO!$M$15:$M$165=EVENTOS!$C38)*(OFFSET(CÁLCULO!$AI$15,0,1):OFFSET(CÁLCULO!$BB$165,0,-1))),2),0)</f>
        <v>0</v>
      </c>
      <c r="G38" s="621" t="str">
        <f t="shared" ca="1" si="5"/>
        <v/>
      </c>
      <c r="H38" s="620" cm="1">
        <f t="array" aca="1" ref="H38" ca="1">IF(AUTOEVENTO="Manual",ROUND(SUMPRODUCT((CÁLCULO!$M$15:$M$165=EVENTOS!$C38)*(OFFSET(CÁLCULO!$AI$15:$AI$165,0,H$13))),2),0)</f>
        <v>0</v>
      </c>
      <c r="I38" s="620" cm="1">
        <f t="array" aca="1" ref="I38" ca="1">IF(AUTOEVENTO="Manual",ROUND(SUMPRODUCT((CÁLCULO!$M$15:$M$165=EVENTOS!$C38)*(OFFSET(CÁLCULO!$AI$15:$AI$165,0,I$13))),2),0)</f>
        <v>0</v>
      </c>
      <c r="J38" s="620" cm="1">
        <f t="array" aca="1" ref="J38" ca="1">IF(AUTOEVENTO="Manual",ROUND(SUMPRODUCT((CÁLCULO!$M$15:$M$165=EVENTOS!$C38)*(OFFSET(CÁLCULO!$AI$15:$AI$165,0,J$13))),2),0)</f>
        <v>0</v>
      </c>
      <c r="K38" s="620" cm="1">
        <f t="array" aca="1" ref="K38" ca="1">IF(AUTOEVENTO="Manual",ROUND(SUMPRODUCT((CÁLCULO!$M$15:$M$165=EVENTOS!$C38)*(OFFSET(CÁLCULO!$AI$15:$AI$165,0,K$13))),2),0)</f>
        <v>0</v>
      </c>
      <c r="L38" s="620" cm="1">
        <f t="array" aca="1" ref="L38" ca="1">IF(AUTOEVENTO="Manual",ROUND(SUMPRODUCT((CÁLCULO!$M$15:$M$165=EVENTOS!$C38)*(OFFSET(CÁLCULO!$AI$15:$AI$165,0,L$13))),2),0)</f>
        <v>0</v>
      </c>
      <c r="M38" s="620" cm="1">
        <f t="array" aca="1" ref="M38" ca="1">IF(AUTOEVENTO="Manual",ROUND(SUMPRODUCT((CÁLCULO!$M$15:$M$165=EVENTOS!$C38)*(OFFSET(CÁLCULO!$AI$15:$AI$165,0,M$13))),2),0)</f>
        <v>0</v>
      </c>
      <c r="N38" s="620" cm="1">
        <f t="array" aca="1" ref="N38" ca="1">IF(AUTOEVENTO="Manual",ROUND(SUMPRODUCT((CÁLCULO!$M$15:$M$165=EVENTOS!$C38)*(OFFSET(CÁLCULO!$AI$15:$AI$165,0,N$13))),2),0)</f>
        <v>0</v>
      </c>
      <c r="O38" s="620" cm="1">
        <f t="array" aca="1" ref="O38" ca="1">IF(AUTOEVENTO="Manual",ROUND(SUMPRODUCT((CÁLCULO!$M$15:$M$165=EVENTOS!$C38)*(OFFSET(CÁLCULO!$AI$15:$AI$165,0,O$13))),2),0)</f>
        <v>0</v>
      </c>
      <c r="P38" s="620" cm="1">
        <f t="array" aca="1" ref="P38" ca="1">IF(AUTOEVENTO="Manual",ROUND(SUMPRODUCT((CÁLCULO!$M$15:$M$165=EVENTOS!$C38)*(OFFSET(CÁLCULO!$AI$15:$AI$165,0,P$13))),2),0)</f>
        <v>0</v>
      </c>
      <c r="Q38" s="620" cm="1">
        <f t="array" aca="1" ref="Q38" ca="1">IF(AUTOEVENTO="Manual",ROUND(SUMPRODUCT((CÁLCULO!$M$15:$M$165=EVENTOS!$C38)*(OFFSET(CÁLCULO!$AI$15:$AI$165,0,Q$13))),2),0)</f>
        <v>0</v>
      </c>
      <c r="R38" s="620" cm="1">
        <f t="array" aca="1" ref="R38" ca="1">IF(AUTOEVENTO="Manual",ROUND(SUMPRODUCT((CÁLCULO!$M$15:$M$165=EVENTOS!$C38)*(OFFSET(CÁLCULO!$AI$15:$AI$165,0,R$13))),2),0)</f>
        <v>0</v>
      </c>
      <c r="S38" s="620" cm="1">
        <f t="array" aca="1" ref="S38" ca="1">IF(AUTOEVENTO="Manual",ROUND(SUMPRODUCT((CÁLCULO!$M$15:$M$165=EVENTOS!$C38)*(OFFSET(CÁLCULO!$AI$15:$AI$165,0,S$13))),2),0)</f>
        <v>0</v>
      </c>
      <c r="T38" s="620" cm="1">
        <f t="array" aca="1" ref="T38" ca="1">IF(AUTOEVENTO="Manual",ROUND(SUMPRODUCT((CÁLCULO!$M$15:$M$165=EVENTOS!$C38)*(OFFSET(CÁLCULO!$AI$15:$AI$165,0,T$13))),2),0)</f>
        <v>0</v>
      </c>
      <c r="U38" s="620" cm="1">
        <f t="array" aca="1" ref="U38" ca="1">IF(AUTOEVENTO="Manual",ROUND(SUMPRODUCT((CÁLCULO!$M$15:$M$165=EVENTOS!$C38)*(OFFSET(CÁLCULO!$AI$15:$AI$165,0,U$13))),2),0)</f>
        <v>0</v>
      </c>
      <c r="V38" s="620" cm="1">
        <f t="array" aca="1" ref="V38" ca="1">IF(AUTOEVENTO="Manual",ROUND(SUMPRODUCT((CÁLCULO!$M$15:$M$165=EVENTOS!$C38)*(OFFSET(CÁLCULO!$AI$15:$AI$165,0,V$13))),2),0)</f>
        <v>0</v>
      </c>
      <c r="W38" s="620" cm="1">
        <f t="array" aca="1" ref="W38" ca="1">IF(AUTOEVENTO="Manual",ROUND(SUMPRODUCT((CÁLCULO!$M$15:$M$165=EVENTOS!$C38)*(OFFSET(CÁLCULO!$AI$15:$AI$165,0,W$13))),2),0)</f>
        <v>0</v>
      </c>
      <c r="X38" s="620" cm="1">
        <f t="array" aca="1" ref="X38" ca="1">IF(AUTOEVENTO="Manual",ROUND(SUMPRODUCT((CÁLCULO!$M$15:$M$165=EVENTOS!$C38)*(OFFSET(CÁLCULO!$AI$15:$AI$165,0,X$13))),2),0)</f>
        <v>0</v>
      </c>
      <c r="Y38" s="620" cm="1">
        <f t="array" aca="1" ref="Y38" ca="1">IF(AUTOEVENTO="Manual",ROUND(SUMPRODUCT((CÁLCULO!$M$15:$M$165=EVENTOS!$C38)*(OFFSET(CÁLCULO!$AI$15:$AI$165,0,Y$13))),2),0)</f>
        <v>0</v>
      </c>
    </row>
    <row r="39" spans="1:25" x14ac:dyDescent="0.25">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IF(AUTOEVENTO="Manual",ROUND(SUMPRODUCT((CÁLCULO!$M$15:$M$165=EVENTOS!$C39)*(OFFSET(CÁLCULO!$AI$15:$AI$165,0,E$13))),2),0)</f>
        <v>0</v>
      </c>
      <c r="F39" s="183">
        <f ca="1">IF(AUTOEVENTO="Manual",ROUND(SUMPRODUCT((CÁLCULO!$M$15:$M$165=EVENTOS!$C39)*(OFFSET(CÁLCULO!$AI$15,0,1):OFFSET(CÁLCULO!$BB$165,0,-1))),2),0)</f>
        <v>0</v>
      </c>
      <c r="G39" s="621" t="str">
        <f t="shared" ca="1" si="5"/>
        <v/>
      </c>
      <c r="H39" s="620" cm="1">
        <f t="array" aca="1" ref="H39" ca="1">IF(AUTOEVENTO="Manual",ROUND(SUMPRODUCT((CÁLCULO!$M$15:$M$165=EVENTOS!$C39)*(OFFSET(CÁLCULO!$AI$15:$AI$165,0,H$13))),2),0)</f>
        <v>0</v>
      </c>
      <c r="I39" s="620" cm="1">
        <f t="array" aca="1" ref="I39" ca="1">IF(AUTOEVENTO="Manual",ROUND(SUMPRODUCT((CÁLCULO!$M$15:$M$165=EVENTOS!$C39)*(OFFSET(CÁLCULO!$AI$15:$AI$165,0,I$13))),2),0)</f>
        <v>0</v>
      </c>
      <c r="J39" s="620" cm="1">
        <f t="array" aca="1" ref="J39" ca="1">IF(AUTOEVENTO="Manual",ROUND(SUMPRODUCT((CÁLCULO!$M$15:$M$165=EVENTOS!$C39)*(OFFSET(CÁLCULO!$AI$15:$AI$165,0,J$13))),2),0)</f>
        <v>0</v>
      </c>
      <c r="K39" s="620" cm="1">
        <f t="array" aca="1" ref="K39" ca="1">IF(AUTOEVENTO="Manual",ROUND(SUMPRODUCT((CÁLCULO!$M$15:$M$165=EVENTOS!$C39)*(OFFSET(CÁLCULO!$AI$15:$AI$165,0,K$13))),2),0)</f>
        <v>0</v>
      </c>
      <c r="L39" s="620" cm="1">
        <f t="array" aca="1" ref="L39" ca="1">IF(AUTOEVENTO="Manual",ROUND(SUMPRODUCT((CÁLCULO!$M$15:$M$165=EVENTOS!$C39)*(OFFSET(CÁLCULO!$AI$15:$AI$165,0,L$13))),2),0)</f>
        <v>0</v>
      </c>
      <c r="M39" s="620" cm="1">
        <f t="array" aca="1" ref="M39" ca="1">IF(AUTOEVENTO="Manual",ROUND(SUMPRODUCT((CÁLCULO!$M$15:$M$165=EVENTOS!$C39)*(OFFSET(CÁLCULO!$AI$15:$AI$165,0,M$13))),2),0)</f>
        <v>0</v>
      </c>
      <c r="N39" s="620" cm="1">
        <f t="array" aca="1" ref="N39" ca="1">IF(AUTOEVENTO="Manual",ROUND(SUMPRODUCT((CÁLCULO!$M$15:$M$165=EVENTOS!$C39)*(OFFSET(CÁLCULO!$AI$15:$AI$165,0,N$13))),2),0)</f>
        <v>0</v>
      </c>
      <c r="O39" s="620" cm="1">
        <f t="array" aca="1" ref="O39" ca="1">IF(AUTOEVENTO="Manual",ROUND(SUMPRODUCT((CÁLCULO!$M$15:$M$165=EVENTOS!$C39)*(OFFSET(CÁLCULO!$AI$15:$AI$165,0,O$13))),2),0)</f>
        <v>0</v>
      </c>
      <c r="P39" s="620" cm="1">
        <f t="array" aca="1" ref="P39" ca="1">IF(AUTOEVENTO="Manual",ROUND(SUMPRODUCT((CÁLCULO!$M$15:$M$165=EVENTOS!$C39)*(OFFSET(CÁLCULO!$AI$15:$AI$165,0,P$13))),2),0)</f>
        <v>0</v>
      </c>
      <c r="Q39" s="620" cm="1">
        <f t="array" aca="1" ref="Q39" ca="1">IF(AUTOEVENTO="Manual",ROUND(SUMPRODUCT((CÁLCULO!$M$15:$M$165=EVENTOS!$C39)*(OFFSET(CÁLCULO!$AI$15:$AI$165,0,Q$13))),2),0)</f>
        <v>0</v>
      </c>
      <c r="R39" s="620" cm="1">
        <f t="array" aca="1" ref="R39" ca="1">IF(AUTOEVENTO="Manual",ROUND(SUMPRODUCT((CÁLCULO!$M$15:$M$165=EVENTOS!$C39)*(OFFSET(CÁLCULO!$AI$15:$AI$165,0,R$13))),2),0)</f>
        <v>0</v>
      </c>
      <c r="S39" s="620" cm="1">
        <f t="array" aca="1" ref="S39" ca="1">IF(AUTOEVENTO="Manual",ROUND(SUMPRODUCT((CÁLCULO!$M$15:$M$165=EVENTOS!$C39)*(OFFSET(CÁLCULO!$AI$15:$AI$165,0,S$13))),2),0)</f>
        <v>0</v>
      </c>
      <c r="T39" s="620" cm="1">
        <f t="array" aca="1" ref="T39" ca="1">IF(AUTOEVENTO="Manual",ROUND(SUMPRODUCT((CÁLCULO!$M$15:$M$165=EVENTOS!$C39)*(OFFSET(CÁLCULO!$AI$15:$AI$165,0,T$13))),2),0)</f>
        <v>0</v>
      </c>
      <c r="U39" s="620" cm="1">
        <f t="array" aca="1" ref="U39" ca="1">IF(AUTOEVENTO="Manual",ROUND(SUMPRODUCT((CÁLCULO!$M$15:$M$165=EVENTOS!$C39)*(OFFSET(CÁLCULO!$AI$15:$AI$165,0,U$13))),2),0)</f>
        <v>0</v>
      </c>
      <c r="V39" s="620" cm="1">
        <f t="array" aca="1" ref="V39" ca="1">IF(AUTOEVENTO="Manual",ROUND(SUMPRODUCT((CÁLCULO!$M$15:$M$165=EVENTOS!$C39)*(OFFSET(CÁLCULO!$AI$15:$AI$165,0,V$13))),2),0)</f>
        <v>0</v>
      </c>
      <c r="W39" s="620" cm="1">
        <f t="array" aca="1" ref="W39" ca="1">IF(AUTOEVENTO="Manual",ROUND(SUMPRODUCT((CÁLCULO!$M$15:$M$165=EVENTOS!$C39)*(OFFSET(CÁLCULO!$AI$15:$AI$165,0,W$13))),2),0)</f>
        <v>0</v>
      </c>
      <c r="X39" s="620" cm="1">
        <f t="array" aca="1" ref="X39" ca="1">IF(AUTOEVENTO="Manual",ROUND(SUMPRODUCT((CÁLCULO!$M$15:$M$165=EVENTOS!$C39)*(OFFSET(CÁLCULO!$AI$15:$AI$165,0,X$13))),2),0)</f>
        <v>0</v>
      </c>
      <c r="Y39" s="620" cm="1">
        <f t="array" aca="1" ref="Y39" ca="1">IF(AUTOEVENTO="Manual",ROUND(SUMPRODUCT((CÁLCULO!$M$15:$M$165=EVENTOS!$C39)*(OFFSET(CÁLCULO!$AI$15:$AI$165,0,Y$13))),2),0)</f>
        <v>0</v>
      </c>
    </row>
    <row r="40" spans="1:25" x14ac:dyDescent="0.25">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IF(AUTOEVENTO="Manual",ROUND(SUMPRODUCT((CÁLCULO!$M$15:$M$165=EVENTOS!$C40)*(OFFSET(CÁLCULO!$AI$15:$AI$165,0,E$13))),2),0)</f>
        <v>0</v>
      </c>
      <c r="F40" s="183">
        <f ca="1">IF(AUTOEVENTO="Manual",ROUND(SUMPRODUCT((CÁLCULO!$M$15:$M$165=EVENTOS!$C40)*(OFFSET(CÁLCULO!$AI$15,0,1):OFFSET(CÁLCULO!$BB$165,0,-1))),2),0)</f>
        <v>0</v>
      </c>
      <c r="G40" s="621" t="str">
        <f t="shared" ca="1" si="5"/>
        <v/>
      </c>
      <c r="H40" s="620" cm="1">
        <f t="array" aca="1" ref="H40" ca="1">IF(AUTOEVENTO="Manual",ROUND(SUMPRODUCT((CÁLCULO!$M$15:$M$165=EVENTOS!$C40)*(OFFSET(CÁLCULO!$AI$15:$AI$165,0,H$13))),2),0)</f>
        <v>0</v>
      </c>
      <c r="I40" s="620" cm="1">
        <f t="array" aca="1" ref="I40" ca="1">IF(AUTOEVENTO="Manual",ROUND(SUMPRODUCT((CÁLCULO!$M$15:$M$165=EVENTOS!$C40)*(OFFSET(CÁLCULO!$AI$15:$AI$165,0,I$13))),2),0)</f>
        <v>0</v>
      </c>
      <c r="J40" s="620" cm="1">
        <f t="array" aca="1" ref="J40" ca="1">IF(AUTOEVENTO="Manual",ROUND(SUMPRODUCT((CÁLCULO!$M$15:$M$165=EVENTOS!$C40)*(OFFSET(CÁLCULO!$AI$15:$AI$165,0,J$13))),2),0)</f>
        <v>0</v>
      </c>
      <c r="K40" s="620" cm="1">
        <f t="array" aca="1" ref="K40" ca="1">IF(AUTOEVENTO="Manual",ROUND(SUMPRODUCT((CÁLCULO!$M$15:$M$165=EVENTOS!$C40)*(OFFSET(CÁLCULO!$AI$15:$AI$165,0,K$13))),2),0)</f>
        <v>0</v>
      </c>
      <c r="L40" s="620" cm="1">
        <f t="array" aca="1" ref="L40" ca="1">IF(AUTOEVENTO="Manual",ROUND(SUMPRODUCT((CÁLCULO!$M$15:$M$165=EVENTOS!$C40)*(OFFSET(CÁLCULO!$AI$15:$AI$165,0,L$13))),2),0)</f>
        <v>0</v>
      </c>
      <c r="M40" s="620" cm="1">
        <f t="array" aca="1" ref="M40" ca="1">IF(AUTOEVENTO="Manual",ROUND(SUMPRODUCT((CÁLCULO!$M$15:$M$165=EVENTOS!$C40)*(OFFSET(CÁLCULO!$AI$15:$AI$165,0,M$13))),2),0)</f>
        <v>0</v>
      </c>
      <c r="N40" s="620" cm="1">
        <f t="array" aca="1" ref="N40" ca="1">IF(AUTOEVENTO="Manual",ROUND(SUMPRODUCT((CÁLCULO!$M$15:$M$165=EVENTOS!$C40)*(OFFSET(CÁLCULO!$AI$15:$AI$165,0,N$13))),2),0)</f>
        <v>0</v>
      </c>
      <c r="O40" s="620" cm="1">
        <f t="array" aca="1" ref="O40" ca="1">IF(AUTOEVENTO="Manual",ROUND(SUMPRODUCT((CÁLCULO!$M$15:$M$165=EVENTOS!$C40)*(OFFSET(CÁLCULO!$AI$15:$AI$165,0,O$13))),2),0)</f>
        <v>0</v>
      </c>
      <c r="P40" s="620" cm="1">
        <f t="array" aca="1" ref="P40" ca="1">IF(AUTOEVENTO="Manual",ROUND(SUMPRODUCT((CÁLCULO!$M$15:$M$165=EVENTOS!$C40)*(OFFSET(CÁLCULO!$AI$15:$AI$165,0,P$13))),2),0)</f>
        <v>0</v>
      </c>
      <c r="Q40" s="620" cm="1">
        <f t="array" aca="1" ref="Q40" ca="1">IF(AUTOEVENTO="Manual",ROUND(SUMPRODUCT((CÁLCULO!$M$15:$M$165=EVENTOS!$C40)*(OFFSET(CÁLCULO!$AI$15:$AI$165,0,Q$13))),2),0)</f>
        <v>0</v>
      </c>
      <c r="R40" s="620" cm="1">
        <f t="array" aca="1" ref="R40" ca="1">IF(AUTOEVENTO="Manual",ROUND(SUMPRODUCT((CÁLCULO!$M$15:$M$165=EVENTOS!$C40)*(OFFSET(CÁLCULO!$AI$15:$AI$165,0,R$13))),2),0)</f>
        <v>0</v>
      </c>
      <c r="S40" s="620" cm="1">
        <f t="array" aca="1" ref="S40" ca="1">IF(AUTOEVENTO="Manual",ROUND(SUMPRODUCT((CÁLCULO!$M$15:$M$165=EVENTOS!$C40)*(OFFSET(CÁLCULO!$AI$15:$AI$165,0,S$13))),2),0)</f>
        <v>0</v>
      </c>
      <c r="T40" s="620" cm="1">
        <f t="array" aca="1" ref="T40" ca="1">IF(AUTOEVENTO="Manual",ROUND(SUMPRODUCT((CÁLCULO!$M$15:$M$165=EVENTOS!$C40)*(OFFSET(CÁLCULO!$AI$15:$AI$165,0,T$13))),2),0)</f>
        <v>0</v>
      </c>
      <c r="U40" s="620" cm="1">
        <f t="array" aca="1" ref="U40" ca="1">IF(AUTOEVENTO="Manual",ROUND(SUMPRODUCT((CÁLCULO!$M$15:$M$165=EVENTOS!$C40)*(OFFSET(CÁLCULO!$AI$15:$AI$165,0,U$13))),2),0)</f>
        <v>0</v>
      </c>
      <c r="V40" s="620" cm="1">
        <f t="array" aca="1" ref="V40" ca="1">IF(AUTOEVENTO="Manual",ROUND(SUMPRODUCT((CÁLCULO!$M$15:$M$165=EVENTOS!$C40)*(OFFSET(CÁLCULO!$AI$15:$AI$165,0,V$13))),2),0)</f>
        <v>0</v>
      </c>
      <c r="W40" s="620" cm="1">
        <f t="array" aca="1" ref="W40" ca="1">IF(AUTOEVENTO="Manual",ROUND(SUMPRODUCT((CÁLCULO!$M$15:$M$165=EVENTOS!$C40)*(OFFSET(CÁLCULO!$AI$15:$AI$165,0,W$13))),2),0)</f>
        <v>0</v>
      </c>
      <c r="X40" s="620" cm="1">
        <f t="array" aca="1" ref="X40" ca="1">IF(AUTOEVENTO="Manual",ROUND(SUMPRODUCT((CÁLCULO!$M$15:$M$165=EVENTOS!$C40)*(OFFSET(CÁLCULO!$AI$15:$AI$165,0,X$13))),2),0)</f>
        <v>0</v>
      </c>
      <c r="Y40" s="620" cm="1">
        <f t="array" aca="1" ref="Y40" ca="1">IF(AUTOEVENTO="Manual",ROUND(SUMPRODUCT((CÁLCULO!$M$15:$M$165=EVENTOS!$C40)*(OFFSET(CÁLCULO!$AI$15:$AI$165,0,Y$13))),2),0)</f>
        <v>0</v>
      </c>
    </row>
    <row r="41" spans="1:25" x14ac:dyDescent="0.25">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IF(AUTOEVENTO="Manual",ROUND(SUMPRODUCT((CÁLCULO!$M$15:$M$165=EVENTOS!$C41)*(OFFSET(CÁLCULO!$AI$15:$AI$165,0,E$13))),2),0)</f>
        <v>0</v>
      </c>
      <c r="F41" s="183">
        <f ca="1">IF(AUTOEVENTO="Manual",ROUND(SUMPRODUCT((CÁLCULO!$M$15:$M$165=EVENTOS!$C41)*(OFFSET(CÁLCULO!$AI$15,0,1):OFFSET(CÁLCULO!$BB$165,0,-1))),2),0)</f>
        <v>0</v>
      </c>
      <c r="G41" s="621" t="str">
        <f t="shared" ca="1" si="5"/>
        <v/>
      </c>
      <c r="H41" s="620" cm="1">
        <f t="array" aca="1" ref="H41" ca="1">IF(AUTOEVENTO="Manual",ROUND(SUMPRODUCT((CÁLCULO!$M$15:$M$165=EVENTOS!$C41)*(OFFSET(CÁLCULO!$AI$15:$AI$165,0,H$13))),2),0)</f>
        <v>0</v>
      </c>
      <c r="I41" s="620" cm="1">
        <f t="array" aca="1" ref="I41" ca="1">IF(AUTOEVENTO="Manual",ROUND(SUMPRODUCT((CÁLCULO!$M$15:$M$165=EVENTOS!$C41)*(OFFSET(CÁLCULO!$AI$15:$AI$165,0,I$13))),2),0)</f>
        <v>0</v>
      </c>
      <c r="J41" s="620" cm="1">
        <f t="array" aca="1" ref="J41" ca="1">IF(AUTOEVENTO="Manual",ROUND(SUMPRODUCT((CÁLCULO!$M$15:$M$165=EVENTOS!$C41)*(OFFSET(CÁLCULO!$AI$15:$AI$165,0,J$13))),2),0)</f>
        <v>0</v>
      </c>
      <c r="K41" s="620" cm="1">
        <f t="array" aca="1" ref="K41" ca="1">IF(AUTOEVENTO="Manual",ROUND(SUMPRODUCT((CÁLCULO!$M$15:$M$165=EVENTOS!$C41)*(OFFSET(CÁLCULO!$AI$15:$AI$165,0,K$13))),2),0)</f>
        <v>0</v>
      </c>
      <c r="L41" s="620" cm="1">
        <f t="array" aca="1" ref="L41" ca="1">IF(AUTOEVENTO="Manual",ROUND(SUMPRODUCT((CÁLCULO!$M$15:$M$165=EVENTOS!$C41)*(OFFSET(CÁLCULO!$AI$15:$AI$165,0,L$13))),2),0)</f>
        <v>0</v>
      </c>
      <c r="M41" s="620" cm="1">
        <f t="array" aca="1" ref="M41" ca="1">IF(AUTOEVENTO="Manual",ROUND(SUMPRODUCT((CÁLCULO!$M$15:$M$165=EVENTOS!$C41)*(OFFSET(CÁLCULO!$AI$15:$AI$165,0,M$13))),2),0)</f>
        <v>0</v>
      </c>
      <c r="N41" s="620" cm="1">
        <f t="array" aca="1" ref="N41" ca="1">IF(AUTOEVENTO="Manual",ROUND(SUMPRODUCT((CÁLCULO!$M$15:$M$165=EVENTOS!$C41)*(OFFSET(CÁLCULO!$AI$15:$AI$165,0,N$13))),2),0)</f>
        <v>0</v>
      </c>
      <c r="O41" s="620" cm="1">
        <f t="array" aca="1" ref="O41" ca="1">IF(AUTOEVENTO="Manual",ROUND(SUMPRODUCT((CÁLCULO!$M$15:$M$165=EVENTOS!$C41)*(OFFSET(CÁLCULO!$AI$15:$AI$165,0,O$13))),2),0)</f>
        <v>0</v>
      </c>
      <c r="P41" s="620" cm="1">
        <f t="array" aca="1" ref="P41" ca="1">IF(AUTOEVENTO="Manual",ROUND(SUMPRODUCT((CÁLCULO!$M$15:$M$165=EVENTOS!$C41)*(OFFSET(CÁLCULO!$AI$15:$AI$165,0,P$13))),2),0)</f>
        <v>0</v>
      </c>
      <c r="Q41" s="620" cm="1">
        <f t="array" aca="1" ref="Q41" ca="1">IF(AUTOEVENTO="Manual",ROUND(SUMPRODUCT((CÁLCULO!$M$15:$M$165=EVENTOS!$C41)*(OFFSET(CÁLCULO!$AI$15:$AI$165,0,Q$13))),2),0)</f>
        <v>0</v>
      </c>
      <c r="R41" s="620" cm="1">
        <f t="array" aca="1" ref="R41" ca="1">IF(AUTOEVENTO="Manual",ROUND(SUMPRODUCT((CÁLCULO!$M$15:$M$165=EVENTOS!$C41)*(OFFSET(CÁLCULO!$AI$15:$AI$165,0,R$13))),2),0)</f>
        <v>0</v>
      </c>
      <c r="S41" s="620" cm="1">
        <f t="array" aca="1" ref="S41" ca="1">IF(AUTOEVENTO="Manual",ROUND(SUMPRODUCT((CÁLCULO!$M$15:$M$165=EVENTOS!$C41)*(OFFSET(CÁLCULO!$AI$15:$AI$165,0,S$13))),2),0)</f>
        <v>0</v>
      </c>
      <c r="T41" s="620" cm="1">
        <f t="array" aca="1" ref="T41" ca="1">IF(AUTOEVENTO="Manual",ROUND(SUMPRODUCT((CÁLCULO!$M$15:$M$165=EVENTOS!$C41)*(OFFSET(CÁLCULO!$AI$15:$AI$165,0,T$13))),2),0)</f>
        <v>0</v>
      </c>
      <c r="U41" s="620" cm="1">
        <f t="array" aca="1" ref="U41" ca="1">IF(AUTOEVENTO="Manual",ROUND(SUMPRODUCT((CÁLCULO!$M$15:$M$165=EVENTOS!$C41)*(OFFSET(CÁLCULO!$AI$15:$AI$165,0,U$13))),2),0)</f>
        <v>0</v>
      </c>
      <c r="V41" s="620" cm="1">
        <f t="array" aca="1" ref="V41" ca="1">IF(AUTOEVENTO="Manual",ROUND(SUMPRODUCT((CÁLCULO!$M$15:$M$165=EVENTOS!$C41)*(OFFSET(CÁLCULO!$AI$15:$AI$165,0,V$13))),2),0)</f>
        <v>0</v>
      </c>
      <c r="W41" s="620" cm="1">
        <f t="array" aca="1" ref="W41" ca="1">IF(AUTOEVENTO="Manual",ROUND(SUMPRODUCT((CÁLCULO!$M$15:$M$165=EVENTOS!$C41)*(OFFSET(CÁLCULO!$AI$15:$AI$165,0,W$13))),2),0)</f>
        <v>0</v>
      </c>
      <c r="X41" s="620" cm="1">
        <f t="array" aca="1" ref="X41" ca="1">IF(AUTOEVENTO="Manual",ROUND(SUMPRODUCT((CÁLCULO!$M$15:$M$165=EVENTOS!$C41)*(OFFSET(CÁLCULO!$AI$15:$AI$165,0,X$13))),2),0)</f>
        <v>0</v>
      </c>
      <c r="Y41" s="620" cm="1">
        <f t="array" aca="1" ref="Y41" ca="1">IF(AUTOEVENTO="Manual",ROUND(SUMPRODUCT((CÁLCULO!$M$15:$M$165=EVENTOS!$C41)*(OFFSET(CÁLCULO!$AI$15:$AI$165,0,Y$13))),2),0)</f>
        <v>0</v>
      </c>
    </row>
    <row r="42" spans="1:25" x14ac:dyDescent="0.25">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IF(AUTOEVENTO="Manual",ROUND(SUMPRODUCT((CÁLCULO!$M$15:$M$165=EVENTOS!$C42)*(OFFSET(CÁLCULO!$AI$15:$AI$165,0,E$13))),2),0)</f>
        <v>0</v>
      </c>
      <c r="F42" s="183">
        <f ca="1">IF(AUTOEVENTO="Manual",ROUND(SUMPRODUCT((CÁLCULO!$M$15:$M$165=EVENTOS!$C42)*(OFFSET(CÁLCULO!$AI$15,0,1):OFFSET(CÁLCULO!$BB$165,0,-1))),2),0)</f>
        <v>0</v>
      </c>
      <c r="G42" s="621" t="str">
        <f t="shared" ca="1" si="5"/>
        <v/>
      </c>
      <c r="H42" s="620" cm="1">
        <f t="array" aca="1" ref="H42" ca="1">IF(AUTOEVENTO="Manual",ROUND(SUMPRODUCT((CÁLCULO!$M$15:$M$165=EVENTOS!$C42)*(OFFSET(CÁLCULO!$AI$15:$AI$165,0,H$13))),2),0)</f>
        <v>0</v>
      </c>
      <c r="I42" s="620" cm="1">
        <f t="array" aca="1" ref="I42" ca="1">IF(AUTOEVENTO="Manual",ROUND(SUMPRODUCT((CÁLCULO!$M$15:$M$165=EVENTOS!$C42)*(OFFSET(CÁLCULO!$AI$15:$AI$165,0,I$13))),2),0)</f>
        <v>0</v>
      </c>
      <c r="J42" s="620" cm="1">
        <f t="array" aca="1" ref="J42" ca="1">IF(AUTOEVENTO="Manual",ROUND(SUMPRODUCT((CÁLCULO!$M$15:$M$165=EVENTOS!$C42)*(OFFSET(CÁLCULO!$AI$15:$AI$165,0,J$13))),2),0)</f>
        <v>0</v>
      </c>
      <c r="K42" s="620" cm="1">
        <f t="array" aca="1" ref="K42" ca="1">IF(AUTOEVENTO="Manual",ROUND(SUMPRODUCT((CÁLCULO!$M$15:$M$165=EVENTOS!$C42)*(OFFSET(CÁLCULO!$AI$15:$AI$165,0,K$13))),2),0)</f>
        <v>0</v>
      </c>
      <c r="L42" s="620" cm="1">
        <f t="array" aca="1" ref="L42" ca="1">IF(AUTOEVENTO="Manual",ROUND(SUMPRODUCT((CÁLCULO!$M$15:$M$165=EVENTOS!$C42)*(OFFSET(CÁLCULO!$AI$15:$AI$165,0,L$13))),2),0)</f>
        <v>0</v>
      </c>
      <c r="M42" s="620" cm="1">
        <f t="array" aca="1" ref="M42" ca="1">IF(AUTOEVENTO="Manual",ROUND(SUMPRODUCT((CÁLCULO!$M$15:$M$165=EVENTOS!$C42)*(OFFSET(CÁLCULO!$AI$15:$AI$165,0,M$13))),2),0)</f>
        <v>0</v>
      </c>
      <c r="N42" s="620" cm="1">
        <f t="array" aca="1" ref="N42" ca="1">IF(AUTOEVENTO="Manual",ROUND(SUMPRODUCT((CÁLCULO!$M$15:$M$165=EVENTOS!$C42)*(OFFSET(CÁLCULO!$AI$15:$AI$165,0,N$13))),2),0)</f>
        <v>0</v>
      </c>
      <c r="O42" s="620" cm="1">
        <f t="array" aca="1" ref="O42" ca="1">IF(AUTOEVENTO="Manual",ROUND(SUMPRODUCT((CÁLCULO!$M$15:$M$165=EVENTOS!$C42)*(OFFSET(CÁLCULO!$AI$15:$AI$165,0,O$13))),2),0)</f>
        <v>0</v>
      </c>
      <c r="P42" s="620" cm="1">
        <f t="array" aca="1" ref="P42" ca="1">IF(AUTOEVENTO="Manual",ROUND(SUMPRODUCT((CÁLCULO!$M$15:$M$165=EVENTOS!$C42)*(OFFSET(CÁLCULO!$AI$15:$AI$165,0,P$13))),2),0)</f>
        <v>0</v>
      </c>
      <c r="Q42" s="620" cm="1">
        <f t="array" aca="1" ref="Q42" ca="1">IF(AUTOEVENTO="Manual",ROUND(SUMPRODUCT((CÁLCULO!$M$15:$M$165=EVENTOS!$C42)*(OFFSET(CÁLCULO!$AI$15:$AI$165,0,Q$13))),2),0)</f>
        <v>0</v>
      </c>
      <c r="R42" s="620" cm="1">
        <f t="array" aca="1" ref="R42" ca="1">IF(AUTOEVENTO="Manual",ROUND(SUMPRODUCT((CÁLCULO!$M$15:$M$165=EVENTOS!$C42)*(OFFSET(CÁLCULO!$AI$15:$AI$165,0,R$13))),2),0)</f>
        <v>0</v>
      </c>
      <c r="S42" s="620" cm="1">
        <f t="array" aca="1" ref="S42" ca="1">IF(AUTOEVENTO="Manual",ROUND(SUMPRODUCT((CÁLCULO!$M$15:$M$165=EVENTOS!$C42)*(OFFSET(CÁLCULO!$AI$15:$AI$165,0,S$13))),2),0)</f>
        <v>0</v>
      </c>
      <c r="T42" s="620" cm="1">
        <f t="array" aca="1" ref="T42" ca="1">IF(AUTOEVENTO="Manual",ROUND(SUMPRODUCT((CÁLCULO!$M$15:$M$165=EVENTOS!$C42)*(OFFSET(CÁLCULO!$AI$15:$AI$165,0,T$13))),2),0)</f>
        <v>0</v>
      </c>
      <c r="U42" s="620" cm="1">
        <f t="array" aca="1" ref="U42" ca="1">IF(AUTOEVENTO="Manual",ROUND(SUMPRODUCT((CÁLCULO!$M$15:$M$165=EVENTOS!$C42)*(OFFSET(CÁLCULO!$AI$15:$AI$165,0,U$13))),2),0)</f>
        <v>0</v>
      </c>
      <c r="V42" s="620" cm="1">
        <f t="array" aca="1" ref="V42" ca="1">IF(AUTOEVENTO="Manual",ROUND(SUMPRODUCT((CÁLCULO!$M$15:$M$165=EVENTOS!$C42)*(OFFSET(CÁLCULO!$AI$15:$AI$165,0,V$13))),2),0)</f>
        <v>0</v>
      </c>
      <c r="W42" s="620" cm="1">
        <f t="array" aca="1" ref="W42" ca="1">IF(AUTOEVENTO="Manual",ROUND(SUMPRODUCT((CÁLCULO!$M$15:$M$165=EVENTOS!$C42)*(OFFSET(CÁLCULO!$AI$15:$AI$165,0,W$13))),2),0)</f>
        <v>0</v>
      </c>
      <c r="X42" s="620" cm="1">
        <f t="array" aca="1" ref="X42" ca="1">IF(AUTOEVENTO="Manual",ROUND(SUMPRODUCT((CÁLCULO!$M$15:$M$165=EVENTOS!$C42)*(OFFSET(CÁLCULO!$AI$15:$AI$165,0,X$13))),2),0)</f>
        <v>0</v>
      </c>
      <c r="Y42" s="620" cm="1">
        <f t="array" aca="1" ref="Y42" ca="1">IF(AUTOEVENTO="Manual",ROUND(SUMPRODUCT((CÁLCULO!$M$15:$M$165=EVENTOS!$C42)*(OFFSET(CÁLCULO!$AI$15:$AI$165,0,Y$13))),2),0)</f>
        <v>0</v>
      </c>
    </row>
    <row r="43" spans="1:25" x14ac:dyDescent="0.25">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IF(AUTOEVENTO="Manual",ROUND(SUMPRODUCT((CÁLCULO!$M$15:$M$165=EVENTOS!$C43)*(OFFSET(CÁLCULO!$AI$15:$AI$165,0,E$13))),2),0)</f>
        <v>0</v>
      </c>
      <c r="F43" s="183">
        <f ca="1">IF(AUTOEVENTO="Manual",ROUND(SUMPRODUCT((CÁLCULO!$M$15:$M$165=EVENTOS!$C43)*(OFFSET(CÁLCULO!$AI$15,0,1):OFFSET(CÁLCULO!$BB$165,0,-1))),2),0)</f>
        <v>0</v>
      </c>
      <c r="G43" s="621" t="str">
        <f t="shared" ca="1" si="5"/>
        <v/>
      </c>
      <c r="H43" s="620" cm="1">
        <f t="array" aca="1" ref="H43" ca="1">IF(AUTOEVENTO="Manual",ROUND(SUMPRODUCT((CÁLCULO!$M$15:$M$165=EVENTOS!$C43)*(OFFSET(CÁLCULO!$AI$15:$AI$165,0,H$13))),2),0)</f>
        <v>0</v>
      </c>
      <c r="I43" s="620" cm="1">
        <f t="array" aca="1" ref="I43" ca="1">IF(AUTOEVENTO="Manual",ROUND(SUMPRODUCT((CÁLCULO!$M$15:$M$165=EVENTOS!$C43)*(OFFSET(CÁLCULO!$AI$15:$AI$165,0,I$13))),2),0)</f>
        <v>0</v>
      </c>
      <c r="J43" s="620" cm="1">
        <f t="array" aca="1" ref="J43" ca="1">IF(AUTOEVENTO="Manual",ROUND(SUMPRODUCT((CÁLCULO!$M$15:$M$165=EVENTOS!$C43)*(OFFSET(CÁLCULO!$AI$15:$AI$165,0,J$13))),2),0)</f>
        <v>0</v>
      </c>
      <c r="K43" s="620" cm="1">
        <f t="array" aca="1" ref="K43" ca="1">IF(AUTOEVENTO="Manual",ROUND(SUMPRODUCT((CÁLCULO!$M$15:$M$165=EVENTOS!$C43)*(OFFSET(CÁLCULO!$AI$15:$AI$165,0,K$13))),2),0)</f>
        <v>0</v>
      </c>
      <c r="L43" s="620" cm="1">
        <f t="array" aca="1" ref="L43" ca="1">IF(AUTOEVENTO="Manual",ROUND(SUMPRODUCT((CÁLCULO!$M$15:$M$165=EVENTOS!$C43)*(OFFSET(CÁLCULO!$AI$15:$AI$165,0,L$13))),2),0)</f>
        <v>0</v>
      </c>
      <c r="M43" s="620" cm="1">
        <f t="array" aca="1" ref="M43" ca="1">IF(AUTOEVENTO="Manual",ROUND(SUMPRODUCT((CÁLCULO!$M$15:$M$165=EVENTOS!$C43)*(OFFSET(CÁLCULO!$AI$15:$AI$165,0,M$13))),2),0)</f>
        <v>0</v>
      </c>
      <c r="N43" s="620" cm="1">
        <f t="array" aca="1" ref="N43" ca="1">IF(AUTOEVENTO="Manual",ROUND(SUMPRODUCT((CÁLCULO!$M$15:$M$165=EVENTOS!$C43)*(OFFSET(CÁLCULO!$AI$15:$AI$165,0,N$13))),2),0)</f>
        <v>0</v>
      </c>
      <c r="O43" s="620" cm="1">
        <f t="array" aca="1" ref="O43" ca="1">IF(AUTOEVENTO="Manual",ROUND(SUMPRODUCT((CÁLCULO!$M$15:$M$165=EVENTOS!$C43)*(OFFSET(CÁLCULO!$AI$15:$AI$165,0,O$13))),2),0)</f>
        <v>0</v>
      </c>
      <c r="P43" s="620" cm="1">
        <f t="array" aca="1" ref="P43" ca="1">IF(AUTOEVENTO="Manual",ROUND(SUMPRODUCT((CÁLCULO!$M$15:$M$165=EVENTOS!$C43)*(OFFSET(CÁLCULO!$AI$15:$AI$165,0,P$13))),2),0)</f>
        <v>0</v>
      </c>
      <c r="Q43" s="620" cm="1">
        <f t="array" aca="1" ref="Q43" ca="1">IF(AUTOEVENTO="Manual",ROUND(SUMPRODUCT((CÁLCULO!$M$15:$M$165=EVENTOS!$C43)*(OFFSET(CÁLCULO!$AI$15:$AI$165,0,Q$13))),2),0)</f>
        <v>0</v>
      </c>
      <c r="R43" s="620" cm="1">
        <f t="array" aca="1" ref="R43" ca="1">IF(AUTOEVENTO="Manual",ROUND(SUMPRODUCT((CÁLCULO!$M$15:$M$165=EVENTOS!$C43)*(OFFSET(CÁLCULO!$AI$15:$AI$165,0,R$13))),2),0)</f>
        <v>0</v>
      </c>
      <c r="S43" s="620" cm="1">
        <f t="array" aca="1" ref="S43" ca="1">IF(AUTOEVENTO="Manual",ROUND(SUMPRODUCT((CÁLCULO!$M$15:$M$165=EVENTOS!$C43)*(OFFSET(CÁLCULO!$AI$15:$AI$165,0,S$13))),2),0)</f>
        <v>0</v>
      </c>
      <c r="T43" s="620" cm="1">
        <f t="array" aca="1" ref="T43" ca="1">IF(AUTOEVENTO="Manual",ROUND(SUMPRODUCT((CÁLCULO!$M$15:$M$165=EVENTOS!$C43)*(OFFSET(CÁLCULO!$AI$15:$AI$165,0,T$13))),2),0)</f>
        <v>0</v>
      </c>
      <c r="U43" s="620" cm="1">
        <f t="array" aca="1" ref="U43" ca="1">IF(AUTOEVENTO="Manual",ROUND(SUMPRODUCT((CÁLCULO!$M$15:$M$165=EVENTOS!$C43)*(OFFSET(CÁLCULO!$AI$15:$AI$165,0,U$13))),2),0)</f>
        <v>0</v>
      </c>
      <c r="V43" s="620" cm="1">
        <f t="array" aca="1" ref="V43" ca="1">IF(AUTOEVENTO="Manual",ROUND(SUMPRODUCT((CÁLCULO!$M$15:$M$165=EVENTOS!$C43)*(OFFSET(CÁLCULO!$AI$15:$AI$165,0,V$13))),2),0)</f>
        <v>0</v>
      </c>
      <c r="W43" s="620" cm="1">
        <f t="array" aca="1" ref="W43" ca="1">IF(AUTOEVENTO="Manual",ROUND(SUMPRODUCT((CÁLCULO!$M$15:$M$165=EVENTOS!$C43)*(OFFSET(CÁLCULO!$AI$15:$AI$165,0,W$13))),2),0)</f>
        <v>0</v>
      </c>
      <c r="X43" s="620" cm="1">
        <f t="array" aca="1" ref="X43" ca="1">IF(AUTOEVENTO="Manual",ROUND(SUMPRODUCT((CÁLCULO!$M$15:$M$165=EVENTOS!$C43)*(OFFSET(CÁLCULO!$AI$15:$AI$165,0,X$13))),2),0)</f>
        <v>0</v>
      </c>
      <c r="Y43" s="620" cm="1">
        <f t="array" aca="1" ref="Y43" ca="1">IF(AUTOEVENTO="Manual",ROUND(SUMPRODUCT((CÁLCULO!$M$15:$M$165=EVENTOS!$C43)*(OFFSET(CÁLCULO!$AI$15:$AI$165,0,Y$13))),2),0)</f>
        <v>0</v>
      </c>
    </row>
    <row r="44" spans="1:25" x14ac:dyDescent="0.25">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IF(AUTOEVENTO="Manual",ROUND(SUMPRODUCT((CÁLCULO!$M$15:$M$165=EVENTOS!$C44)*(OFFSET(CÁLCULO!$AI$15:$AI$165,0,E$13))),2),0)</f>
        <v>0</v>
      </c>
      <c r="F44" s="183">
        <f ca="1">IF(AUTOEVENTO="Manual",ROUND(SUMPRODUCT((CÁLCULO!$M$15:$M$165=EVENTOS!$C44)*(OFFSET(CÁLCULO!$AI$15,0,1):OFFSET(CÁLCULO!$BB$165,0,-1))),2),0)</f>
        <v>0</v>
      </c>
      <c r="G44" s="621" t="str">
        <f t="shared" ca="1" si="5"/>
        <v/>
      </c>
      <c r="H44" s="620" cm="1">
        <f t="array" aca="1" ref="H44" ca="1">IF(AUTOEVENTO="Manual",ROUND(SUMPRODUCT((CÁLCULO!$M$15:$M$165=EVENTOS!$C44)*(OFFSET(CÁLCULO!$AI$15:$AI$165,0,H$13))),2),0)</f>
        <v>0</v>
      </c>
      <c r="I44" s="620" cm="1">
        <f t="array" aca="1" ref="I44" ca="1">IF(AUTOEVENTO="Manual",ROUND(SUMPRODUCT((CÁLCULO!$M$15:$M$165=EVENTOS!$C44)*(OFFSET(CÁLCULO!$AI$15:$AI$165,0,I$13))),2),0)</f>
        <v>0</v>
      </c>
      <c r="J44" s="620" cm="1">
        <f t="array" aca="1" ref="J44" ca="1">IF(AUTOEVENTO="Manual",ROUND(SUMPRODUCT((CÁLCULO!$M$15:$M$165=EVENTOS!$C44)*(OFFSET(CÁLCULO!$AI$15:$AI$165,0,J$13))),2),0)</f>
        <v>0</v>
      </c>
      <c r="K44" s="620" cm="1">
        <f t="array" aca="1" ref="K44" ca="1">IF(AUTOEVENTO="Manual",ROUND(SUMPRODUCT((CÁLCULO!$M$15:$M$165=EVENTOS!$C44)*(OFFSET(CÁLCULO!$AI$15:$AI$165,0,K$13))),2),0)</f>
        <v>0</v>
      </c>
      <c r="L44" s="620" cm="1">
        <f t="array" aca="1" ref="L44" ca="1">IF(AUTOEVENTO="Manual",ROUND(SUMPRODUCT((CÁLCULO!$M$15:$M$165=EVENTOS!$C44)*(OFFSET(CÁLCULO!$AI$15:$AI$165,0,L$13))),2),0)</f>
        <v>0</v>
      </c>
      <c r="M44" s="620" cm="1">
        <f t="array" aca="1" ref="M44" ca="1">IF(AUTOEVENTO="Manual",ROUND(SUMPRODUCT((CÁLCULO!$M$15:$M$165=EVENTOS!$C44)*(OFFSET(CÁLCULO!$AI$15:$AI$165,0,M$13))),2),0)</f>
        <v>0</v>
      </c>
      <c r="N44" s="620" cm="1">
        <f t="array" aca="1" ref="N44" ca="1">IF(AUTOEVENTO="Manual",ROUND(SUMPRODUCT((CÁLCULO!$M$15:$M$165=EVENTOS!$C44)*(OFFSET(CÁLCULO!$AI$15:$AI$165,0,N$13))),2),0)</f>
        <v>0</v>
      </c>
      <c r="O44" s="620" cm="1">
        <f t="array" aca="1" ref="O44" ca="1">IF(AUTOEVENTO="Manual",ROUND(SUMPRODUCT((CÁLCULO!$M$15:$M$165=EVENTOS!$C44)*(OFFSET(CÁLCULO!$AI$15:$AI$165,0,O$13))),2),0)</f>
        <v>0</v>
      </c>
      <c r="P44" s="620" cm="1">
        <f t="array" aca="1" ref="P44" ca="1">IF(AUTOEVENTO="Manual",ROUND(SUMPRODUCT((CÁLCULO!$M$15:$M$165=EVENTOS!$C44)*(OFFSET(CÁLCULO!$AI$15:$AI$165,0,P$13))),2),0)</f>
        <v>0</v>
      </c>
      <c r="Q44" s="620" cm="1">
        <f t="array" aca="1" ref="Q44" ca="1">IF(AUTOEVENTO="Manual",ROUND(SUMPRODUCT((CÁLCULO!$M$15:$M$165=EVENTOS!$C44)*(OFFSET(CÁLCULO!$AI$15:$AI$165,0,Q$13))),2),0)</f>
        <v>0</v>
      </c>
      <c r="R44" s="620" cm="1">
        <f t="array" aca="1" ref="R44" ca="1">IF(AUTOEVENTO="Manual",ROUND(SUMPRODUCT((CÁLCULO!$M$15:$M$165=EVENTOS!$C44)*(OFFSET(CÁLCULO!$AI$15:$AI$165,0,R$13))),2),0)</f>
        <v>0</v>
      </c>
      <c r="S44" s="620" cm="1">
        <f t="array" aca="1" ref="S44" ca="1">IF(AUTOEVENTO="Manual",ROUND(SUMPRODUCT((CÁLCULO!$M$15:$M$165=EVENTOS!$C44)*(OFFSET(CÁLCULO!$AI$15:$AI$165,0,S$13))),2),0)</f>
        <v>0</v>
      </c>
      <c r="T44" s="620" cm="1">
        <f t="array" aca="1" ref="T44" ca="1">IF(AUTOEVENTO="Manual",ROUND(SUMPRODUCT((CÁLCULO!$M$15:$M$165=EVENTOS!$C44)*(OFFSET(CÁLCULO!$AI$15:$AI$165,0,T$13))),2),0)</f>
        <v>0</v>
      </c>
      <c r="U44" s="620" cm="1">
        <f t="array" aca="1" ref="U44" ca="1">IF(AUTOEVENTO="Manual",ROUND(SUMPRODUCT((CÁLCULO!$M$15:$M$165=EVENTOS!$C44)*(OFFSET(CÁLCULO!$AI$15:$AI$165,0,U$13))),2),0)</f>
        <v>0</v>
      </c>
      <c r="V44" s="620" cm="1">
        <f t="array" aca="1" ref="V44" ca="1">IF(AUTOEVENTO="Manual",ROUND(SUMPRODUCT((CÁLCULO!$M$15:$M$165=EVENTOS!$C44)*(OFFSET(CÁLCULO!$AI$15:$AI$165,0,V$13))),2),0)</f>
        <v>0</v>
      </c>
      <c r="W44" s="620" cm="1">
        <f t="array" aca="1" ref="W44" ca="1">IF(AUTOEVENTO="Manual",ROUND(SUMPRODUCT((CÁLCULO!$M$15:$M$165=EVENTOS!$C44)*(OFFSET(CÁLCULO!$AI$15:$AI$165,0,W$13))),2),0)</f>
        <v>0</v>
      </c>
      <c r="X44" s="620" cm="1">
        <f t="array" aca="1" ref="X44" ca="1">IF(AUTOEVENTO="Manual",ROUND(SUMPRODUCT((CÁLCULO!$M$15:$M$165=EVENTOS!$C44)*(OFFSET(CÁLCULO!$AI$15:$AI$165,0,X$13))),2),0)</f>
        <v>0</v>
      </c>
      <c r="Y44" s="620" cm="1">
        <f t="array" aca="1" ref="Y44" ca="1">IF(AUTOEVENTO="Manual",ROUND(SUMPRODUCT((CÁLCULO!$M$15:$M$165=EVENTOS!$C44)*(OFFSET(CÁLCULO!$AI$15:$AI$165,0,Y$13))),2),0)</f>
        <v>0</v>
      </c>
    </row>
    <row r="45" spans="1:25" x14ac:dyDescent="0.25">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IF(AUTOEVENTO="Manual",ROUND(SUMPRODUCT((CÁLCULO!$M$15:$M$165=EVENTOS!$C45)*(OFFSET(CÁLCULO!$AI$15:$AI$165,0,E$13))),2),0)</f>
        <v>0</v>
      </c>
      <c r="F45" s="183">
        <f ca="1">IF(AUTOEVENTO="Manual",ROUND(SUMPRODUCT((CÁLCULO!$M$15:$M$165=EVENTOS!$C45)*(OFFSET(CÁLCULO!$AI$15,0,1):OFFSET(CÁLCULO!$BB$165,0,-1))),2),0)</f>
        <v>0</v>
      </c>
      <c r="G45" s="621" t="str">
        <f t="shared" ca="1" si="5"/>
        <v/>
      </c>
      <c r="H45" s="620" cm="1">
        <f t="array" aca="1" ref="H45" ca="1">IF(AUTOEVENTO="Manual",ROUND(SUMPRODUCT((CÁLCULO!$M$15:$M$165=EVENTOS!$C45)*(OFFSET(CÁLCULO!$AI$15:$AI$165,0,H$13))),2),0)</f>
        <v>0</v>
      </c>
      <c r="I45" s="620" cm="1">
        <f t="array" aca="1" ref="I45" ca="1">IF(AUTOEVENTO="Manual",ROUND(SUMPRODUCT((CÁLCULO!$M$15:$M$165=EVENTOS!$C45)*(OFFSET(CÁLCULO!$AI$15:$AI$165,0,I$13))),2),0)</f>
        <v>0</v>
      </c>
      <c r="J45" s="620" cm="1">
        <f t="array" aca="1" ref="J45" ca="1">IF(AUTOEVENTO="Manual",ROUND(SUMPRODUCT((CÁLCULO!$M$15:$M$165=EVENTOS!$C45)*(OFFSET(CÁLCULO!$AI$15:$AI$165,0,J$13))),2),0)</f>
        <v>0</v>
      </c>
      <c r="K45" s="620" cm="1">
        <f t="array" aca="1" ref="K45" ca="1">IF(AUTOEVENTO="Manual",ROUND(SUMPRODUCT((CÁLCULO!$M$15:$M$165=EVENTOS!$C45)*(OFFSET(CÁLCULO!$AI$15:$AI$165,0,K$13))),2),0)</f>
        <v>0</v>
      </c>
      <c r="L45" s="620" cm="1">
        <f t="array" aca="1" ref="L45" ca="1">IF(AUTOEVENTO="Manual",ROUND(SUMPRODUCT((CÁLCULO!$M$15:$M$165=EVENTOS!$C45)*(OFFSET(CÁLCULO!$AI$15:$AI$165,0,L$13))),2),0)</f>
        <v>0</v>
      </c>
      <c r="M45" s="620" cm="1">
        <f t="array" aca="1" ref="M45" ca="1">IF(AUTOEVENTO="Manual",ROUND(SUMPRODUCT((CÁLCULO!$M$15:$M$165=EVENTOS!$C45)*(OFFSET(CÁLCULO!$AI$15:$AI$165,0,M$13))),2),0)</f>
        <v>0</v>
      </c>
      <c r="N45" s="620" cm="1">
        <f t="array" aca="1" ref="N45" ca="1">IF(AUTOEVENTO="Manual",ROUND(SUMPRODUCT((CÁLCULO!$M$15:$M$165=EVENTOS!$C45)*(OFFSET(CÁLCULO!$AI$15:$AI$165,0,N$13))),2),0)</f>
        <v>0</v>
      </c>
      <c r="O45" s="620" cm="1">
        <f t="array" aca="1" ref="O45" ca="1">IF(AUTOEVENTO="Manual",ROUND(SUMPRODUCT((CÁLCULO!$M$15:$M$165=EVENTOS!$C45)*(OFFSET(CÁLCULO!$AI$15:$AI$165,0,O$13))),2),0)</f>
        <v>0</v>
      </c>
      <c r="P45" s="620" cm="1">
        <f t="array" aca="1" ref="P45" ca="1">IF(AUTOEVENTO="Manual",ROUND(SUMPRODUCT((CÁLCULO!$M$15:$M$165=EVENTOS!$C45)*(OFFSET(CÁLCULO!$AI$15:$AI$165,0,P$13))),2),0)</f>
        <v>0</v>
      </c>
      <c r="Q45" s="620" cm="1">
        <f t="array" aca="1" ref="Q45" ca="1">IF(AUTOEVENTO="Manual",ROUND(SUMPRODUCT((CÁLCULO!$M$15:$M$165=EVENTOS!$C45)*(OFFSET(CÁLCULO!$AI$15:$AI$165,0,Q$13))),2),0)</f>
        <v>0</v>
      </c>
      <c r="R45" s="620" cm="1">
        <f t="array" aca="1" ref="R45" ca="1">IF(AUTOEVENTO="Manual",ROUND(SUMPRODUCT((CÁLCULO!$M$15:$M$165=EVENTOS!$C45)*(OFFSET(CÁLCULO!$AI$15:$AI$165,0,R$13))),2),0)</f>
        <v>0</v>
      </c>
      <c r="S45" s="620" cm="1">
        <f t="array" aca="1" ref="S45" ca="1">IF(AUTOEVENTO="Manual",ROUND(SUMPRODUCT((CÁLCULO!$M$15:$M$165=EVENTOS!$C45)*(OFFSET(CÁLCULO!$AI$15:$AI$165,0,S$13))),2),0)</f>
        <v>0</v>
      </c>
      <c r="T45" s="620" cm="1">
        <f t="array" aca="1" ref="T45" ca="1">IF(AUTOEVENTO="Manual",ROUND(SUMPRODUCT((CÁLCULO!$M$15:$M$165=EVENTOS!$C45)*(OFFSET(CÁLCULO!$AI$15:$AI$165,0,T$13))),2),0)</f>
        <v>0</v>
      </c>
      <c r="U45" s="620" cm="1">
        <f t="array" aca="1" ref="U45" ca="1">IF(AUTOEVENTO="Manual",ROUND(SUMPRODUCT((CÁLCULO!$M$15:$M$165=EVENTOS!$C45)*(OFFSET(CÁLCULO!$AI$15:$AI$165,0,U$13))),2),0)</f>
        <v>0</v>
      </c>
      <c r="V45" s="620" cm="1">
        <f t="array" aca="1" ref="V45" ca="1">IF(AUTOEVENTO="Manual",ROUND(SUMPRODUCT((CÁLCULO!$M$15:$M$165=EVENTOS!$C45)*(OFFSET(CÁLCULO!$AI$15:$AI$165,0,V$13))),2),0)</f>
        <v>0</v>
      </c>
      <c r="W45" s="620" cm="1">
        <f t="array" aca="1" ref="W45" ca="1">IF(AUTOEVENTO="Manual",ROUND(SUMPRODUCT((CÁLCULO!$M$15:$M$165=EVENTOS!$C45)*(OFFSET(CÁLCULO!$AI$15:$AI$165,0,W$13))),2),0)</f>
        <v>0</v>
      </c>
      <c r="X45" s="620" cm="1">
        <f t="array" aca="1" ref="X45" ca="1">IF(AUTOEVENTO="Manual",ROUND(SUMPRODUCT((CÁLCULO!$M$15:$M$165=EVENTOS!$C45)*(OFFSET(CÁLCULO!$AI$15:$AI$165,0,X$13))),2),0)</f>
        <v>0</v>
      </c>
      <c r="Y45" s="620" cm="1">
        <f t="array" aca="1" ref="Y45" ca="1">IF(AUTOEVENTO="Manual",ROUND(SUMPRODUCT((CÁLCULO!$M$15:$M$165=EVENTOS!$C45)*(OFFSET(CÁLCULO!$AI$15:$AI$165,0,Y$13))),2),0)</f>
        <v>0</v>
      </c>
    </row>
    <row r="46" spans="1:25" x14ac:dyDescent="0.25">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IF(AUTOEVENTO="Manual",ROUND(SUMPRODUCT((CÁLCULO!$M$15:$M$165=EVENTOS!$C46)*(OFFSET(CÁLCULO!$AI$15:$AI$165,0,E$13))),2),0)</f>
        <v>0</v>
      </c>
      <c r="F46" s="183">
        <f ca="1">IF(AUTOEVENTO="Manual",ROUND(SUMPRODUCT((CÁLCULO!$M$15:$M$165=EVENTOS!$C46)*(OFFSET(CÁLCULO!$AI$15,0,1):OFFSET(CÁLCULO!$BB$165,0,-1))),2),0)</f>
        <v>0</v>
      </c>
      <c r="G46" s="621" t="str">
        <f t="shared" ca="1" si="5"/>
        <v/>
      </c>
      <c r="H46" s="620" cm="1">
        <f t="array" aca="1" ref="H46" ca="1">IF(AUTOEVENTO="Manual",ROUND(SUMPRODUCT((CÁLCULO!$M$15:$M$165=EVENTOS!$C46)*(OFFSET(CÁLCULO!$AI$15:$AI$165,0,H$13))),2),0)</f>
        <v>0</v>
      </c>
      <c r="I46" s="620" cm="1">
        <f t="array" aca="1" ref="I46" ca="1">IF(AUTOEVENTO="Manual",ROUND(SUMPRODUCT((CÁLCULO!$M$15:$M$165=EVENTOS!$C46)*(OFFSET(CÁLCULO!$AI$15:$AI$165,0,I$13))),2),0)</f>
        <v>0</v>
      </c>
      <c r="J46" s="620" cm="1">
        <f t="array" aca="1" ref="J46" ca="1">IF(AUTOEVENTO="Manual",ROUND(SUMPRODUCT((CÁLCULO!$M$15:$M$165=EVENTOS!$C46)*(OFFSET(CÁLCULO!$AI$15:$AI$165,0,J$13))),2),0)</f>
        <v>0</v>
      </c>
      <c r="K46" s="620" cm="1">
        <f t="array" aca="1" ref="K46" ca="1">IF(AUTOEVENTO="Manual",ROUND(SUMPRODUCT((CÁLCULO!$M$15:$M$165=EVENTOS!$C46)*(OFFSET(CÁLCULO!$AI$15:$AI$165,0,K$13))),2),0)</f>
        <v>0</v>
      </c>
      <c r="L46" s="620" cm="1">
        <f t="array" aca="1" ref="L46" ca="1">IF(AUTOEVENTO="Manual",ROUND(SUMPRODUCT((CÁLCULO!$M$15:$M$165=EVENTOS!$C46)*(OFFSET(CÁLCULO!$AI$15:$AI$165,0,L$13))),2),0)</f>
        <v>0</v>
      </c>
      <c r="M46" s="620" cm="1">
        <f t="array" aca="1" ref="M46" ca="1">IF(AUTOEVENTO="Manual",ROUND(SUMPRODUCT((CÁLCULO!$M$15:$M$165=EVENTOS!$C46)*(OFFSET(CÁLCULO!$AI$15:$AI$165,0,M$13))),2),0)</f>
        <v>0</v>
      </c>
      <c r="N46" s="620" cm="1">
        <f t="array" aca="1" ref="N46" ca="1">IF(AUTOEVENTO="Manual",ROUND(SUMPRODUCT((CÁLCULO!$M$15:$M$165=EVENTOS!$C46)*(OFFSET(CÁLCULO!$AI$15:$AI$165,0,N$13))),2),0)</f>
        <v>0</v>
      </c>
      <c r="O46" s="620" cm="1">
        <f t="array" aca="1" ref="O46" ca="1">IF(AUTOEVENTO="Manual",ROUND(SUMPRODUCT((CÁLCULO!$M$15:$M$165=EVENTOS!$C46)*(OFFSET(CÁLCULO!$AI$15:$AI$165,0,O$13))),2),0)</f>
        <v>0</v>
      </c>
      <c r="P46" s="620" cm="1">
        <f t="array" aca="1" ref="P46" ca="1">IF(AUTOEVENTO="Manual",ROUND(SUMPRODUCT((CÁLCULO!$M$15:$M$165=EVENTOS!$C46)*(OFFSET(CÁLCULO!$AI$15:$AI$165,0,P$13))),2),0)</f>
        <v>0</v>
      </c>
      <c r="Q46" s="620" cm="1">
        <f t="array" aca="1" ref="Q46" ca="1">IF(AUTOEVENTO="Manual",ROUND(SUMPRODUCT((CÁLCULO!$M$15:$M$165=EVENTOS!$C46)*(OFFSET(CÁLCULO!$AI$15:$AI$165,0,Q$13))),2),0)</f>
        <v>0</v>
      </c>
      <c r="R46" s="620" cm="1">
        <f t="array" aca="1" ref="R46" ca="1">IF(AUTOEVENTO="Manual",ROUND(SUMPRODUCT((CÁLCULO!$M$15:$M$165=EVENTOS!$C46)*(OFFSET(CÁLCULO!$AI$15:$AI$165,0,R$13))),2),0)</f>
        <v>0</v>
      </c>
      <c r="S46" s="620" cm="1">
        <f t="array" aca="1" ref="S46" ca="1">IF(AUTOEVENTO="Manual",ROUND(SUMPRODUCT((CÁLCULO!$M$15:$M$165=EVENTOS!$C46)*(OFFSET(CÁLCULO!$AI$15:$AI$165,0,S$13))),2),0)</f>
        <v>0</v>
      </c>
      <c r="T46" s="620" cm="1">
        <f t="array" aca="1" ref="T46" ca="1">IF(AUTOEVENTO="Manual",ROUND(SUMPRODUCT((CÁLCULO!$M$15:$M$165=EVENTOS!$C46)*(OFFSET(CÁLCULO!$AI$15:$AI$165,0,T$13))),2),0)</f>
        <v>0</v>
      </c>
      <c r="U46" s="620" cm="1">
        <f t="array" aca="1" ref="U46" ca="1">IF(AUTOEVENTO="Manual",ROUND(SUMPRODUCT((CÁLCULO!$M$15:$M$165=EVENTOS!$C46)*(OFFSET(CÁLCULO!$AI$15:$AI$165,0,U$13))),2),0)</f>
        <v>0</v>
      </c>
      <c r="V46" s="620" cm="1">
        <f t="array" aca="1" ref="V46" ca="1">IF(AUTOEVENTO="Manual",ROUND(SUMPRODUCT((CÁLCULO!$M$15:$M$165=EVENTOS!$C46)*(OFFSET(CÁLCULO!$AI$15:$AI$165,0,V$13))),2),0)</f>
        <v>0</v>
      </c>
      <c r="W46" s="620" cm="1">
        <f t="array" aca="1" ref="W46" ca="1">IF(AUTOEVENTO="Manual",ROUND(SUMPRODUCT((CÁLCULO!$M$15:$M$165=EVENTOS!$C46)*(OFFSET(CÁLCULO!$AI$15:$AI$165,0,W$13))),2),0)</f>
        <v>0</v>
      </c>
      <c r="X46" s="620" cm="1">
        <f t="array" aca="1" ref="X46" ca="1">IF(AUTOEVENTO="Manual",ROUND(SUMPRODUCT((CÁLCULO!$M$15:$M$165=EVENTOS!$C46)*(OFFSET(CÁLCULO!$AI$15:$AI$165,0,X$13))),2),0)</f>
        <v>0</v>
      </c>
      <c r="Y46" s="620" cm="1">
        <f t="array" aca="1" ref="Y46" ca="1">IF(AUTOEVENTO="Manual",ROUND(SUMPRODUCT((CÁLCULO!$M$15:$M$165=EVENTOS!$C46)*(OFFSET(CÁLCULO!$AI$15:$AI$165,0,Y$13))),2),0)</f>
        <v>0</v>
      </c>
    </row>
    <row r="47" spans="1:25" x14ac:dyDescent="0.25">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IF(AUTOEVENTO="Manual",ROUND(SUMPRODUCT((CÁLCULO!$M$15:$M$165=EVENTOS!$C47)*(OFFSET(CÁLCULO!$AI$15:$AI$165,0,E$13))),2),0)</f>
        <v>0</v>
      </c>
      <c r="F47" s="183">
        <f ca="1">IF(AUTOEVENTO="Manual",ROUND(SUMPRODUCT((CÁLCULO!$M$15:$M$165=EVENTOS!$C47)*(OFFSET(CÁLCULO!$AI$15,0,1):OFFSET(CÁLCULO!$BB$165,0,-1))),2),0)</f>
        <v>0</v>
      </c>
      <c r="G47" s="621" t="str">
        <f t="shared" ca="1" si="5"/>
        <v/>
      </c>
      <c r="H47" s="620" cm="1">
        <f t="array" aca="1" ref="H47" ca="1">IF(AUTOEVENTO="Manual",ROUND(SUMPRODUCT((CÁLCULO!$M$15:$M$165=EVENTOS!$C47)*(OFFSET(CÁLCULO!$AI$15:$AI$165,0,H$13))),2),0)</f>
        <v>0</v>
      </c>
      <c r="I47" s="620" cm="1">
        <f t="array" aca="1" ref="I47" ca="1">IF(AUTOEVENTO="Manual",ROUND(SUMPRODUCT((CÁLCULO!$M$15:$M$165=EVENTOS!$C47)*(OFFSET(CÁLCULO!$AI$15:$AI$165,0,I$13))),2),0)</f>
        <v>0</v>
      </c>
      <c r="J47" s="620" cm="1">
        <f t="array" aca="1" ref="J47" ca="1">IF(AUTOEVENTO="Manual",ROUND(SUMPRODUCT((CÁLCULO!$M$15:$M$165=EVENTOS!$C47)*(OFFSET(CÁLCULO!$AI$15:$AI$165,0,J$13))),2),0)</f>
        <v>0</v>
      </c>
      <c r="K47" s="620" cm="1">
        <f t="array" aca="1" ref="K47" ca="1">IF(AUTOEVENTO="Manual",ROUND(SUMPRODUCT((CÁLCULO!$M$15:$M$165=EVENTOS!$C47)*(OFFSET(CÁLCULO!$AI$15:$AI$165,0,K$13))),2),0)</f>
        <v>0</v>
      </c>
      <c r="L47" s="620" cm="1">
        <f t="array" aca="1" ref="L47" ca="1">IF(AUTOEVENTO="Manual",ROUND(SUMPRODUCT((CÁLCULO!$M$15:$M$165=EVENTOS!$C47)*(OFFSET(CÁLCULO!$AI$15:$AI$165,0,L$13))),2),0)</f>
        <v>0</v>
      </c>
      <c r="M47" s="620" cm="1">
        <f t="array" aca="1" ref="M47" ca="1">IF(AUTOEVENTO="Manual",ROUND(SUMPRODUCT((CÁLCULO!$M$15:$M$165=EVENTOS!$C47)*(OFFSET(CÁLCULO!$AI$15:$AI$165,0,M$13))),2),0)</f>
        <v>0</v>
      </c>
      <c r="N47" s="620" cm="1">
        <f t="array" aca="1" ref="N47" ca="1">IF(AUTOEVENTO="Manual",ROUND(SUMPRODUCT((CÁLCULO!$M$15:$M$165=EVENTOS!$C47)*(OFFSET(CÁLCULO!$AI$15:$AI$165,0,N$13))),2),0)</f>
        <v>0</v>
      </c>
      <c r="O47" s="620" cm="1">
        <f t="array" aca="1" ref="O47" ca="1">IF(AUTOEVENTO="Manual",ROUND(SUMPRODUCT((CÁLCULO!$M$15:$M$165=EVENTOS!$C47)*(OFFSET(CÁLCULO!$AI$15:$AI$165,0,O$13))),2),0)</f>
        <v>0</v>
      </c>
      <c r="P47" s="620" cm="1">
        <f t="array" aca="1" ref="P47" ca="1">IF(AUTOEVENTO="Manual",ROUND(SUMPRODUCT((CÁLCULO!$M$15:$M$165=EVENTOS!$C47)*(OFFSET(CÁLCULO!$AI$15:$AI$165,0,P$13))),2),0)</f>
        <v>0</v>
      </c>
      <c r="Q47" s="620" cm="1">
        <f t="array" aca="1" ref="Q47" ca="1">IF(AUTOEVENTO="Manual",ROUND(SUMPRODUCT((CÁLCULO!$M$15:$M$165=EVENTOS!$C47)*(OFFSET(CÁLCULO!$AI$15:$AI$165,0,Q$13))),2),0)</f>
        <v>0</v>
      </c>
      <c r="R47" s="620" cm="1">
        <f t="array" aca="1" ref="R47" ca="1">IF(AUTOEVENTO="Manual",ROUND(SUMPRODUCT((CÁLCULO!$M$15:$M$165=EVENTOS!$C47)*(OFFSET(CÁLCULO!$AI$15:$AI$165,0,R$13))),2),0)</f>
        <v>0</v>
      </c>
      <c r="S47" s="620" cm="1">
        <f t="array" aca="1" ref="S47" ca="1">IF(AUTOEVENTO="Manual",ROUND(SUMPRODUCT((CÁLCULO!$M$15:$M$165=EVENTOS!$C47)*(OFFSET(CÁLCULO!$AI$15:$AI$165,0,S$13))),2),0)</f>
        <v>0</v>
      </c>
      <c r="T47" s="620" cm="1">
        <f t="array" aca="1" ref="T47" ca="1">IF(AUTOEVENTO="Manual",ROUND(SUMPRODUCT((CÁLCULO!$M$15:$M$165=EVENTOS!$C47)*(OFFSET(CÁLCULO!$AI$15:$AI$165,0,T$13))),2),0)</f>
        <v>0</v>
      </c>
      <c r="U47" s="620" cm="1">
        <f t="array" aca="1" ref="U47" ca="1">IF(AUTOEVENTO="Manual",ROUND(SUMPRODUCT((CÁLCULO!$M$15:$M$165=EVENTOS!$C47)*(OFFSET(CÁLCULO!$AI$15:$AI$165,0,U$13))),2),0)</f>
        <v>0</v>
      </c>
      <c r="V47" s="620" cm="1">
        <f t="array" aca="1" ref="V47" ca="1">IF(AUTOEVENTO="Manual",ROUND(SUMPRODUCT((CÁLCULO!$M$15:$M$165=EVENTOS!$C47)*(OFFSET(CÁLCULO!$AI$15:$AI$165,0,V$13))),2),0)</f>
        <v>0</v>
      </c>
      <c r="W47" s="620" cm="1">
        <f t="array" aca="1" ref="W47" ca="1">IF(AUTOEVENTO="Manual",ROUND(SUMPRODUCT((CÁLCULO!$M$15:$M$165=EVENTOS!$C47)*(OFFSET(CÁLCULO!$AI$15:$AI$165,0,W$13))),2),0)</f>
        <v>0</v>
      </c>
      <c r="X47" s="620" cm="1">
        <f t="array" aca="1" ref="X47" ca="1">IF(AUTOEVENTO="Manual",ROUND(SUMPRODUCT((CÁLCULO!$M$15:$M$165=EVENTOS!$C47)*(OFFSET(CÁLCULO!$AI$15:$AI$165,0,X$13))),2),0)</f>
        <v>0</v>
      </c>
      <c r="Y47" s="620" cm="1">
        <f t="array" aca="1" ref="Y47" ca="1">IF(AUTOEVENTO="Manual",ROUND(SUMPRODUCT((CÁLCULO!$M$15:$M$165=EVENTOS!$C47)*(OFFSET(CÁLCULO!$AI$15:$AI$165,0,Y$13))),2),0)</f>
        <v>0</v>
      </c>
    </row>
    <row r="48" spans="1:25" x14ac:dyDescent="0.25">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IF(AUTOEVENTO="Manual",ROUND(SUMPRODUCT((CÁLCULO!$M$15:$M$165=EVENTOS!$C48)*(OFFSET(CÁLCULO!$AI$15:$AI$165,0,E$13))),2),0)</f>
        <v>0</v>
      </c>
      <c r="F48" s="183">
        <f ca="1">IF(AUTOEVENTO="Manual",ROUND(SUMPRODUCT((CÁLCULO!$M$15:$M$165=EVENTOS!$C48)*(OFFSET(CÁLCULO!$AI$15,0,1):OFFSET(CÁLCULO!$BB$165,0,-1))),2),0)</f>
        <v>0</v>
      </c>
      <c r="G48" s="621" t="str">
        <f t="shared" ref="G48:G64" ca="1" si="6">IF(AND(D48=0,F48&gt;0),"NOME",
 IF(AND(D48&lt;&gt;0,$F$14&gt;0,F48=0),"VALOR",
 IF(AND(Import.TipoArredondamento="TransfereGOV",$A48="F",LEN(D48)&gt;100),"Nome &gt;100","")))</f>
        <v/>
      </c>
      <c r="H48" s="620" cm="1">
        <f t="array" aca="1" ref="H48" ca="1">IF(AUTOEVENTO="Manual",ROUND(SUMPRODUCT((CÁLCULO!$M$15:$M$165=EVENTOS!$C48)*(OFFSET(CÁLCULO!$AI$15:$AI$165,0,H$13))),2),0)</f>
        <v>0</v>
      </c>
      <c r="I48" s="620" cm="1">
        <f t="array" aca="1" ref="I48" ca="1">IF(AUTOEVENTO="Manual",ROUND(SUMPRODUCT((CÁLCULO!$M$15:$M$165=EVENTOS!$C48)*(OFFSET(CÁLCULO!$AI$15:$AI$165,0,I$13))),2),0)</f>
        <v>0</v>
      </c>
      <c r="J48" s="620" cm="1">
        <f t="array" aca="1" ref="J48" ca="1">IF(AUTOEVENTO="Manual",ROUND(SUMPRODUCT((CÁLCULO!$M$15:$M$165=EVENTOS!$C48)*(OFFSET(CÁLCULO!$AI$15:$AI$165,0,J$13))),2),0)</f>
        <v>0</v>
      </c>
      <c r="K48" s="620" cm="1">
        <f t="array" aca="1" ref="K48" ca="1">IF(AUTOEVENTO="Manual",ROUND(SUMPRODUCT((CÁLCULO!$M$15:$M$165=EVENTOS!$C48)*(OFFSET(CÁLCULO!$AI$15:$AI$165,0,K$13))),2),0)</f>
        <v>0</v>
      </c>
      <c r="L48" s="620" cm="1">
        <f t="array" aca="1" ref="L48" ca="1">IF(AUTOEVENTO="Manual",ROUND(SUMPRODUCT((CÁLCULO!$M$15:$M$165=EVENTOS!$C48)*(OFFSET(CÁLCULO!$AI$15:$AI$165,0,L$13))),2),0)</f>
        <v>0</v>
      </c>
      <c r="M48" s="620" cm="1">
        <f t="array" aca="1" ref="M48" ca="1">IF(AUTOEVENTO="Manual",ROUND(SUMPRODUCT((CÁLCULO!$M$15:$M$165=EVENTOS!$C48)*(OFFSET(CÁLCULO!$AI$15:$AI$165,0,M$13))),2),0)</f>
        <v>0</v>
      </c>
      <c r="N48" s="620" cm="1">
        <f t="array" aca="1" ref="N48" ca="1">IF(AUTOEVENTO="Manual",ROUND(SUMPRODUCT((CÁLCULO!$M$15:$M$165=EVENTOS!$C48)*(OFFSET(CÁLCULO!$AI$15:$AI$165,0,N$13))),2),0)</f>
        <v>0</v>
      </c>
      <c r="O48" s="620" cm="1">
        <f t="array" aca="1" ref="O48" ca="1">IF(AUTOEVENTO="Manual",ROUND(SUMPRODUCT((CÁLCULO!$M$15:$M$165=EVENTOS!$C48)*(OFFSET(CÁLCULO!$AI$15:$AI$165,0,O$13))),2),0)</f>
        <v>0</v>
      </c>
      <c r="P48" s="620" cm="1">
        <f t="array" aca="1" ref="P48" ca="1">IF(AUTOEVENTO="Manual",ROUND(SUMPRODUCT((CÁLCULO!$M$15:$M$165=EVENTOS!$C48)*(OFFSET(CÁLCULO!$AI$15:$AI$165,0,P$13))),2),0)</f>
        <v>0</v>
      </c>
      <c r="Q48" s="620" cm="1">
        <f t="array" aca="1" ref="Q48" ca="1">IF(AUTOEVENTO="Manual",ROUND(SUMPRODUCT((CÁLCULO!$M$15:$M$165=EVENTOS!$C48)*(OFFSET(CÁLCULO!$AI$15:$AI$165,0,Q$13))),2),0)</f>
        <v>0</v>
      </c>
      <c r="R48" s="620" cm="1">
        <f t="array" aca="1" ref="R48" ca="1">IF(AUTOEVENTO="Manual",ROUND(SUMPRODUCT((CÁLCULO!$M$15:$M$165=EVENTOS!$C48)*(OFFSET(CÁLCULO!$AI$15:$AI$165,0,R$13))),2),0)</f>
        <v>0</v>
      </c>
      <c r="S48" s="620" cm="1">
        <f t="array" aca="1" ref="S48" ca="1">IF(AUTOEVENTO="Manual",ROUND(SUMPRODUCT((CÁLCULO!$M$15:$M$165=EVENTOS!$C48)*(OFFSET(CÁLCULO!$AI$15:$AI$165,0,S$13))),2),0)</f>
        <v>0</v>
      </c>
      <c r="T48" s="620" cm="1">
        <f t="array" aca="1" ref="T48" ca="1">IF(AUTOEVENTO="Manual",ROUND(SUMPRODUCT((CÁLCULO!$M$15:$M$165=EVENTOS!$C48)*(OFFSET(CÁLCULO!$AI$15:$AI$165,0,T$13))),2),0)</f>
        <v>0</v>
      </c>
      <c r="U48" s="620" cm="1">
        <f t="array" aca="1" ref="U48" ca="1">IF(AUTOEVENTO="Manual",ROUND(SUMPRODUCT((CÁLCULO!$M$15:$M$165=EVENTOS!$C48)*(OFFSET(CÁLCULO!$AI$15:$AI$165,0,U$13))),2),0)</f>
        <v>0</v>
      </c>
      <c r="V48" s="620" cm="1">
        <f t="array" aca="1" ref="V48" ca="1">IF(AUTOEVENTO="Manual",ROUND(SUMPRODUCT((CÁLCULO!$M$15:$M$165=EVENTOS!$C48)*(OFFSET(CÁLCULO!$AI$15:$AI$165,0,V$13))),2),0)</f>
        <v>0</v>
      </c>
      <c r="W48" s="620" cm="1">
        <f t="array" aca="1" ref="W48" ca="1">IF(AUTOEVENTO="Manual",ROUND(SUMPRODUCT((CÁLCULO!$M$15:$M$165=EVENTOS!$C48)*(OFFSET(CÁLCULO!$AI$15:$AI$165,0,W$13))),2),0)</f>
        <v>0</v>
      </c>
      <c r="X48" s="620" cm="1">
        <f t="array" aca="1" ref="X48" ca="1">IF(AUTOEVENTO="Manual",ROUND(SUMPRODUCT((CÁLCULO!$M$15:$M$165=EVENTOS!$C48)*(OFFSET(CÁLCULO!$AI$15:$AI$165,0,X$13))),2),0)</f>
        <v>0</v>
      </c>
      <c r="Y48" s="620" cm="1">
        <f t="array" aca="1" ref="Y48" ca="1">IF(AUTOEVENTO="Manual",ROUND(SUMPRODUCT((CÁLCULO!$M$15:$M$165=EVENTOS!$C48)*(OFFSET(CÁLCULO!$AI$15:$AI$165,0,Y$13))),2),0)</f>
        <v>0</v>
      </c>
    </row>
    <row r="49" spans="1:25" x14ac:dyDescent="0.25">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IF(AUTOEVENTO="Manual",ROUND(SUMPRODUCT((CÁLCULO!$M$15:$M$165=EVENTOS!$C49)*(OFFSET(CÁLCULO!$AI$15:$AI$165,0,E$13))),2),0)</f>
        <v>0</v>
      </c>
      <c r="F49" s="183">
        <f ca="1">IF(AUTOEVENTO="Manual",ROUND(SUMPRODUCT((CÁLCULO!$M$15:$M$165=EVENTOS!$C49)*(OFFSET(CÁLCULO!$AI$15,0,1):OFFSET(CÁLCULO!$BB$165,0,-1))),2),0)</f>
        <v>0</v>
      </c>
      <c r="G49" s="621" t="str">
        <f t="shared" ca="1" si="6"/>
        <v/>
      </c>
      <c r="H49" s="620" cm="1">
        <f t="array" aca="1" ref="H49" ca="1">IF(AUTOEVENTO="Manual",ROUND(SUMPRODUCT((CÁLCULO!$M$15:$M$165=EVENTOS!$C49)*(OFFSET(CÁLCULO!$AI$15:$AI$165,0,H$13))),2),0)</f>
        <v>0</v>
      </c>
      <c r="I49" s="620" cm="1">
        <f t="array" aca="1" ref="I49" ca="1">IF(AUTOEVENTO="Manual",ROUND(SUMPRODUCT((CÁLCULO!$M$15:$M$165=EVENTOS!$C49)*(OFFSET(CÁLCULO!$AI$15:$AI$165,0,I$13))),2),0)</f>
        <v>0</v>
      </c>
      <c r="J49" s="620" cm="1">
        <f t="array" aca="1" ref="J49" ca="1">IF(AUTOEVENTO="Manual",ROUND(SUMPRODUCT((CÁLCULO!$M$15:$M$165=EVENTOS!$C49)*(OFFSET(CÁLCULO!$AI$15:$AI$165,0,J$13))),2),0)</f>
        <v>0</v>
      </c>
      <c r="K49" s="620" cm="1">
        <f t="array" aca="1" ref="K49" ca="1">IF(AUTOEVENTO="Manual",ROUND(SUMPRODUCT((CÁLCULO!$M$15:$M$165=EVENTOS!$C49)*(OFFSET(CÁLCULO!$AI$15:$AI$165,0,K$13))),2),0)</f>
        <v>0</v>
      </c>
      <c r="L49" s="620" cm="1">
        <f t="array" aca="1" ref="L49" ca="1">IF(AUTOEVENTO="Manual",ROUND(SUMPRODUCT((CÁLCULO!$M$15:$M$165=EVENTOS!$C49)*(OFFSET(CÁLCULO!$AI$15:$AI$165,0,L$13))),2),0)</f>
        <v>0</v>
      </c>
      <c r="M49" s="620" cm="1">
        <f t="array" aca="1" ref="M49" ca="1">IF(AUTOEVENTO="Manual",ROUND(SUMPRODUCT((CÁLCULO!$M$15:$M$165=EVENTOS!$C49)*(OFFSET(CÁLCULO!$AI$15:$AI$165,0,M$13))),2),0)</f>
        <v>0</v>
      </c>
      <c r="N49" s="620" cm="1">
        <f t="array" aca="1" ref="N49" ca="1">IF(AUTOEVENTO="Manual",ROUND(SUMPRODUCT((CÁLCULO!$M$15:$M$165=EVENTOS!$C49)*(OFFSET(CÁLCULO!$AI$15:$AI$165,0,N$13))),2),0)</f>
        <v>0</v>
      </c>
      <c r="O49" s="620" cm="1">
        <f t="array" aca="1" ref="O49" ca="1">IF(AUTOEVENTO="Manual",ROUND(SUMPRODUCT((CÁLCULO!$M$15:$M$165=EVENTOS!$C49)*(OFFSET(CÁLCULO!$AI$15:$AI$165,0,O$13))),2),0)</f>
        <v>0</v>
      </c>
      <c r="P49" s="620" cm="1">
        <f t="array" aca="1" ref="P49" ca="1">IF(AUTOEVENTO="Manual",ROUND(SUMPRODUCT((CÁLCULO!$M$15:$M$165=EVENTOS!$C49)*(OFFSET(CÁLCULO!$AI$15:$AI$165,0,P$13))),2),0)</f>
        <v>0</v>
      </c>
      <c r="Q49" s="620" cm="1">
        <f t="array" aca="1" ref="Q49" ca="1">IF(AUTOEVENTO="Manual",ROUND(SUMPRODUCT((CÁLCULO!$M$15:$M$165=EVENTOS!$C49)*(OFFSET(CÁLCULO!$AI$15:$AI$165,0,Q$13))),2),0)</f>
        <v>0</v>
      </c>
      <c r="R49" s="620" cm="1">
        <f t="array" aca="1" ref="R49" ca="1">IF(AUTOEVENTO="Manual",ROUND(SUMPRODUCT((CÁLCULO!$M$15:$M$165=EVENTOS!$C49)*(OFFSET(CÁLCULO!$AI$15:$AI$165,0,R$13))),2),0)</f>
        <v>0</v>
      </c>
      <c r="S49" s="620" cm="1">
        <f t="array" aca="1" ref="S49" ca="1">IF(AUTOEVENTO="Manual",ROUND(SUMPRODUCT((CÁLCULO!$M$15:$M$165=EVENTOS!$C49)*(OFFSET(CÁLCULO!$AI$15:$AI$165,0,S$13))),2),0)</f>
        <v>0</v>
      </c>
      <c r="T49" s="620" cm="1">
        <f t="array" aca="1" ref="T49" ca="1">IF(AUTOEVENTO="Manual",ROUND(SUMPRODUCT((CÁLCULO!$M$15:$M$165=EVENTOS!$C49)*(OFFSET(CÁLCULO!$AI$15:$AI$165,0,T$13))),2),0)</f>
        <v>0</v>
      </c>
      <c r="U49" s="620" cm="1">
        <f t="array" aca="1" ref="U49" ca="1">IF(AUTOEVENTO="Manual",ROUND(SUMPRODUCT((CÁLCULO!$M$15:$M$165=EVENTOS!$C49)*(OFFSET(CÁLCULO!$AI$15:$AI$165,0,U$13))),2),0)</f>
        <v>0</v>
      </c>
      <c r="V49" s="620" cm="1">
        <f t="array" aca="1" ref="V49" ca="1">IF(AUTOEVENTO="Manual",ROUND(SUMPRODUCT((CÁLCULO!$M$15:$M$165=EVENTOS!$C49)*(OFFSET(CÁLCULO!$AI$15:$AI$165,0,V$13))),2),0)</f>
        <v>0</v>
      </c>
      <c r="W49" s="620" cm="1">
        <f t="array" aca="1" ref="W49" ca="1">IF(AUTOEVENTO="Manual",ROUND(SUMPRODUCT((CÁLCULO!$M$15:$M$165=EVENTOS!$C49)*(OFFSET(CÁLCULO!$AI$15:$AI$165,0,W$13))),2),0)</f>
        <v>0</v>
      </c>
      <c r="X49" s="620" cm="1">
        <f t="array" aca="1" ref="X49" ca="1">IF(AUTOEVENTO="Manual",ROUND(SUMPRODUCT((CÁLCULO!$M$15:$M$165=EVENTOS!$C49)*(OFFSET(CÁLCULO!$AI$15:$AI$165,0,X$13))),2),0)</f>
        <v>0</v>
      </c>
      <c r="Y49" s="620" cm="1">
        <f t="array" aca="1" ref="Y49" ca="1">IF(AUTOEVENTO="Manual",ROUND(SUMPRODUCT((CÁLCULO!$M$15:$M$165=EVENTOS!$C49)*(OFFSET(CÁLCULO!$AI$15:$AI$165,0,Y$13))),2),0)</f>
        <v>0</v>
      </c>
    </row>
    <row r="50" spans="1:25" x14ac:dyDescent="0.25">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IF(AUTOEVENTO="Manual",ROUND(SUMPRODUCT((CÁLCULO!$M$15:$M$165=EVENTOS!$C50)*(OFFSET(CÁLCULO!$AI$15:$AI$165,0,E$13))),2),0)</f>
        <v>0</v>
      </c>
      <c r="F50" s="183">
        <f ca="1">IF(AUTOEVENTO="Manual",ROUND(SUMPRODUCT((CÁLCULO!$M$15:$M$165=EVENTOS!$C50)*(OFFSET(CÁLCULO!$AI$15,0,1):OFFSET(CÁLCULO!$BB$165,0,-1))),2),0)</f>
        <v>0</v>
      </c>
      <c r="G50" s="621" t="str">
        <f t="shared" ca="1" si="6"/>
        <v/>
      </c>
      <c r="H50" s="620" cm="1">
        <f t="array" aca="1" ref="H50" ca="1">IF(AUTOEVENTO="Manual",ROUND(SUMPRODUCT((CÁLCULO!$M$15:$M$165=EVENTOS!$C50)*(OFFSET(CÁLCULO!$AI$15:$AI$165,0,H$13))),2),0)</f>
        <v>0</v>
      </c>
      <c r="I50" s="620" cm="1">
        <f t="array" aca="1" ref="I50" ca="1">IF(AUTOEVENTO="Manual",ROUND(SUMPRODUCT((CÁLCULO!$M$15:$M$165=EVENTOS!$C50)*(OFFSET(CÁLCULO!$AI$15:$AI$165,0,I$13))),2),0)</f>
        <v>0</v>
      </c>
      <c r="J50" s="620" cm="1">
        <f t="array" aca="1" ref="J50" ca="1">IF(AUTOEVENTO="Manual",ROUND(SUMPRODUCT((CÁLCULO!$M$15:$M$165=EVENTOS!$C50)*(OFFSET(CÁLCULO!$AI$15:$AI$165,0,J$13))),2),0)</f>
        <v>0</v>
      </c>
      <c r="K50" s="620" cm="1">
        <f t="array" aca="1" ref="K50" ca="1">IF(AUTOEVENTO="Manual",ROUND(SUMPRODUCT((CÁLCULO!$M$15:$M$165=EVENTOS!$C50)*(OFFSET(CÁLCULO!$AI$15:$AI$165,0,K$13))),2),0)</f>
        <v>0</v>
      </c>
      <c r="L50" s="620" cm="1">
        <f t="array" aca="1" ref="L50" ca="1">IF(AUTOEVENTO="Manual",ROUND(SUMPRODUCT((CÁLCULO!$M$15:$M$165=EVENTOS!$C50)*(OFFSET(CÁLCULO!$AI$15:$AI$165,0,L$13))),2),0)</f>
        <v>0</v>
      </c>
      <c r="M50" s="620" cm="1">
        <f t="array" aca="1" ref="M50" ca="1">IF(AUTOEVENTO="Manual",ROUND(SUMPRODUCT((CÁLCULO!$M$15:$M$165=EVENTOS!$C50)*(OFFSET(CÁLCULO!$AI$15:$AI$165,0,M$13))),2),0)</f>
        <v>0</v>
      </c>
      <c r="N50" s="620" cm="1">
        <f t="array" aca="1" ref="N50" ca="1">IF(AUTOEVENTO="Manual",ROUND(SUMPRODUCT((CÁLCULO!$M$15:$M$165=EVENTOS!$C50)*(OFFSET(CÁLCULO!$AI$15:$AI$165,0,N$13))),2),0)</f>
        <v>0</v>
      </c>
      <c r="O50" s="620" cm="1">
        <f t="array" aca="1" ref="O50" ca="1">IF(AUTOEVENTO="Manual",ROUND(SUMPRODUCT((CÁLCULO!$M$15:$M$165=EVENTOS!$C50)*(OFFSET(CÁLCULO!$AI$15:$AI$165,0,O$13))),2),0)</f>
        <v>0</v>
      </c>
      <c r="P50" s="620" cm="1">
        <f t="array" aca="1" ref="P50" ca="1">IF(AUTOEVENTO="Manual",ROUND(SUMPRODUCT((CÁLCULO!$M$15:$M$165=EVENTOS!$C50)*(OFFSET(CÁLCULO!$AI$15:$AI$165,0,P$13))),2),0)</f>
        <v>0</v>
      </c>
      <c r="Q50" s="620" cm="1">
        <f t="array" aca="1" ref="Q50" ca="1">IF(AUTOEVENTO="Manual",ROUND(SUMPRODUCT((CÁLCULO!$M$15:$M$165=EVENTOS!$C50)*(OFFSET(CÁLCULO!$AI$15:$AI$165,0,Q$13))),2),0)</f>
        <v>0</v>
      </c>
      <c r="R50" s="620" cm="1">
        <f t="array" aca="1" ref="R50" ca="1">IF(AUTOEVENTO="Manual",ROUND(SUMPRODUCT((CÁLCULO!$M$15:$M$165=EVENTOS!$C50)*(OFFSET(CÁLCULO!$AI$15:$AI$165,0,R$13))),2),0)</f>
        <v>0</v>
      </c>
      <c r="S50" s="620" cm="1">
        <f t="array" aca="1" ref="S50" ca="1">IF(AUTOEVENTO="Manual",ROUND(SUMPRODUCT((CÁLCULO!$M$15:$M$165=EVENTOS!$C50)*(OFFSET(CÁLCULO!$AI$15:$AI$165,0,S$13))),2),0)</f>
        <v>0</v>
      </c>
      <c r="T50" s="620" cm="1">
        <f t="array" aca="1" ref="T50" ca="1">IF(AUTOEVENTO="Manual",ROUND(SUMPRODUCT((CÁLCULO!$M$15:$M$165=EVENTOS!$C50)*(OFFSET(CÁLCULO!$AI$15:$AI$165,0,T$13))),2),0)</f>
        <v>0</v>
      </c>
      <c r="U50" s="620" cm="1">
        <f t="array" aca="1" ref="U50" ca="1">IF(AUTOEVENTO="Manual",ROUND(SUMPRODUCT((CÁLCULO!$M$15:$M$165=EVENTOS!$C50)*(OFFSET(CÁLCULO!$AI$15:$AI$165,0,U$13))),2),0)</f>
        <v>0</v>
      </c>
      <c r="V50" s="620" cm="1">
        <f t="array" aca="1" ref="V50" ca="1">IF(AUTOEVENTO="Manual",ROUND(SUMPRODUCT((CÁLCULO!$M$15:$M$165=EVENTOS!$C50)*(OFFSET(CÁLCULO!$AI$15:$AI$165,0,V$13))),2),0)</f>
        <v>0</v>
      </c>
      <c r="W50" s="620" cm="1">
        <f t="array" aca="1" ref="W50" ca="1">IF(AUTOEVENTO="Manual",ROUND(SUMPRODUCT((CÁLCULO!$M$15:$M$165=EVENTOS!$C50)*(OFFSET(CÁLCULO!$AI$15:$AI$165,0,W$13))),2),0)</f>
        <v>0</v>
      </c>
      <c r="X50" s="620" cm="1">
        <f t="array" aca="1" ref="X50" ca="1">IF(AUTOEVENTO="Manual",ROUND(SUMPRODUCT((CÁLCULO!$M$15:$M$165=EVENTOS!$C50)*(OFFSET(CÁLCULO!$AI$15:$AI$165,0,X$13))),2),0)</f>
        <v>0</v>
      </c>
      <c r="Y50" s="620" cm="1">
        <f t="array" aca="1" ref="Y50" ca="1">IF(AUTOEVENTO="Manual",ROUND(SUMPRODUCT((CÁLCULO!$M$15:$M$165=EVENTOS!$C50)*(OFFSET(CÁLCULO!$AI$15:$AI$165,0,Y$13))),2),0)</f>
        <v>0</v>
      </c>
    </row>
    <row r="51" spans="1:25" x14ac:dyDescent="0.25">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IF(AUTOEVENTO="Manual",ROUND(SUMPRODUCT((CÁLCULO!$M$15:$M$165=EVENTOS!$C51)*(OFFSET(CÁLCULO!$AI$15:$AI$165,0,E$13))),2),0)</f>
        <v>0</v>
      </c>
      <c r="F51" s="183">
        <f ca="1">IF(AUTOEVENTO="Manual",ROUND(SUMPRODUCT((CÁLCULO!$M$15:$M$165=EVENTOS!$C51)*(OFFSET(CÁLCULO!$AI$15,0,1):OFFSET(CÁLCULO!$BB$165,0,-1))),2),0)</f>
        <v>0</v>
      </c>
      <c r="G51" s="621" t="str">
        <f t="shared" ca="1" si="6"/>
        <v/>
      </c>
      <c r="H51" s="620" cm="1">
        <f t="array" aca="1" ref="H51" ca="1">IF(AUTOEVENTO="Manual",ROUND(SUMPRODUCT((CÁLCULO!$M$15:$M$165=EVENTOS!$C51)*(OFFSET(CÁLCULO!$AI$15:$AI$165,0,H$13))),2),0)</f>
        <v>0</v>
      </c>
      <c r="I51" s="620" cm="1">
        <f t="array" aca="1" ref="I51" ca="1">IF(AUTOEVENTO="Manual",ROUND(SUMPRODUCT((CÁLCULO!$M$15:$M$165=EVENTOS!$C51)*(OFFSET(CÁLCULO!$AI$15:$AI$165,0,I$13))),2),0)</f>
        <v>0</v>
      </c>
      <c r="J51" s="620" cm="1">
        <f t="array" aca="1" ref="J51" ca="1">IF(AUTOEVENTO="Manual",ROUND(SUMPRODUCT((CÁLCULO!$M$15:$M$165=EVENTOS!$C51)*(OFFSET(CÁLCULO!$AI$15:$AI$165,0,J$13))),2),0)</f>
        <v>0</v>
      </c>
      <c r="K51" s="620" cm="1">
        <f t="array" aca="1" ref="K51" ca="1">IF(AUTOEVENTO="Manual",ROUND(SUMPRODUCT((CÁLCULO!$M$15:$M$165=EVENTOS!$C51)*(OFFSET(CÁLCULO!$AI$15:$AI$165,0,K$13))),2),0)</f>
        <v>0</v>
      </c>
      <c r="L51" s="620" cm="1">
        <f t="array" aca="1" ref="L51" ca="1">IF(AUTOEVENTO="Manual",ROUND(SUMPRODUCT((CÁLCULO!$M$15:$M$165=EVENTOS!$C51)*(OFFSET(CÁLCULO!$AI$15:$AI$165,0,L$13))),2),0)</f>
        <v>0</v>
      </c>
      <c r="M51" s="620" cm="1">
        <f t="array" aca="1" ref="M51" ca="1">IF(AUTOEVENTO="Manual",ROUND(SUMPRODUCT((CÁLCULO!$M$15:$M$165=EVENTOS!$C51)*(OFFSET(CÁLCULO!$AI$15:$AI$165,0,M$13))),2),0)</f>
        <v>0</v>
      </c>
      <c r="N51" s="620" cm="1">
        <f t="array" aca="1" ref="N51" ca="1">IF(AUTOEVENTO="Manual",ROUND(SUMPRODUCT((CÁLCULO!$M$15:$M$165=EVENTOS!$C51)*(OFFSET(CÁLCULO!$AI$15:$AI$165,0,N$13))),2),0)</f>
        <v>0</v>
      </c>
      <c r="O51" s="620" cm="1">
        <f t="array" aca="1" ref="O51" ca="1">IF(AUTOEVENTO="Manual",ROUND(SUMPRODUCT((CÁLCULO!$M$15:$M$165=EVENTOS!$C51)*(OFFSET(CÁLCULO!$AI$15:$AI$165,0,O$13))),2),0)</f>
        <v>0</v>
      </c>
      <c r="P51" s="620" cm="1">
        <f t="array" aca="1" ref="P51" ca="1">IF(AUTOEVENTO="Manual",ROUND(SUMPRODUCT((CÁLCULO!$M$15:$M$165=EVENTOS!$C51)*(OFFSET(CÁLCULO!$AI$15:$AI$165,0,P$13))),2),0)</f>
        <v>0</v>
      </c>
      <c r="Q51" s="620" cm="1">
        <f t="array" aca="1" ref="Q51" ca="1">IF(AUTOEVENTO="Manual",ROUND(SUMPRODUCT((CÁLCULO!$M$15:$M$165=EVENTOS!$C51)*(OFFSET(CÁLCULO!$AI$15:$AI$165,0,Q$13))),2),0)</f>
        <v>0</v>
      </c>
      <c r="R51" s="620" cm="1">
        <f t="array" aca="1" ref="R51" ca="1">IF(AUTOEVENTO="Manual",ROUND(SUMPRODUCT((CÁLCULO!$M$15:$M$165=EVENTOS!$C51)*(OFFSET(CÁLCULO!$AI$15:$AI$165,0,R$13))),2),0)</f>
        <v>0</v>
      </c>
      <c r="S51" s="620" cm="1">
        <f t="array" aca="1" ref="S51" ca="1">IF(AUTOEVENTO="Manual",ROUND(SUMPRODUCT((CÁLCULO!$M$15:$M$165=EVENTOS!$C51)*(OFFSET(CÁLCULO!$AI$15:$AI$165,0,S$13))),2),0)</f>
        <v>0</v>
      </c>
      <c r="T51" s="620" cm="1">
        <f t="array" aca="1" ref="T51" ca="1">IF(AUTOEVENTO="Manual",ROUND(SUMPRODUCT((CÁLCULO!$M$15:$M$165=EVENTOS!$C51)*(OFFSET(CÁLCULO!$AI$15:$AI$165,0,T$13))),2),0)</f>
        <v>0</v>
      </c>
      <c r="U51" s="620" cm="1">
        <f t="array" aca="1" ref="U51" ca="1">IF(AUTOEVENTO="Manual",ROUND(SUMPRODUCT((CÁLCULO!$M$15:$M$165=EVENTOS!$C51)*(OFFSET(CÁLCULO!$AI$15:$AI$165,0,U$13))),2),0)</f>
        <v>0</v>
      </c>
      <c r="V51" s="620" cm="1">
        <f t="array" aca="1" ref="V51" ca="1">IF(AUTOEVENTO="Manual",ROUND(SUMPRODUCT((CÁLCULO!$M$15:$M$165=EVENTOS!$C51)*(OFFSET(CÁLCULO!$AI$15:$AI$165,0,V$13))),2),0)</f>
        <v>0</v>
      </c>
      <c r="W51" s="620" cm="1">
        <f t="array" aca="1" ref="W51" ca="1">IF(AUTOEVENTO="Manual",ROUND(SUMPRODUCT((CÁLCULO!$M$15:$M$165=EVENTOS!$C51)*(OFFSET(CÁLCULO!$AI$15:$AI$165,0,W$13))),2),0)</f>
        <v>0</v>
      </c>
      <c r="X51" s="620" cm="1">
        <f t="array" aca="1" ref="X51" ca="1">IF(AUTOEVENTO="Manual",ROUND(SUMPRODUCT((CÁLCULO!$M$15:$M$165=EVENTOS!$C51)*(OFFSET(CÁLCULO!$AI$15:$AI$165,0,X$13))),2),0)</f>
        <v>0</v>
      </c>
      <c r="Y51" s="620" cm="1">
        <f t="array" aca="1" ref="Y51" ca="1">IF(AUTOEVENTO="Manual",ROUND(SUMPRODUCT((CÁLCULO!$M$15:$M$165=EVENTOS!$C51)*(OFFSET(CÁLCULO!$AI$15:$AI$165,0,Y$13))),2),0)</f>
        <v>0</v>
      </c>
    </row>
    <row r="52" spans="1:25" x14ac:dyDescent="0.25">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IF(AUTOEVENTO="Manual",ROUND(SUMPRODUCT((CÁLCULO!$M$15:$M$165=EVENTOS!$C52)*(OFFSET(CÁLCULO!$AI$15:$AI$165,0,E$13))),2),0)</f>
        <v>0</v>
      </c>
      <c r="F52" s="183">
        <f ca="1">IF(AUTOEVENTO="Manual",ROUND(SUMPRODUCT((CÁLCULO!$M$15:$M$165=EVENTOS!$C52)*(OFFSET(CÁLCULO!$AI$15,0,1):OFFSET(CÁLCULO!$BB$165,0,-1))),2),0)</f>
        <v>0</v>
      </c>
      <c r="G52" s="621" t="str">
        <f t="shared" ca="1" si="6"/>
        <v/>
      </c>
      <c r="H52" s="620" cm="1">
        <f t="array" aca="1" ref="H52" ca="1">IF(AUTOEVENTO="Manual",ROUND(SUMPRODUCT((CÁLCULO!$M$15:$M$165=EVENTOS!$C52)*(OFFSET(CÁLCULO!$AI$15:$AI$165,0,H$13))),2),0)</f>
        <v>0</v>
      </c>
      <c r="I52" s="620" cm="1">
        <f t="array" aca="1" ref="I52" ca="1">IF(AUTOEVENTO="Manual",ROUND(SUMPRODUCT((CÁLCULO!$M$15:$M$165=EVENTOS!$C52)*(OFFSET(CÁLCULO!$AI$15:$AI$165,0,I$13))),2),0)</f>
        <v>0</v>
      </c>
      <c r="J52" s="620" cm="1">
        <f t="array" aca="1" ref="J52" ca="1">IF(AUTOEVENTO="Manual",ROUND(SUMPRODUCT((CÁLCULO!$M$15:$M$165=EVENTOS!$C52)*(OFFSET(CÁLCULO!$AI$15:$AI$165,0,J$13))),2),0)</f>
        <v>0</v>
      </c>
      <c r="K52" s="620" cm="1">
        <f t="array" aca="1" ref="K52" ca="1">IF(AUTOEVENTO="Manual",ROUND(SUMPRODUCT((CÁLCULO!$M$15:$M$165=EVENTOS!$C52)*(OFFSET(CÁLCULO!$AI$15:$AI$165,0,K$13))),2),0)</f>
        <v>0</v>
      </c>
      <c r="L52" s="620" cm="1">
        <f t="array" aca="1" ref="L52" ca="1">IF(AUTOEVENTO="Manual",ROUND(SUMPRODUCT((CÁLCULO!$M$15:$M$165=EVENTOS!$C52)*(OFFSET(CÁLCULO!$AI$15:$AI$165,0,L$13))),2),0)</f>
        <v>0</v>
      </c>
      <c r="M52" s="620" cm="1">
        <f t="array" aca="1" ref="M52" ca="1">IF(AUTOEVENTO="Manual",ROUND(SUMPRODUCT((CÁLCULO!$M$15:$M$165=EVENTOS!$C52)*(OFFSET(CÁLCULO!$AI$15:$AI$165,0,M$13))),2),0)</f>
        <v>0</v>
      </c>
      <c r="N52" s="620" cm="1">
        <f t="array" aca="1" ref="N52" ca="1">IF(AUTOEVENTO="Manual",ROUND(SUMPRODUCT((CÁLCULO!$M$15:$M$165=EVENTOS!$C52)*(OFFSET(CÁLCULO!$AI$15:$AI$165,0,N$13))),2),0)</f>
        <v>0</v>
      </c>
      <c r="O52" s="620" cm="1">
        <f t="array" aca="1" ref="O52" ca="1">IF(AUTOEVENTO="Manual",ROUND(SUMPRODUCT((CÁLCULO!$M$15:$M$165=EVENTOS!$C52)*(OFFSET(CÁLCULO!$AI$15:$AI$165,0,O$13))),2),0)</f>
        <v>0</v>
      </c>
      <c r="P52" s="620" cm="1">
        <f t="array" aca="1" ref="P52" ca="1">IF(AUTOEVENTO="Manual",ROUND(SUMPRODUCT((CÁLCULO!$M$15:$M$165=EVENTOS!$C52)*(OFFSET(CÁLCULO!$AI$15:$AI$165,0,P$13))),2),0)</f>
        <v>0</v>
      </c>
      <c r="Q52" s="620" cm="1">
        <f t="array" aca="1" ref="Q52" ca="1">IF(AUTOEVENTO="Manual",ROUND(SUMPRODUCT((CÁLCULO!$M$15:$M$165=EVENTOS!$C52)*(OFFSET(CÁLCULO!$AI$15:$AI$165,0,Q$13))),2),0)</f>
        <v>0</v>
      </c>
      <c r="R52" s="620" cm="1">
        <f t="array" aca="1" ref="R52" ca="1">IF(AUTOEVENTO="Manual",ROUND(SUMPRODUCT((CÁLCULO!$M$15:$M$165=EVENTOS!$C52)*(OFFSET(CÁLCULO!$AI$15:$AI$165,0,R$13))),2),0)</f>
        <v>0</v>
      </c>
      <c r="S52" s="620" cm="1">
        <f t="array" aca="1" ref="S52" ca="1">IF(AUTOEVENTO="Manual",ROUND(SUMPRODUCT((CÁLCULO!$M$15:$M$165=EVENTOS!$C52)*(OFFSET(CÁLCULO!$AI$15:$AI$165,0,S$13))),2),0)</f>
        <v>0</v>
      </c>
      <c r="T52" s="620" cm="1">
        <f t="array" aca="1" ref="T52" ca="1">IF(AUTOEVENTO="Manual",ROUND(SUMPRODUCT((CÁLCULO!$M$15:$M$165=EVENTOS!$C52)*(OFFSET(CÁLCULO!$AI$15:$AI$165,0,T$13))),2),0)</f>
        <v>0</v>
      </c>
      <c r="U52" s="620" cm="1">
        <f t="array" aca="1" ref="U52" ca="1">IF(AUTOEVENTO="Manual",ROUND(SUMPRODUCT((CÁLCULO!$M$15:$M$165=EVENTOS!$C52)*(OFFSET(CÁLCULO!$AI$15:$AI$165,0,U$13))),2),0)</f>
        <v>0</v>
      </c>
      <c r="V52" s="620" cm="1">
        <f t="array" aca="1" ref="V52" ca="1">IF(AUTOEVENTO="Manual",ROUND(SUMPRODUCT((CÁLCULO!$M$15:$M$165=EVENTOS!$C52)*(OFFSET(CÁLCULO!$AI$15:$AI$165,0,V$13))),2),0)</f>
        <v>0</v>
      </c>
      <c r="W52" s="620" cm="1">
        <f t="array" aca="1" ref="W52" ca="1">IF(AUTOEVENTO="Manual",ROUND(SUMPRODUCT((CÁLCULO!$M$15:$M$165=EVENTOS!$C52)*(OFFSET(CÁLCULO!$AI$15:$AI$165,0,W$13))),2),0)</f>
        <v>0</v>
      </c>
      <c r="X52" s="620" cm="1">
        <f t="array" aca="1" ref="X52" ca="1">IF(AUTOEVENTO="Manual",ROUND(SUMPRODUCT((CÁLCULO!$M$15:$M$165=EVENTOS!$C52)*(OFFSET(CÁLCULO!$AI$15:$AI$165,0,X$13))),2),0)</f>
        <v>0</v>
      </c>
      <c r="Y52" s="620" cm="1">
        <f t="array" aca="1" ref="Y52" ca="1">IF(AUTOEVENTO="Manual",ROUND(SUMPRODUCT((CÁLCULO!$M$15:$M$165=EVENTOS!$C52)*(OFFSET(CÁLCULO!$AI$15:$AI$165,0,Y$13))),2),0)</f>
        <v>0</v>
      </c>
    </row>
    <row r="53" spans="1:25" x14ac:dyDescent="0.25">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IF(AUTOEVENTO="Manual",ROUND(SUMPRODUCT((CÁLCULO!$M$15:$M$165=EVENTOS!$C53)*(OFFSET(CÁLCULO!$AI$15:$AI$165,0,E$13))),2),0)</f>
        <v>0</v>
      </c>
      <c r="F53" s="183">
        <f ca="1">IF(AUTOEVENTO="Manual",ROUND(SUMPRODUCT((CÁLCULO!$M$15:$M$165=EVENTOS!$C53)*(OFFSET(CÁLCULO!$AI$15,0,1):OFFSET(CÁLCULO!$BB$165,0,-1))),2),0)</f>
        <v>0</v>
      </c>
      <c r="G53" s="621" t="str">
        <f t="shared" ca="1" si="6"/>
        <v/>
      </c>
      <c r="H53" s="620" cm="1">
        <f t="array" aca="1" ref="H53" ca="1">IF(AUTOEVENTO="Manual",ROUND(SUMPRODUCT((CÁLCULO!$M$15:$M$165=EVENTOS!$C53)*(OFFSET(CÁLCULO!$AI$15:$AI$165,0,H$13))),2),0)</f>
        <v>0</v>
      </c>
      <c r="I53" s="620" cm="1">
        <f t="array" aca="1" ref="I53" ca="1">IF(AUTOEVENTO="Manual",ROUND(SUMPRODUCT((CÁLCULO!$M$15:$M$165=EVENTOS!$C53)*(OFFSET(CÁLCULO!$AI$15:$AI$165,0,I$13))),2),0)</f>
        <v>0</v>
      </c>
      <c r="J53" s="620" cm="1">
        <f t="array" aca="1" ref="J53" ca="1">IF(AUTOEVENTO="Manual",ROUND(SUMPRODUCT((CÁLCULO!$M$15:$M$165=EVENTOS!$C53)*(OFFSET(CÁLCULO!$AI$15:$AI$165,0,J$13))),2),0)</f>
        <v>0</v>
      </c>
      <c r="K53" s="620" cm="1">
        <f t="array" aca="1" ref="K53" ca="1">IF(AUTOEVENTO="Manual",ROUND(SUMPRODUCT((CÁLCULO!$M$15:$M$165=EVENTOS!$C53)*(OFFSET(CÁLCULO!$AI$15:$AI$165,0,K$13))),2),0)</f>
        <v>0</v>
      </c>
      <c r="L53" s="620" cm="1">
        <f t="array" aca="1" ref="L53" ca="1">IF(AUTOEVENTO="Manual",ROUND(SUMPRODUCT((CÁLCULO!$M$15:$M$165=EVENTOS!$C53)*(OFFSET(CÁLCULO!$AI$15:$AI$165,0,L$13))),2),0)</f>
        <v>0</v>
      </c>
      <c r="M53" s="620" cm="1">
        <f t="array" aca="1" ref="M53" ca="1">IF(AUTOEVENTO="Manual",ROUND(SUMPRODUCT((CÁLCULO!$M$15:$M$165=EVENTOS!$C53)*(OFFSET(CÁLCULO!$AI$15:$AI$165,0,M$13))),2),0)</f>
        <v>0</v>
      </c>
      <c r="N53" s="620" cm="1">
        <f t="array" aca="1" ref="N53" ca="1">IF(AUTOEVENTO="Manual",ROUND(SUMPRODUCT((CÁLCULO!$M$15:$M$165=EVENTOS!$C53)*(OFFSET(CÁLCULO!$AI$15:$AI$165,0,N$13))),2),0)</f>
        <v>0</v>
      </c>
      <c r="O53" s="620" cm="1">
        <f t="array" aca="1" ref="O53" ca="1">IF(AUTOEVENTO="Manual",ROUND(SUMPRODUCT((CÁLCULO!$M$15:$M$165=EVENTOS!$C53)*(OFFSET(CÁLCULO!$AI$15:$AI$165,0,O$13))),2),0)</f>
        <v>0</v>
      </c>
      <c r="P53" s="620" cm="1">
        <f t="array" aca="1" ref="P53" ca="1">IF(AUTOEVENTO="Manual",ROUND(SUMPRODUCT((CÁLCULO!$M$15:$M$165=EVENTOS!$C53)*(OFFSET(CÁLCULO!$AI$15:$AI$165,0,P$13))),2),0)</f>
        <v>0</v>
      </c>
      <c r="Q53" s="620" cm="1">
        <f t="array" aca="1" ref="Q53" ca="1">IF(AUTOEVENTO="Manual",ROUND(SUMPRODUCT((CÁLCULO!$M$15:$M$165=EVENTOS!$C53)*(OFFSET(CÁLCULO!$AI$15:$AI$165,0,Q$13))),2),0)</f>
        <v>0</v>
      </c>
      <c r="R53" s="620" cm="1">
        <f t="array" aca="1" ref="R53" ca="1">IF(AUTOEVENTO="Manual",ROUND(SUMPRODUCT((CÁLCULO!$M$15:$M$165=EVENTOS!$C53)*(OFFSET(CÁLCULO!$AI$15:$AI$165,0,R$13))),2),0)</f>
        <v>0</v>
      </c>
      <c r="S53" s="620" cm="1">
        <f t="array" aca="1" ref="S53" ca="1">IF(AUTOEVENTO="Manual",ROUND(SUMPRODUCT((CÁLCULO!$M$15:$M$165=EVENTOS!$C53)*(OFFSET(CÁLCULO!$AI$15:$AI$165,0,S$13))),2),0)</f>
        <v>0</v>
      </c>
      <c r="T53" s="620" cm="1">
        <f t="array" aca="1" ref="T53" ca="1">IF(AUTOEVENTO="Manual",ROUND(SUMPRODUCT((CÁLCULO!$M$15:$M$165=EVENTOS!$C53)*(OFFSET(CÁLCULO!$AI$15:$AI$165,0,T$13))),2),0)</f>
        <v>0</v>
      </c>
      <c r="U53" s="620" cm="1">
        <f t="array" aca="1" ref="U53" ca="1">IF(AUTOEVENTO="Manual",ROUND(SUMPRODUCT((CÁLCULO!$M$15:$M$165=EVENTOS!$C53)*(OFFSET(CÁLCULO!$AI$15:$AI$165,0,U$13))),2),0)</f>
        <v>0</v>
      </c>
      <c r="V53" s="620" cm="1">
        <f t="array" aca="1" ref="V53" ca="1">IF(AUTOEVENTO="Manual",ROUND(SUMPRODUCT((CÁLCULO!$M$15:$M$165=EVENTOS!$C53)*(OFFSET(CÁLCULO!$AI$15:$AI$165,0,V$13))),2),0)</f>
        <v>0</v>
      </c>
      <c r="W53" s="620" cm="1">
        <f t="array" aca="1" ref="W53" ca="1">IF(AUTOEVENTO="Manual",ROUND(SUMPRODUCT((CÁLCULO!$M$15:$M$165=EVENTOS!$C53)*(OFFSET(CÁLCULO!$AI$15:$AI$165,0,W$13))),2),0)</f>
        <v>0</v>
      </c>
      <c r="X53" s="620" cm="1">
        <f t="array" aca="1" ref="X53" ca="1">IF(AUTOEVENTO="Manual",ROUND(SUMPRODUCT((CÁLCULO!$M$15:$M$165=EVENTOS!$C53)*(OFFSET(CÁLCULO!$AI$15:$AI$165,0,X$13))),2),0)</f>
        <v>0</v>
      </c>
      <c r="Y53" s="620" cm="1">
        <f t="array" aca="1" ref="Y53" ca="1">IF(AUTOEVENTO="Manual",ROUND(SUMPRODUCT((CÁLCULO!$M$15:$M$165=EVENTOS!$C53)*(OFFSET(CÁLCULO!$AI$15:$AI$165,0,Y$13))),2),0)</f>
        <v>0</v>
      </c>
    </row>
    <row r="54" spans="1:25" x14ac:dyDescent="0.25">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IF(AUTOEVENTO="Manual",ROUND(SUMPRODUCT((CÁLCULO!$M$15:$M$165=EVENTOS!$C54)*(OFFSET(CÁLCULO!$AI$15:$AI$165,0,E$13))),2),0)</f>
        <v>0</v>
      </c>
      <c r="F54" s="183">
        <f ca="1">IF(AUTOEVENTO="Manual",ROUND(SUMPRODUCT((CÁLCULO!$M$15:$M$165=EVENTOS!$C54)*(OFFSET(CÁLCULO!$AI$15,0,1):OFFSET(CÁLCULO!$BB$165,0,-1))),2),0)</f>
        <v>0</v>
      </c>
      <c r="G54" s="621" t="str">
        <f t="shared" ca="1" si="6"/>
        <v/>
      </c>
      <c r="H54" s="620" cm="1">
        <f t="array" aca="1" ref="H54" ca="1">IF(AUTOEVENTO="Manual",ROUND(SUMPRODUCT((CÁLCULO!$M$15:$M$165=EVENTOS!$C54)*(OFFSET(CÁLCULO!$AI$15:$AI$165,0,H$13))),2),0)</f>
        <v>0</v>
      </c>
      <c r="I54" s="620" cm="1">
        <f t="array" aca="1" ref="I54" ca="1">IF(AUTOEVENTO="Manual",ROUND(SUMPRODUCT((CÁLCULO!$M$15:$M$165=EVENTOS!$C54)*(OFFSET(CÁLCULO!$AI$15:$AI$165,0,I$13))),2),0)</f>
        <v>0</v>
      </c>
      <c r="J54" s="620" cm="1">
        <f t="array" aca="1" ref="J54" ca="1">IF(AUTOEVENTO="Manual",ROUND(SUMPRODUCT((CÁLCULO!$M$15:$M$165=EVENTOS!$C54)*(OFFSET(CÁLCULO!$AI$15:$AI$165,0,J$13))),2),0)</f>
        <v>0</v>
      </c>
      <c r="K54" s="620" cm="1">
        <f t="array" aca="1" ref="K54" ca="1">IF(AUTOEVENTO="Manual",ROUND(SUMPRODUCT((CÁLCULO!$M$15:$M$165=EVENTOS!$C54)*(OFFSET(CÁLCULO!$AI$15:$AI$165,0,K$13))),2),0)</f>
        <v>0</v>
      </c>
      <c r="L54" s="620" cm="1">
        <f t="array" aca="1" ref="L54" ca="1">IF(AUTOEVENTO="Manual",ROUND(SUMPRODUCT((CÁLCULO!$M$15:$M$165=EVENTOS!$C54)*(OFFSET(CÁLCULO!$AI$15:$AI$165,0,L$13))),2),0)</f>
        <v>0</v>
      </c>
      <c r="M54" s="620" cm="1">
        <f t="array" aca="1" ref="M54" ca="1">IF(AUTOEVENTO="Manual",ROUND(SUMPRODUCT((CÁLCULO!$M$15:$M$165=EVENTOS!$C54)*(OFFSET(CÁLCULO!$AI$15:$AI$165,0,M$13))),2),0)</f>
        <v>0</v>
      </c>
      <c r="N54" s="620" cm="1">
        <f t="array" aca="1" ref="N54" ca="1">IF(AUTOEVENTO="Manual",ROUND(SUMPRODUCT((CÁLCULO!$M$15:$M$165=EVENTOS!$C54)*(OFFSET(CÁLCULO!$AI$15:$AI$165,0,N$13))),2),0)</f>
        <v>0</v>
      </c>
      <c r="O54" s="620" cm="1">
        <f t="array" aca="1" ref="O54" ca="1">IF(AUTOEVENTO="Manual",ROUND(SUMPRODUCT((CÁLCULO!$M$15:$M$165=EVENTOS!$C54)*(OFFSET(CÁLCULO!$AI$15:$AI$165,0,O$13))),2),0)</f>
        <v>0</v>
      </c>
      <c r="P54" s="620" cm="1">
        <f t="array" aca="1" ref="P54" ca="1">IF(AUTOEVENTO="Manual",ROUND(SUMPRODUCT((CÁLCULO!$M$15:$M$165=EVENTOS!$C54)*(OFFSET(CÁLCULO!$AI$15:$AI$165,0,P$13))),2),0)</f>
        <v>0</v>
      </c>
      <c r="Q54" s="620" cm="1">
        <f t="array" aca="1" ref="Q54" ca="1">IF(AUTOEVENTO="Manual",ROUND(SUMPRODUCT((CÁLCULO!$M$15:$M$165=EVENTOS!$C54)*(OFFSET(CÁLCULO!$AI$15:$AI$165,0,Q$13))),2),0)</f>
        <v>0</v>
      </c>
      <c r="R54" s="620" cm="1">
        <f t="array" aca="1" ref="R54" ca="1">IF(AUTOEVENTO="Manual",ROUND(SUMPRODUCT((CÁLCULO!$M$15:$M$165=EVENTOS!$C54)*(OFFSET(CÁLCULO!$AI$15:$AI$165,0,R$13))),2),0)</f>
        <v>0</v>
      </c>
      <c r="S54" s="620" cm="1">
        <f t="array" aca="1" ref="S54" ca="1">IF(AUTOEVENTO="Manual",ROUND(SUMPRODUCT((CÁLCULO!$M$15:$M$165=EVENTOS!$C54)*(OFFSET(CÁLCULO!$AI$15:$AI$165,0,S$13))),2),0)</f>
        <v>0</v>
      </c>
      <c r="T54" s="620" cm="1">
        <f t="array" aca="1" ref="T54" ca="1">IF(AUTOEVENTO="Manual",ROUND(SUMPRODUCT((CÁLCULO!$M$15:$M$165=EVENTOS!$C54)*(OFFSET(CÁLCULO!$AI$15:$AI$165,0,T$13))),2),0)</f>
        <v>0</v>
      </c>
      <c r="U54" s="620" cm="1">
        <f t="array" aca="1" ref="U54" ca="1">IF(AUTOEVENTO="Manual",ROUND(SUMPRODUCT((CÁLCULO!$M$15:$M$165=EVENTOS!$C54)*(OFFSET(CÁLCULO!$AI$15:$AI$165,0,U$13))),2),0)</f>
        <v>0</v>
      </c>
      <c r="V54" s="620" cm="1">
        <f t="array" aca="1" ref="V54" ca="1">IF(AUTOEVENTO="Manual",ROUND(SUMPRODUCT((CÁLCULO!$M$15:$M$165=EVENTOS!$C54)*(OFFSET(CÁLCULO!$AI$15:$AI$165,0,V$13))),2),0)</f>
        <v>0</v>
      </c>
      <c r="W54" s="620" cm="1">
        <f t="array" aca="1" ref="W54" ca="1">IF(AUTOEVENTO="Manual",ROUND(SUMPRODUCT((CÁLCULO!$M$15:$M$165=EVENTOS!$C54)*(OFFSET(CÁLCULO!$AI$15:$AI$165,0,W$13))),2),0)</f>
        <v>0</v>
      </c>
      <c r="X54" s="620" cm="1">
        <f t="array" aca="1" ref="X54" ca="1">IF(AUTOEVENTO="Manual",ROUND(SUMPRODUCT((CÁLCULO!$M$15:$M$165=EVENTOS!$C54)*(OFFSET(CÁLCULO!$AI$15:$AI$165,0,X$13))),2),0)</f>
        <v>0</v>
      </c>
      <c r="Y54" s="620" cm="1">
        <f t="array" aca="1" ref="Y54" ca="1">IF(AUTOEVENTO="Manual",ROUND(SUMPRODUCT((CÁLCULO!$M$15:$M$165=EVENTOS!$C54)*(OFFSET(CÁLCULO!$AI$15:$AI$165,0,Y$13))),2),0)</f>
        <v>0</v>
      </c>
    </row>
    <row r="55" spans="1:25" x14ac:dyDescent="0.25">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IF(AUTOEVENTO="Manual",ROUND(SUMPRODUCT((CÁLCULO!$M$15:$M$165=EVENTOS!$C55)*(OFFSET(CÁLCULO!$AI$15:$AI$165,0,E$13))),2),0)</f>
        <v>0</v>
      </c>
      <c r="F55" s="183">
        <f ca="1">IF(AUTOEVENTO="Manual",ROUND(SUMPRODUCT((CÁLCULO!$M$15:$M$165=EVENTOS!$C55)*(OFFSET(CÁLCULO!$AI$15,0,1):OFFSET(CÁLCULO!$BB$165,0,-1))),2),0)</f>
        <v>0</v>
      </c>
      <c r="G55" s="621" t="str">
        <f t="shared" ca="1" si="6"/>
        <v/>
      </c>
      <c r="H55" s="620" cm="1">
        <f t="array" aca="1" ref="H55" ca="1">IF(AUTOEVENTO="Manual",ROUND(SUMPRODUCT((CÁLCULO!$M$15:$M$165=EVENTOS!$C55)*(OFFSET(CÁLCULO!$AI$15:$AI$165,0,H$13))),2),0)</f>
        <v>0</v>
      </c>
      <c r="I55" s="620" cm="1">
        <f t="array" aca="1" ref="I55" ca="1">IF(AUTOEVENTO="Manual",ROUND(SUMPRODUCT((CÁLCULO!$M$15:$M$165=EVENTOS!$C55)*(OFFSET(CÁLCULO!$AI$15:$AI$165,0,I$13))),2),0)</f>
        <v>0</v>
      </c>
      <c r="J55" s="620" cm="1">
        <f t="array" aca="1" ref="J55" ca="1">IF(AUTOEVENTO="Manual",ROUND(SUMPRODUCT((CÁLCULO!$M$15:$M$165=EVENTOS!$C55)*(OFFSET(CÁLCULO!$AI$15:$AI$165,0,J$13))),2),0)</f>
        <v>0</v>
      </c>
      <c r="K55" s="620" cm="1">
        <f t="array" aca="1" ref="K55" ca="1">IF(AUTOEVENTO="Manual",ROUND(SUMPRODUCT((CÁLCULO!$M$15:$M$165=EVENTOS!$C55)*(OFFSET(CÁLCULO!$AI$15:$AI$165,0,K$13))),2),0)</f>
        <v>0</v>
      </c>
      <c r="L55" s="620" cm="1">
        <f t="array" aca="1" ref="L55" ca="1">IF(AUTOEVENTO="Manual",ROUND(SUMPRODUCT((CÁLCULO!$M$15:$M$165=EVENTOS!$C55)*(OFFSET(CÁLCULO!$AI$15:$AI$165,0,L$13))),2),0)</f>
        <v>0</v>
      </c>
      <c r="M55" s="620" cm="1">
        <f t="array" aca="1" ref="M55" ca="1">IF(AUTOEVENTO="Manual",ROUND(SUMPRODUCT((CÁLCULO!$M$15:$M$165=EVENTOS!$C55)*(OFFSET(CÁLCULO!$AI$15:$AI$165,0,M$13))),2),0)</f>
        <v>0</v>
      </c>
      <c r="N55" s="620" cm="1">
        <f t="array" aca="1" ref="N55" ca="1">IF(AUTOEVENTO="Manual",ROUND(SUMPRODUCT((CÁLCULO!$M$15:$M$165=EVENTOS!$C55)*(OFFSET(CÁLCULO!$AI$15:$AI$165,0,N$13))),2),0)</f>
        <v>0</v>
      </c>
      <c r="O55" s="620" cm="1">
        <f t="array" aca="1" ref="O55" ca="1">IF(AUTOEVENTO="Manual",ROUND(SUMPRODUCT((CÁLCULO!$M$15:$M$165=EVENTOS!$C55)*(OFFSET(CÁLCULO!$AI$15:$AI$165,0,O$13))),2),0)</f>
        <v>0</v>
      </c>
      <c r="P55" s="620" cm="1">
        <f t="array" aca="1" ref="P55" ca="1">IF(AUTOEVENTO="Manual",ROUND(SUMPRODUCT((CÁLCULO!$M$15:$M$165=EVENTOS!$C55)*(OFFSET(CÁLCULO!$AI$15:$AI$165,0,P$13))),2),0)</f>
        <v>0</v>
      </c>
      <c r="Q55" s="620" cm="1">
        <f t="array" aca="1" ref="Q55" ca="1">IF(AUTOEVENTO="Manual",ROUND(SUMPRODUCT((CÁLCULO!$M$15:$M$165=EVENTOS!$C55)*(OFFSET(CÁLCULO!$AI$15:$AI$165,0,Q$13))),2),0)</f>
        <v>0</v>
      </c>
      <c r="R55" s="620" cm="1">
        <f t="array" aca="1" ref="R55" ca="1">IF(AUTOEVENTO="Manual",ROUND(SUMPRODUCT((CÁLCULO!$M$15:$M$165=EVENTOS!$C55)*(OFFSET(CÁLCULO!$AI$15:$AI$165,0,R$13))),2),0)</f>
        <v>0</v>
      </c>
      <c r="S55" s="620" cm="1">
        <f t="array" aca="1" ref="S55" ca="1">IF(AUTOEVENTO="Manual",ROUND(SUMPRODUCT((CÁLCULO!$M$15:$M$165=EVENTOS!$C55)*(OFFSET(CÁLCULO!$AI$15:$AI$165,0,S$13))),2),0)</f>
        <v>0</v>
      </c>
      <c r="T55" s="620" cm="1">
        <f t="array" aca="1" ref="T55" ca="1">IF(AUTOEVENTO="Manual",ROUND(SUMPRODUCT((CÁLCULO!$M$15:$M$165=EVENTOS!$C55)*(OFFSET(CÁLCULO!$AI$15:$AI$165,0,T$13))),2),0)</f>
        <v>0</v>
      </c>
      <c r="U55" s="620" cm="1">
        <f t="array" aca="1" ref="U55" ca="1">IF(AUTOEVENTO="Manual",ROUND(SUMPRODUCT((CÁLCULO!$M$15:$M$165=EVENTOS!$C55)*(OFFSET(CÁLCULO!$AI$15:$AI$165,0,U$13))),2),0)</f>
        <v>0</v>
      </c>
      <c r="V55" s="620" cm="1">
        <f t="array" aca="1" ref="V55" ca="1">IF(AUTOEVENTO="Manual",ROUND(SUMPRODUCT((CÁLCULO!$M$15:$M$165=EVENTOS!$C55)*(OFFSET(CÁLCULO!$AI$15:$AI$165,0,V$13))),2),0)</f>
        <v>0</v>
      </c>
      <c r="W55" s="620" cm="1">
        <f t="array" aca="1" ref="W55" ca="1">IF(AUTOEVENTO="Manual",ROUND(SUMPRODUCT((CÁLCULO!$M$15:$M$165=EVENTOS!$C55)*(OFFSET(CÁLCULO!$AI$15:$AI$165,0,W$13))),2),0)</f>
        <v>0</v>
      </c>
      <c r="X55" s="620" cm="1">
        <f t="array" aca="1" ref="X55" ca="1">IF(AUTOEVENTO="Manual",ROUND(SUMPRODUCT((CÁLCULO!$M$15:$M$165=EVENTOS!$C55)*(OFFSET(CÁLCULO!$AI$15:$AI$165,0,X$13))),2),0)</f>
        <v>0</v>
      </c>
      <c r="Y55" s="620" cm="1">
        <f t="array" aca="1" ref="Y55" ca="1">IF(AUTOEVENTO="Manual",ROUND(SUMPRODUCT((CÁLCULO!$M$15:$M$165=EVENTOS!$C55)*(OFFSET(CÁLCULO!$AI$15:$AI$165,0,Y$13))),2),0)</f>
        <v>0</v>
      </c>
    </row>
    <row r="56" spans="1:25" x14ac:dyDescent="0.25">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IF(AUTOEVENTO="Manual",ROUND(SUMPRODUCT((CÁLCULO!$M$15:$M$165=EVENTOS!$C56)*(OFFSET(CÁLCULO!$AI$15:$AI$165,0,E$13))),2),0)</f>
        <v>0</v>
      </c>
      <c r="F56" s="183">
        <f ca="1">IF(AUTOEVENTO="Manual",ROUND(SUMPRODUCT((CÁLCULO!$M$15:$M$165=EVENTOS!$C56)*(OFFSET(CÁLCULO!$AI$15,0,1):OFFSET(CÁLCULO!$BB$165,0,-1))),2),0)</f>
        <v>0</v>
      </c>
      <c r="G56" s="621" t="str">
        <f t="shared" ca="1" si="6"/>
        <v/>
      </c>
      <c r="H56" s="620" cm="1">
        <f t="array" aca="1" ref="H56" ca="1">IF(AUTOEVENTO="Manual",ROUND(SUMPRODUCT((CÁLCULO!$M$15:$M$165=EVENTOS!$C56)*(OFFSET(CÁLCULO!$AI$15:$AI$165,0,H$13))),2),0)</f>
        <v>0</v>
      </c>
      <c r="I56" s="620" cm="1">
        <f t="array" aca="1" ref="I56" ca="1">IF(AUTOEVENTO="Manual",ROUND(SUMPRODUCT((CÁLCULO!$M$15:$M$165=EVENTOS!$C56)*(OFFSET(CÁLCULO!$AI$15:$AI$165,0,I$13))),2),0)</f>
        <v>0</v>
      </c>
      <c r="J56" s="620" cm="1">
        <f t="array" aca="1" ref="J56" ca="1">IF(AUTOEVENTO="Manual",ROUND(SUMPRODUCT((CÁLCULO!$M$15:$M$165=EVENTOS!$C56)*(OFFSET(CÁLCULO!$AI$15:$AI$165,0,J$13))),2),0)</f>
        <v>0</v>
      </c>
      <c r="K56" s="620" cm="1">
        <f t="array" aca="1" ref="K56" ca="1">IF(AUTOEVENTO="Manual",ROUND(SUMPRODUCT((CÁLCULO!$M$15:$M$165=EVENTOS!$C56)*(OFFSET(CÁLCULO!$AI$15:$AI$165,0,K$13))),2),0)</f>
        <v>0</v>
      </c>
      <c r="L56" s="620" cm="1">
        <f t="array" aca="1" ref="L56" ca="1">IF(AUTOEVENTO="Manual",ROUND(SUMPRODUCT((CÁLCULO!$M$15:$M$165=EVENTOS!$C56)*(OFFSET(CÁLCULO!$AI$15:$AI$165,0,L$13))),2),0)</f>
        <v>0</v>
      </c>
      <c r="M56" s="620" cm="1">
        <f t="array" aca="1" ref="M56" ca="1">IF(AUTOEVENTO="Manual",ROUND(SUMPRODUCT((CÁLCULO!$M$15:$M$165=EVENTOS!$C56)*(OFFSET(CÁLCULO!$AI$15:$AI$165,0,M$13))),2),0)</f>
        <v>0</v>
      </c>
      <c r="N56" s="620" cm="1">
        <f t="array" aca="1" ref="N56" ca="1">IF(AUTOEVENTO="Manual",ROUND(SUMPRODUCT((CÁLCULO!$M$15:$M$165=EVENTOS!$C56)*(OFFSET(CÁLCULO!$AI$15:$AI$165,0,N$13))),2),0)</f>
        <v>0</v>
      </c>
      <c r="O56" s="620" cm="1">
        <f t="array" aca="1" ref="O56" ca="1">IF(AUTOEVENTO="Manual",ROUND(SUMPRODUCT((CÁLCULO!$M$15:$M$165=EVENTOS!$C56)*(OFFSET(CÁLCULO!$AI$15:$AI$165,0,O$13))),2),0)</f>
        <v>0</v>
      </c>
      <c r="P56" s="620" cm="1">
        <f t="array" aca="1" ref="P56" ca="1">IF(AUTOEVENTO="Manual",ROUND(SUMPRODUCT((CÁLCULO!$M$15:$M$165=EVENTOS!$C56)*(OFFSET(CÁLCULO!$AI$15:$AI$165,0,P$13))),2),0)</f>
        <v>0</v>
      </c>
      <c r="Q56" s="620" cm="1">
        <f t="array" aca="1" ref="Q56" ca="1">IF(AUTOEVENTO="Manual",ROUND(SUMPRODUCT((CÁLCULO!$M$15:$M$165=EVENTOS!$C56)*(OFFSET(CÁLCULO!$AI$15:$AI$165,0,Q$13))),2),0)</f>
        <v>0</v>
      </c>
      <c r="R56" s="620" cm="1">
        <f t="array" aca="1" ref="R56" ca="1">IF(AUTOEVENTO="Manual",ROUND(SUMPRODUCT((CÁLCULO!$M$15:$M$165=EVENTOS!$C56)*(OFFSET(CÁLCULO!$AI$15:$AI$165,0,R$13))),2),0)</f>
        <v>0</v>
      </c>
      <c r="S56" s="620" cm="1">
        <f t="array" aca="1" ref="S56" ca="1">IF(AUTOEVENTO="Manual",ROUND(SUMPRODUCT((CÁLCULO!$M$15:$M$165=EVENTOS!$C56)*(OFFSET(CÁLCULO!$AI$15:$AI$165,0,S$13))),2),0)</f>
        <v>0</v>
      </c>
      <c r="T56" s="620" cm="1">
        <f t="array" aca="1" ref="T56" ca="1">IF(AUTOEVENTO="Manual",ROUND(SUMPRODUCT((CÁLCULO!$M$15:$M$165=EVENTOS!$C56)*(OFFSET(CÁLCULO!$AI$15:$AI$165,0,T$13))),2),0)</f>
        <v>0</v>
      </c>
      <c r="U56" s="620" cm="1">
        <f t="array" aca="1" ref="U56" ca="1">IF(AUTOEVENTO="Manual",ROUND(SUMPRODUCT((CÁLCULO!$M$15:$M$165=EVENTOS!$C56)*(OFFSET(CÁLCULO!$AI$15:$AI$165,0,U$13))),2),0)</f>
        <v>0</v>
      </c>
      <c r="V56" s="620" cm="1">
        <f t="array" aca="1" ref="V56" ca="1">IF(AUTOEVENTO="Manual",ROUND(SUMPRODUCT((CÁLCULO!$M$15:$M$165=EVENTOS!$C56)*(OFFSET(CÁLCULO!$AI$15:$AI$165,0,V$13))),2),0)</f>
        <v>0</v>
      </c>
      <c r="W56" s="620" cm="1">
        <f t="array" aca="1" ref="W56" ca="1">IF(AUTOEVENTO="Manual",ROUND(SUMPRODUCT((CÁLCULO!$M$15:$M$165=EVENTOS!$C56)*(OFFSET(CÁLCULO!$AI$15:$AI$165,0,W$13))),2),0)</f>
        <v>0</v>
      </c>
      <c r="X56" s="620" cm="1">
        <f t="array" aca="1" ref="X56" ca="1">IF(AUTOEVENTO="Manual",ROUND(SUMPRODUCT((CÁLCULO!$M$15:$M$165=EVENTOS!$C56)*(OFFSET(CÁLCULO!$AI$15:$AI$165,0,X$13))),2),0)</f>
        <v>0</v>
      </c>
      <c r="Y56" s="620" cm="1">
        <f t="array" aca="1" ref="Y56" ca="1">IF(AUTOEVENTO="Manual",ROUND(SUMPRODUCT((CÁLCULO!$M$15:$M$165=EVENTOS!$C56)*(OFFSET(CÁLCULO!$AI$15:$AI$165,0,Y$13))),2),0)</f>
        <v>0</v>
      </c>
    </row>
    <row r="57" spans="1:25" x14ac:dyDescent="0.25">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IF(AUTOEVENTO="Manual",ROUND(SUMPRODUCT((CÁLCULO!$M$15:$M$165=EVENTOS!$C57)*(OFFSET(CÁLCULO!$AI$15:$AI$165,0,E$13))),2),0)</f>
        <v>0</v>
      </c>
      <c r="F57" s="183">
        <f ca="1">IF(AUTOEVENTO="Manual",ROUND(SUMPRODUCT((CÁLCULO!$M$15:$M$165=EVENTOS!$C57)*(OFFSET(CÁLCULO!$AI$15,0,1):OFFSET(CÁLCULO!$BB$165,0,-1))),2),0)</f>
        <v>0</v>
      </c>
      <c r="G57" s="621" t="str">
        <f t="shared" ca="1" si="6"/>
        <v/>
      </c>
      <c r="H57" s="620" cm="1">
        <f t="array" aca="1" ref="H57" ca="1">IF(AUTOEVENTO="Manual",ROUND(SUMPRODUCT((CÁLCULO!$M$15:$M$165=EVENTOS!$C57)*(OFFSET(CÁLCULO!$AI$15:$AI$165,0,H$13))),2),0)</f>
        <v>0</v>
      </c>
      <c r="I57" s="620" cm="1">
        <f t="array" aca="1" ref="I57" ca="1">IF(AUTOEVENTO="Manual",ROUND(SUMPRODUCT((CÁLCULO!$M$15:$M$165=EVENTOS!$C57)*(OFFSET(CÁLCULO!$AI$15:$AI$165,0,I$13))),2),0)</f>
        <v>0</v>
      </c>
      <c r="J57" s="620" cm="1">
        <f t="array" aca="1" ref="J57" ca="1">IF(AUTOEVENTO="Manual",ROUND(SUMPRODUCT((CÁLCULO!$M$15:$M$165=EVENTOS!$C57)*(OFFSET(CÁLCULO!$AI$15:$AI$165,0,J$13))),2),0)</f>
        <v>0</v>
      </c>
      <c r="K57" s="620" cm="1">
        <f t="array" aca="1" ref="K57" ca="1">IF(AUTOEVENTO="Manual",ROUND(SUMPRODUCT((CÁLCULO!$M$15:$M$165=EVENTOS!$C57)*(OFFSET(CÁLCULO!$AI$15:$AI$165,0,K$13))),2),0)</f>
        <v>0</v>
      </c>
      <c r="L57" s="620" cm="1">
        <f t="array" aca="1" ref="L57" ca="1">IF(AUTOEVENTO="Manual",ROUND(SUMPRODUCT((CÁLCULO!$M$15:$M$165=EVENTOS!$C57)*(OFFSET(CÁLCULO!$AI$15:$AI$165,0,L$13))),2),0)</f>
        <v>0</v>
      </c>
      <c r="M57" s="620" cm="1">
        <f t="array" aca="1" ref="M57" ca="1">IF(AUTOEVENTO="Manual",ROUND(SUMPRODUCT((CÁLCULO!$M$15:$M$165=EVENTOS!$C57)*(OFFSET(CÁLCULO!$AI$15:$AI$165,0,M$13))),2),0)</f>
        <v>0</v>
      </c>
      <c r="N57" s="620" cm="1">
        <f t="array" aca="1" ref="N57" ca="1">IF(AUTOEVENTO="Manual",ROUND(SUMPRODUCT((CÁLCULO!$M$15:$M$165=EVENTOS!$C57)*(OFFSET(CÁLCULO!$AI$15:$AI$165,0,N$13))),2),0)</f>
        <v>0</v>
      </c>
      <c r="O57" s="620" cm="1">
        <f t="array" aca="1" ref="O57" ca="1">IF(AUTOEVENTO="Manual",ROUND(SUMPRODUCT((CÁLCULO!$M$15:$M$165=EVENTOS!$C57)*(OFFSET(CÁLCULO!$AI$15:$AI$165,0,O$13))),2),0)</f>
        <v>0</v>
      </c>
      <c r="P57" s="620" cm="1">
        <f t="array" aca="1" ref="P57" ca="1">IF(AUTOEVENTO="Manual",ROUND(SUMPRODUCT((CÁLCULO!$M$15:$M$165=EVENTOS!$C57)*(OFFSET(CÁLCULO!$AI$15:$AI$165,0,P$13))),2),0)</f>
        <v>0</v>
      </c>
      <c r="Q57" s="620" cm="1">
        <f t="array" aca="1" ref="Q57" ca="1">IF(AUTOEVENTO="Manual",ROUND(SUMPRODUCT((CÁLCULO!$M$15:$M$165=EVENTOS!$C57)*(OFFSET(CÁLCULO!$AI$15:$AI$165,0,Q$13))),2),0)</f>
        <v>0</v>
      </c>
      <c r="R57" s="620" cm="1">
        <f t="array" aca="1" ref="R57" ca="1">IF(AUTOEVENTO="Manual",ROUND(SUMPRODUCT((CÁLCULO!$M$15:$M$165=EVENTOS!$C57)*(OFFSET(CÁLCULO!$AI$15:$AI$165,0,R$13))),2),0)</f>
        <v>0</v>
      </c>
      <c r="S57" s="620" cm="1">
        <f t="array" aca="1" ref="S57" ca="1">IF(AUTOEVENTO="Manual",ROUND(SUMPRODUCT((CÁLCULO!$M$15:$M$165=EVENTOS!$C57)*(OFFSET(CÁLCULO!$AI$15:$AI$165,0,S$13))),2),0)</f>
        <v>0</v>
      </c>
      <c r="T57" s="620" cm="1">
        <f t="array" aca="1" ref="T57" ca="1">IF(AUTOEVENTO="Manual",ROUND(SUMPRODUCT((CÁLCULO!$M$15:$M$165=EVENTOS!$C57)*(OFFSET(CÁLCULO!$AI$15:$AI$165,0,T$13))),2),0)</f>
        <v>0</v>
      </c>
      <c r="U57" s="620" cm="1">
        <f t="array" aca="1" ref="U57" ca="1">IF(AUTOEVENTO="Manual",ROUND(SUMPRODUCT((CÁLCULO!$M$15:$M$165=EVENTOS!$C57)*(OFFSET(CÁLCULO!$AI$15:$AI$165,0,U$13))),2),0)</f>
        <v>0</v>
      </c>
      <c r="V57" s="620" cm="1">
        <f t="array" aca="1" ref="V57" ca="1">IF(AUTOEVENTO="Manual",ROUND(SUMPRODUCT((CÁLCULO!$M$15:$M$165=EVENTOS!$C57)*(OFFSET(CÁLCULO!$AI$15:$AI$165,0,V$13))),2),0)</f>
        <v>0</v>
      </c>
      <c r="W57" s="620" cm="1">
        <f t="array" aca="1" ref="W57" ca="1">IF(AUTOEVENTO="Manual",ROUND(SUMPRODUCT((CÁLCULO!$M$15:$M$165=EVENTOS!$C57)*(OFFSET(CÁLCULO!$AI$15:$AI$165,0,W$13))),2),0)</f>
        <v>0</v>
      </c>
      <c r="X57" s="620" cm="1">
        <f t="array" aca="1" ref="X57" ca="1">IF(AUTOEVENTO="Manual",ROUND(SUMPRODUCT((CÁLCULO!$M$15:$M$165=EVENTOS!$C57)*(OFFSET(CÁLCULO!$AI$15:$AI$165,0,X$13))),2),0)</f>
        <v>0</v>
      </c>
      <c r="Y57" s="620" cm="1">
        <f t="array" aca="1" ref="Y57" ca="1">IF(AUTOEVENTO="Manual",ROUND(SUMPRODUCT((CÁLCULO!$M$15:$M$165=EVENTOS!$C57)*(OFFSET(CÁLCULO!$AI$15:$AI$165,0,Y$13))),2),0)</f>
        <v>0</v>
      </c>
    </row>
    <row r="58" spans="1:25" x14ac:dyDescent="0.25">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IF(AUTOEVENTO="Manual",ROUND(SUMPRODUCT((CÁLCULO!$M$15:$M$165=EVENTOS!$C58)*(OFFSET(CÁLCULO!$AI$15:$AI$165,0,E$13))),2),0)</f>
        <v>0</v>
      </c>
      <c r="F58" s="183">
        <f ca="1">IF(AUTOEVENTO="Manual",ROUND(SUMPRODUCT((CÁLCULO!$M$15:$M$165=EVENTOS!$C58)*(OFFSET(CÁLCULO!$AI$15,0,1):OFFSET(CÁLCULO!$BB$165,0,-1))),2),0)</f>
        <v>0</v>
      </c>
      <c r="G58" s="621" t="str">
        <f t="shared" ca="1" si="6"/>
        <v/>
      </c>
      <c r="H58" s="620" cm="1">
        <f t="array" aca="1" ref="H58" ca="1">IF(AUTOEVENTO="Manual",ROUND(SUMPRODUCT((CÁLCULO!$M$15:$M$165=EVENTOS!$C58)*(OFFSET(CÁLCULO!$AI$15:$AI$165,0,H$13))),2),0)</f>
        <v>0</v>
      </c>
      <c r="I58" s="620" cm="1">
        <f t="array" aca="1" ref="I58" ca="1">IF(AUTOEVENTO="Manual",ROUND(SUMPRODUCT((CÁLCULO!$M$15:$M$165=EVENTOS!$C58)*(OFFSET(CÁLCULO!$AI$15:$AI$165,0,I$13))),2),0)</f>
        <v>0</v>
      </c>
      <c r="J58" s="620" cm="1">
        <f t="array" aca="1" ref="J58" ca="1">IF(AUTOEVENTO="Manual",ROUND(SUMPRODUCT((CÁLCULO!$M$15:$M$165=EVENTOS!$C58)*(OFFSET(CÁLCULO!$AI$15:$AI$165,0,J$13))),2),0)</f>
        <v>0</v>
      </c>
      <c r="K58" s="620" cm="1">
        <f t="array" aca="1" ref="K58" ca="1">IF(AUTOEVENTO="Manual",ROUND(SUMPRODUCT((CÁLCULO!$M$15:$M$165=EVENTOS!$C58)*(OFFSET(CÁLCULO!$AI$15:$AI$165,0,K$13))),2),0)</f>
        <v>0</v>
      </c>
      <c r="L58" s="620" cm="1">
        <f t="array" aca="1" ref="L58" ca="1">IF(AUTOEVENTO="Manual",ROUND(SUMPRODUCT((CÁLCULO!$M$15:$M$165=EVENTOS!$C58)*(OFFSET(CÁLCULO!$AI$15:$AI$165,0,L$13))),2),0)</f>
        <v>0</v>
      </c>
      <c r="M58" s="620" cm="1">
        <f t="array" aca="1" ref="M58" ca="1">IF(AUTOEVENTO="Manual",ROUND(SUMPRODUCT((CÁLCULO!$M$15:$M$165=EVENTOS!$C58)*(OFFSET(CÁLCULO!$AI$15:$AI$165,0,M$13))),2),0)</f>
        <v>0</v>
      </c>
      <c r="N58" s="620" cm="1">
        <f t="array" aca="1" ref="N58" ca="1">IF(AUTOEVENTO="Manual",ROUND(SUMPRODUCT((CÁLCULO!$M$15:$M$165=EVENTOS!$C58)*(OFFSET(CÁLCULO!$AI$15:$AI$165,0,N$13))),2),0)</f>
        <v>0</v>
      </c>
      <c r="O58" s="620" cm="1">
        <f t="array" aca="1" ref="O58" ca="1">IF(AUTOEVENTO="Manual",ROUND(SUMPRODUCT((CÁLCULO!$M$15:$M$165=EVENTOS!$C58)*(OFFSET(CÁLCULO!$AI$15:$AI$165,0,O$13))),2),0)</f>
        <v>0</v>
      </c>
      <c r="P58" s="620" cm="1">
        <f t="array" aca="1" ref="P58" ca="1">IF(AUTOEVENTO="Manual",ROUND(SUMPRODUCT((CÁLCULO!$M$15:$M$165=EVENTOS!$C58)*(OFFSET(CÁLCULO!$AI$15:$AI$165,0,P$13))),2),0)</f>
        <v>0</v>
      </c>
      <c r="Q58" s="620" cm="1">
        <f t="array" aca="1" ref="Q58" ca="1">IF(AUTOEVENTO="Manual",ROUND(SUMPRODUCT((CÁLCULO!$M$15:$M$165=EVENTOS!$C58)*(OFFSET(CÁLCULO!$AI$15:$AI$165,0,Q$13))),2),0)</f>
        <v>0</v>
      </c>
      <c r="R58" s="620" cm="1">
        <f t="array" aca="1" ref="R58" ca="1">IF(AUTOEVENTO="Manual",ROUND(SUMPRODUCT((CÁLCULO!$M$15:$M$165=EVENTOS!$C58)*(OFFSET(CÁLCULO!$AI$15:$AI$165,0,R$13))),2),0)</f>
        <v>0</v>
      </c>
      <c r="S58" s="620" cm="1">
        <f t="array" aca="1" ref="S58" ca="1">IF(AUTOEVENTO="Manual",ROUND(SUMPRODUCT((CÁLCULO!$M$15:$M$165=EVENTOS!$C58)*(OFFSET(CÁLCULO!$AI$15:$AI$165,0,S$13))),2),0)</f>
        <v>0</v>
      </c>
      <c r="T58" s="620" cm="1">
        <f t="array" aca="1" ref="T58" ca="1">IF(AUTOEVENTO="Manual",ROUND(SUMPRODUCT((CÁLCULO!$M$15:$M$165=EVENTOS!$C58)*(OFFSET(CÁLCULO!$AI$15:$AI$165,0,T$13))),2),0)</f>
        <v>0</v>
      </c>
      <c r="U58" s="620" cm="1">
        <f t="array" aca="1" ref="U58" ca="1">IF(AUTOEVENTO="Manual",ROUND(SUMPRODUCT((CÁLCULO!$M$15:$M$165=EVENTOS!$C58)*(OFFSET(CÁLCULO!$AI$15:$AI$165,0,U$13))),2),0)</f>
        <v>0</v>
      </c>
      <c r="V58" s="620" cm="1">
        <f t="array" aca="1" ref="V58" ca="1">IF(AUTOEVENTO="Manual",ROUND(SUMPRODUCT((CÁLCULO!$M$15:$M$165=EVENTOS!$C58)*(OFFSET(CÁLCULO!$AI$15:$AI$165,0,V$13))),2),0)</f>
        <v>0</v>
      </c>
      <c r="W58" s="620" cm="1">
        <f t="array" aca="1" ref="W58" ca="1">IF(AUTOEVENTO="Manual",ROUND(SUMPRODUCT((CÁLCULO!$M$15:$M$165=EVENTOS!$C58)*(OFFSET(CÁLCULO!$AI$15:$AI$165,0,W$13))),2),0)</f>
        <v>0</v>
      </c>
      <c r="X58" s="620" cm="1">
        <f t="array" aca="1" ref="X58" ca="1">IF(AUTOEVENTO="Manual",ROUND(SUMPRODUCT((CÁLCULO!$M$15:$M$165=EVENTOS!$C58)*(OFFSET(CÁLCULO!$AI$15:$AI$165,0,X$13))),2),0)</f>
        <v>0</v>
      </c>
      <c r="Y58" s="620" cm="1">
        <f t="array" aca="1" ref="Y58" ca="1">IF(AUTOEVENTO="Manual",ROUND(SUMPRODUCT((CÁLCULO!$M$15:$M$165=EVENTOS!$C58)*(OFFSET(CÁLCULO!$AI$15:$AI$165,0,Y$13))),2),0)</f>
        <v>0</v>
      </c>
    </row>
    <row r="59" spans="1:25" x14ac:dyDescent="0.25">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IF(AUTOEVENTO="Manual",ROUND(SUMPRODUCT((CÁLCULO!$M$15:$M$165=EVENTOS!$C59)*(OFFSET(CÁLCULO!$AI$15:$AI$165,0,E$13))),2),0)</f>
        <v>0</v>
      </c>
      <c r="F59" s="183">
        <f ca="1">IF(AUTOEVENTO="Manual",ROUND(SUMPRODUCT((CÁLCULO!$M$15:$M$165=EVENTOS!$C59)*(OFFSET(CÁLCULO!$AI$15,0,1):OFFSET(CÁLCULO!$BB$165,0,-1))),2),0)</f>
        <v>0</v>
      </c>
      <c r="G59" s="621" t="str">
        <f t="shared" ca="1" si="6"/>
        <v/>
      </c>
      <c r="H59" s="620" cm="1">
        <f t="array" aca="1" ref="H59" ca="1">IF(AUTOEVENTO="Manual",ROUND(SUMPRODUCT((CÁLCULO!$M$15:$M$165=EVENTOS!$C59)*(OFFSET(CÁLCULO!$AI$15:$AI$165,0,H$13))),2),0)</f>
        <v>0</v>
      </c>
      <c r="I59" s="620" cm="1">
        <f t="array" aca="1" ref="I59" ca="1">IF(AUTOEVENTO="Manual",ROUND(SUMPRODUCT((CÁLCULO!$M$15:$M$165=EVENTOS!$C59)*(OFFSET(CÁLCULO!$AI$15:$AI$165,0,I$13))),2),0)</f>
        <v>0</v>
      </c>
      <c r="J59" s="620" cm="1">
        <f t="array" aca="1" ref="J59" ca="1">IF(AUTOEVENTO="Manual",ROUND(SUMPRODUCT((CÁLCULO!$M$15:$M$165=EVENTOS!$C59)*(OFFSET(CÁLCULO!$AI$15:$AI$165,0,J$13))),2),0)</f>
        <v>0</v>
      </c>
      <c r="K59" s="620" cm="1">
        <f t="array" aca="1" ref="K59" ca="1">IF(AUTOEVENTO="Manual",ROUND(SUMPRODUCT((CÁLCULO!$M$15:$M$165=EVENTOS!$C59)*(OFFSET(CÁLCULO!$AI$15:$AI$165,0,K$13))),2),0)</f>
        <v>0</v>
      </c>
      <c r="L59" s="620" cm="1">
        <f t="array" aca="1" ref="L59" ca="1">IF(AUTOEVENTO="Manual",ROUND(SUMPRODUCT((CÁLCULO!$M$15:$M$165=EVENTOS!$C59)*(OFFSET(CÁLCULO!$AI$15:$AI$165,0,L$13))),2),0)</f>
        <v>0</v>
      </c>
      <c r="M59" s="620" cm="1">
        <f t="array" aca="1" ref="M59" ca="1">IF(AUTOEVENTO="Manual",ROUND(SUMPRODUCT((CÁLCULO!$M$15:$M$165=EVENTOS!$C59)*(OFFSET(CÁLCULO!$AI$15:$AI$165,0,M$13))),2),0)</f>
        <v>0</v>
      </c>
      <c r="N59" s="620" cm="1">
        <f t="array" aca="1" ref="N59" ca="1">IF(AUTOEVENTO="Manual",ROUND(SUMPRODUCT((CÁLCULO!$M$15:$M$165=EVENTOS!$C59)*(OFFSET(CÁLCULO!$AI$15:$AI$165,0,N$13))),2),0)</f>
        <v>0</v>
      </c>
      <c r="O59" s="620" cm="1">
        <f t="array" aca="1" ref="O59" ca="1">IF(AUTOEVENTO="Manual",ROUND(SUMPRODUCT((CÁLCULO!$M$15:$M$165=EVENTOS!$C59)*(OFFSET(CÁLCULO!$AI$15:$AI$165,0,O$13))),2),0)</f>
        <v>0</v>
      </c>
      <c r="P59" s="620" cm="1">
        <f t="array" aca="1" ref="P59" ca="1">IF(AUTOEVENTO="Manual",ROUND(SUMPRODUCT((CÁLCULO!$M$15:$M$165=EVENTOS!$C59)*(OFFSET(CÁLCULO!$AI$15:$AI$165,0,P$13))),2),0)</f>
        <v>0</v>
      </c>
      <c r="Q59" s="620" cm="1">
        <f t="array" aca="1" ref="Q59" ca="1">IF(AUTOEVENTO="Manual",ROUND(SUMPRODUCT((CÁLCULO!$M$15:$M$165=EVENTOS!$C59)*(OFFSET(CÁLCULO!$AI$15:$AI$165,0,Q$13))),2),0)</f>
        <v>0</v>
      </c>
      <c r="R59" s="620" cm="1">
        <f t="array" aca="1" ref="R59" ca="1">IF(AUTOEVENTO="Manual",ROUND(SUMPRODUCT((CÁLCULO!$M$15:$M$165=EVENTOS!$C59)*(OFFSET(CÁLCULO!$AI$15:$AI$165,0,R$13))),2),0)</f>
        <v>0</v>
      </c>
      <c r="S59" s="620" cm="1">
        <f t="array" aca="1" ref="S59" ca="1">IF(AUTOEVENTO="Manual",ROUND(SUMPRODUCT((CÁLCULO!$M$15:$M$165=EVENTOS!$C59)*(OFFSET(CÁLCULO!$AI$15:$AI$165,0,S$13))),2),0)</f>
        <v>0</v>
      </c>
      <c r="T59" s="620" cm="1">
        <f t="array" aca="1" ref="T59" ca="1">IF(AUTOEVENTO="Manual",ROUND(SUMPRODUCT((CÁLCULO!$M$15:$M$165=EVENTOS!$C59)*(OFFSET(CÁLCULO!$AI$15:$AI$165,0,T$13))),2),0)</f>
        <v>0</v>
      </c>
      <c r="U59" s="620" cm="1">
        <f t="array" aca="1" ref="U59" ca="1">IF(AUTOEVENTO="Manual",ROUND(SUMPRODUCT((CÁLCULO!$M$15:$M$165=EVENTOS!$C59)*(OFFSET(CÁLCULO!$AI$15:$AI$165,0,U$13))),2),0)</f>
        <v>0</v>
      </c>
      <c r="V59" s="620" cm="1">
        <f t="array" aca="1" ref="V59" ca="1">IF(AUTOEVENTO="Manual",ROUND(SUMPRODUCT((CÁLCULO!$M$15:$M$165=EVENTOS!$C59)*(OFFSET(CÁLCULO!$AI$15:$AI$165,0,V$13))),2),0)</f>
        <v>0</v>
      </c>
      <c r="W59" s="620" cm="1">
        <f t="array" aca="1" ref="W59" ca="1">IF(AUTOEVENTO="Manual",ROUND(SUMPRODUCT((CÁLCULO!$M$15:$M$165=EVENTOS!$C59)*(OFFSET(CÁLCULO!$AI$15:$AI$165,0,W$13))),2),0)</f>
        <v>0</v>
      </c>
      <c r="X59" s="620" cm="1">
        <f t="array" aca="1" ref="X59" ca="1">IF(AUTOEVENTO="Manual",ROUND(SUMPRODUCT((CÁLCULO!$M$15:$M$165=EVENTOS!$C59)*(OFFSET(CÁLCULO!$AI$15:$AI$165,0,X$13))),2),0)</f>
        <v>0</v>
      </c>
      <c r="Y59" s="620" cm="1">
        <f t="array" aca="1" ref="Y59" ca="1">IF(AUTOEVENTO="Manual",ROUND(SUMPRODUCT((CÁLCULO!$M$15:$M$165=EVENTOS!$C59)*(OFFSET(CÁLCULO!$AI$15:$AI$165,0,Y$13))),2),0)</f>
        <v>0</v>
      </c>
    </row>
    <row r="60" spans="1:25" x14ac:dyDescent="0.25">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IF(AUTOEVENTO="Manual",ROUND(SUMPRODUCT((CÁLCULO!$M$15:$M$165=EVENTOS!$C60)*(OFFSET(CÁLCULO!$AI$15:$AI$165,0,E$13))),2),0)</f>
        <v>0</v>
      </c>
      <c r="F60" s="183">
        <f ca="1">IF(AUTOEVENTO="Manual",ROUND(SUMPRODUCT((CÁLCULO!$M$15:$M$165=EVENTOS!$C60)*(OFFSET(CÁLCULO!$AI$15,0,1):OFFSET(CÁLCULO!$BB$165,0,-1))),2),0)</f>
        <v>0</v>
      </c>
      <c r="G60" s="621" t="str">
        <f t="shared" ca="1" si="6"/>
        <v/>
      </c>
      <c r="H60" s="620" cm="1">
        <f t="array" aca="1" ref="H60" ca="1">IF(AUTOEVENTO="Manual",ROUND(SUMPRODUCT((CÁLCULO!$M$15:$M$165=EVENTOS!$C60)*(OFFSET(CÁLCULO!$AI$15:$AI$165,0,H$13))),2),0)</f>
        <v>0</v>
      </c>
      <c r="I60" s="620" cm="1">
        <f t="array" aca="1" ref="I60" ca="1">IF(AUTOEVENTO="Manual",ROUND(SUMPRODUCT((CÁLCULO!$M$15:$M$165=EVENTOS!$C60)*(OFFSET(CÁLCULO!$AI$15:$AI$165,0,I$13))),2),0)</f>
        <v>0</v>
      </c>
      <c r="J60" s="620" cm="1">
        <f t="array" aca="1" ref="J60" ca="1">IF(AUTOEVENTO="Manual",ROUND(SUMPRODUCT((CÁLCULO!$M$15:$M$165=EVENTOS!$C60)*(OFFSET(CÁLCULO!$AI$15:$AI$165,0,J$13))),2),0)</f>
        <v>0</v>
      </c>
      <c r="K60" s="620" cm="1">
        <f t="array" aca="1" ref="K60" ca="1">IF(AUTOEVENTO="Manual",ROUND(SUMPRODUCT((CÁLCULO!$M$15:$M$165=EVENTOS!$C60)*(OFFSET(CÁLCULO!$AI$15:$AI$165,0,K$13))),2),0)</f>
        <v>0</v>
      </c>
      <c r="L60" s="620" cm="1">
        <f t="array" aca="1" ref="L60" ca="1">IF(AUTOEVENTO="Manual",ROUND(SUMPRODUCT((CÁLCULO!$M$15:$M$165=EVENTOS!$C60)*(OFFSET(CÁLCULO!$AI$15:$AI$165,0,L$13))),2),0)</f>
        <v>0</v>
      </c>
      <c r="M60" s="620" cm="1">
        <f t="array" aca="1" ref="M60" ca="1">IF(AUTOEVENTO="Manual",ROUND(SUMPRODUCT((CÁLCULO!$M$15:$M$165=EVENTOS!$C60)*(OFFSET(CÁLCULO!$AI$15:$AI$165,0,M$13))),2),0)</f>
        <v>0</v>
      </c>
      <c r="N60" s="620" cm="1">
        <f t="array" aca="1" ref="N60" ca="1">IF(AUTOEVENTO="Manual",ROUND(SUMPRODUCT((CÁLCULO!$M$15:$M$165=EVENTOS!$C60)*(OFFSET(CÁLCULO!$AI$15:$AI$165,0,N$13))),2),0)</f>
        <v>0</v>
      </c>
      <c r="O60" s="620" cm="1">
        <f t="array" aca="1" ref="O60" ca="1">IF(AUTOEVENTO="Manual",ROUND(SUMPRODUCT((CÁLCULO!$M$15:$M$165=EVENTOS!$C60)*(OFFSET(CÁLCULO!$AI$15:$AI$165,0,O$13))),2),0)</f>
        <v>0</v>
      </c>
      <c r="P60" s="620" cm="1">
        <f t="array" aca="1" ref="P60" ca="1">IF(AUTOEVENTO="Manual",ROUND(SUMPRODUCT((CÁLCULO!$M$15:$M$165=EVENTOS!$C60)*(OFFSET(CÁLCULO!$AI$15:$AI$165,0,P$13))),2),0)</f>
        <v>0</v>
      </c>
      <c r="Q60" s="620" cm="1">
        <f t="array" aca="1" ref="Q60" ca="1">IF(AUTOEVENTO="Manual",ROUND(SUMPRODUCT((CÁLCULO!$M$15:$M$165=EVENTOS!$C60)*(OFFSET(CÁLCULO!$AI$15:$AI$165,0,Q$13))),2),0)</f>
        <v>0</v>
      </c>
      <c r="R60" s="620" cm="1">
        <f t="array" aca="1" ref="R60" ca="1">IF(AUTOEVENTO="Manual",ROUND(SUMPRODUCT((CÁLCULO!$M$15:$M$165=EVENTOS!$C60)*(OFFSET(CÁLCULO!$AI$15:$AI$165,0,R$13))),2),0)</f>
        <v>0</v>
      </c>
      <c r="S60" s="620" cm="1">
        <f t="array" aca="1" ref="S60" ca="1">IF(AUTOEVENTO="Manual",ROUND(SUMPRODUCT((CÁLCULO!$M$15:$M$165=EVENTOS!$C60)*(OFFSET(CÁLCULO!$AI$15:$AI$165,0,S$13))),2),0)</f>
        <v>0</v>
      </c>
      <c r="T60" s="620" cm="1">
        <f t="array" aca="1" ref="T60" ca="1">IF(AUTOEVENTO="Manual",ROUND(SUMPRODUCT((CÁLCULO!$M$15:$M$165=EVENTOS!$C60)*(OFFSET(CÁLCULO!$AI$15:$AI$165,0,T$13))),2),0)</f>
        <v>0</v>
      </c>
      <c r="U60" s="620" cm="1">
        <f t="array" aca="1" ref="U60" ca="1">IF(AUTOEVENTO="Manual",ROUND(SUMPRODUCT((CÁLCULO!$M$15:$M$165=EVENTOS!$C60)*(OFFSET(CÁLCULO!$AI$15:$AI$165,0,U$13))),2),0)</f>
        <v>0</v>
      </c>
      <c r="V60" s="620" cm="1">
        <f t="array" aca="1" ref="V60" ca="1">IF(AUTOEVENTO="Manual",ROUND(SUMPRODUCT((CÁLCULO!$M$15:$M$165=EVENTOS!$C60)*(OFFSET(CÁLCULO!$AI$15:$AI$165,0,V$13))),2),0)</f>
        <v>0</v>
      </c>
      <c r="W60" s="620" cm="1">
        <f t="array" aca="1" ref="W60" ca="1">IF(AUTOEVENTO="Manual",ROUND(SUMPRODUCT((CÁLCULO!$M$15:$M$165=EVENTOS!$C60)*(OFFSET(CÁLCULO!$AI$15:$AI$165,0,W$13))),2),0)</f>
        <v>0</v>
      </c>
      <c r="X60" s="620" cm="1">
        <f t="array" aca="1" ref="X60" ca="1">IF(AUTOEVENTO="Manual",ROUND(SUMPRODUCT((CÁLCULO!$M$15:$M$165=EVENTOS!$C60)*(OFFSET(CÁLCULO!$AI$15:$AI$165,0,X$13))),2),0)</f>
        <v>0</v>
      </c>
      <c r="Y60" s="620" cm="1">
        <f t="array" aca="1" ref="Y60" ca="1">IF(AUTOEVENTO="Manual",ROUND(SUMPRODUCT((CÁLCULO!$M$15:$M$165=EVENTOS!$C60)*(OFFSET(CÁLCULO!$AI$15:$AI$165,0,Y$13))),2),0)</f>
        <v>0</v>
      </c>
    </row>
    <row r="61" spans="1:25" x14ac:dyDescent="0.25">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IF(AUTOEVENTO="Manual",ROUND(SUMPRODUCT((CÁLCULO!$M$15:$M$165=EVENTOS!$C61)*(OFFSET(CÁLCULO!$AI$15:$AI$165,0,E$13))),2),0)</f>
        <v>0</v>
      </c>
      <c r="F61" s="183">
        <f ca="1">IF(AUTOEVENTO="Manual",ROUND(SUMPRODUCT((CÁLCULO!$M$15:$M$165=EVENTOS!$C61)*(OFFSET(CÁLCULO!$AI$15,0,1):OFFSET(CÁLCULO!$BB$165,0,-1))),2),0)</f>
        <v>0</v>
      </c>
      <c r="G61" s="621" t="str">
        <f t="shared" ca="1" si="6"/>
        <v/>
      </c>
      <c r="H61" s="620" cm="1">
        <f t="array" aca="1" ref="H61" ca="1">IF(AUTOEVENTO="Manual",ROUND(SUMPRODUCT((CÁLCULO!$M$15:$M$165=EVENTOS!$C61)*(OFFSET(CÁLCULO!$AI$15:$AI$165,0,H$13))),2),0)</f>
        <v>0</v>
      </c>
      <c r="I61" s="620" cm="1">
        <f t="array" aca="1" ref="I61" ca="1">IF(AUTOEVENTO="Manual",ROUND(SUMPRODUCT((CÁLCULO!$M$15:$M$165=EVENTOS!$C61)*(OFFSET(CÁLCULO!$AI$15:$AI$165,0,I$13))),2),0)</f>
        <v>0</v>
      </c>
      <c r="J61" s="620" cm="1">
        <f t="array" aca="1" ref="J61" ca="1">IF(AUTOEVENTO="Manual",ROUND(SUMPRODUCT((CÁLCULO!$M$15:$M$165=EVENTOS!$C61)*(OFFSET(CÁLCULO!$AI$15:$AI$165,0,J$13))),2),0)</f>
        <v>0</v>
      </c>
      <c r="K61" s="620" cm="1">
        <f t="array" aca="1" ref="K61" ca="1">IF(AUTOEVENTO="Manual",ROUND(SUMPRODUCT((CÁLCULO!$M$15:$M$165=EVENTOS!$C61)*(OFFSET(CÁLCULO!$AI$15:$AI$165,0,K$13))),2),0)</f>
        <v>0</v>
      </c>
      <c r="L61" s="620" cm="1">
        <f t="array" aca="1" ref="L61" ca="1">IF(AUTOEVENTO="Manual",ROUND(SUMPRODUCT((CÁLCULO!$M$15:$M$165=EVENTOS!$C61)*(OFFSET(CÁLCULO!$AI$15:$AI$165,0,L$13))),2),0)</f>
        <v>0</v>
      </c>
      <c r="M61" s="620" cm="1">
        <f t="array" aca="1" ref="M61" ca="1">IF(AUTOEVENTO="Manual",ROUND(SUMPRODUCT((CÁLCULO!$M$15:$M$165=EVENTOS!$C61)*(OFFSET(CÁLCULO!$AI$15:$AI$165,0,M$13))),2),0)</f>
        <v>0</v>
      </c>
      <c r="N61" s="620" cm="1">
        <f t="array" aca="1" ref="N61" ca="1">IF(AUTOEVENTO="Manual",ROUND(SUMPRODUCT((CÁLCULO!$M$15:$M$165=EVENTOS!$C61)*(OFFSET(CÁLCULO!$AI$15:$AI$165,0,N$13))),2),0)</f>
        <v>0</v>
      </c>
      <c r="O61" s="620" cm="1">
        <f t="array" aca="1" ref="O61" ca="1">IF(AUTOEVENTO="Manual",ROUND(SUMPRODUCT((CÁLCULO!$M$15:$M$165=EVENTOS!$C61)*(OFFSET(CÁLCULO!$AI$15:$AI$165,0,O$13))),2),0)</f>
        <v>0</v>
      </c>
      <c r="P61" s="620" cm="1">
        <f t="array" aca="1" ref="P61" ca="1">IF(AUTOEVENTO="Manual",ROUND(SUMPRODUCT((CÁLCULO!$M$15:$M$165=EVENTOS!$C61)*(OFFSET(CÁLCULO!$AI$15:$AI$165,0,P$13))),2),0)</f>
        <v>0</v>
      </c>
      <c r="Q61" s="620" cm="1">
        <f t="array" aca="1" ref="Q61" ca="1">IF(AUTOEVENTO="Manual",ROUND(SUMPRODUCT((CÁLCULO!$M$15:$M$165=EVENTOS!$C61)*(OFFSET(CÁLCULO!$AI$15:$AI$165,0,Q$13))),2),0)</f>
        <v>0</v>
      </c>
      <c r="R61" s="620" cm="1">
        <f t="array" aca="1" ref="R61" ca="1">IF(AUTOEVENTO="Manual",ROUND(SUMPRODUCT((CÁLCULO!$M$15:$M$165=EVENTOS!$C61)*(OFFSET(CÁLCULO!$AI$15:$AI$165,0,R$13))),2),0)</f>
        <v>0</v>
      </c>
      <c r="S61" s="620" cm="1">
        <f t="array" aca="1" ref="S61" ca="1">IF(AUTOEVENTO="Manual",ROUND(SUMPRODUCT((CÁLCULO!$M$15:$M$165=EVENTOS!$C61)*(OFFSET(CÁLCULO!$AI$15:$AI$165,0,S$13))),2),0)</f>
        <v>0</v>
      </c>
      <c r="T61" s="620" cm="1">
        <f t="array" aca="1" ref="T61" ca="1">IF(AUTOEVENTO="Manual",ROUND(SUMPRODUCT((CÁLCULO!$M$15:$M$165=EVENTOS!$C61)*(OFFSET(CÁLCULO!$AI$15:$AI$165,0,T$13))),2),0)</f>
        <v>0</v>
      </c>
      <c r="U61" s="620" cm="1">
        <f t="array" aca="1" ref="U61" ca="1">IF(AUTOEVENTO="Manual",ROUND(SUMPRODUCT((CÁLCULO!$M$15:$M$165=EVENTOS!$C61)*(OFFSET(CÁLCULO!$AI$15:$AI$165,0,U$13))),2),0)</f>
        <v>0</v>
      </c>
      <c r="V61" s="620" cm="1">
        <f t="array" aca="1" ref="V61" ca="1">IF(AUTOEVENTO="Manual",ROUND(SUMPRODUCT((CÁLCULO!$M$15:$M$165=EVENTOS!$C61)*(OFFSET(CÁLCULO!$AI$15:$AI$165,0,V$13))),2),0)</f>
        <v>0</v>
      </c>
      <c r="W61" s="620" cm="1">
        <f t="array" aca="1" ref="W61" ca="1">IF(AUTOEVENTO="Manual",ROUND(SUMPRODUCT((CÁLCULO!$M$15:$M$165=EVENTOS!$C61)*(OFFSET(CÁLCULO!$AI$15:$AI$165,0,W$13))),2),0)</f>
        <v>0</v>
      </c>
      <c r="X61" s="620" cm="1">
        <f t="array" aca="1" ref="X61" ca="1">IF(AUTOEVENTO="Manual",ROUND(SUMPRODUCT((CÁLCULO!$M$15:$M$165=EVENTOS!$C61)*(OFFSET(CÁLCULO!$AI$15:$AI$165,0,X$13))),2),0)</f>
        <v>0</v>
      </c>
      <c r="Y61" s="620" cm="1">
        <f t="array" aca="1" ref="Y61" ca="1">IF(AUTOEVENTO="Manual",ROUND(SUMPRODUCT((CÁLCULO!$M$15:$M$165=EVENTOS!$C61)*(OFFSET(CÁLCULO!$AI$15:$AI$165,0,Y$13))),2),0)</f>
        <v>0</v>
      </c>
    </row>
    <row r="62" spans="1:25" x14ac:dyDescent="0.25">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IF(AUTOEVENTO="Manual",ROUND(SUMPRODUCT((CÁLCULO!$M$15:$M$165=EVENTOS!$C62)*(OFFSET(CÁLCULO!$AI$15:$AI$165,0,E$13))),2),0)</f>
        <v>0</v>
      </c>
      <c r="F62" s="183">
        <f ca="1">IF(AUTOEVENTO="Manual",ROUND(SUMPRODUCT((CÁLCULO!$M$15:$M$165=EVENTOS!$C62)*(OFFSET(CÁLCULO!$AI$15,0,1):OFFSET(CÁLCULO!$BB$165,0,-1))),2),0)</f>
        <v>0</v>
      </c>
      <c r="G62" s="621" t="str">
        <f t="shared" ca="1" si="6"/>
        <v/>
      </c>
      <c r="H62" s="620" cm="1">
        <f t="array" aca="1" ref="H62" ca="1">IF(AUTOEVENTO="Manual",ROUND(SUMPRODUCT((CÁLCULO!$M$15:$M$165=EVENTOS!$C62)*(OFFSET(CÁLCULO!$AI$15:$AI$165,0,H$13))),2),0)</f>
        <v>0</v>
      </c>
      <c r="I62" s="620" cm="1">
        <f t="array" aca="1" ref="I62" ca="1">IF(AUTOEVENTO="Manual",ROUND(SUMPRODUCT((CÁLCULO!$M$15:$M$165=EVENTOS!$C62)*(OFFSET(CÁLCULO!$AI$15:$AI$165,0,I$13))),2),0)</f>
        <v>0</v>
      </c>
      <c r="J62" s="620" cm="1">
        <f t="array" aca="1" ref="J62" ca="1">IF(AUTOEVENTO="Manual",ROUND(SUMPRODUCT((CÁLCULO!$M$15:$M$165=EVENTOS!$C62)*(OFFSET(CÁLCULO!$AI$15:$AI$165,0,J$13))),2),0)</f>
        <v>0</v>
      </c>
      <c r="K62" s="620" cm="1">
        <f t="array" aca="1" ref="K62" ca="1">IF(AUTOEVENTO="Manual",ROUND(SUMPRODUCT((CÁLCULO!$M$15:$M$165=EVENTOS!$C62)*(OFFSET(CÁLCULO!$AI$15:$AI$165,0,K$13))),2),0)</f>
        <v>0</v>
      </c>
      <c r="L62" s="620" cm="1">
        <f t="array" aca="1" ref="L62" ca="1">IF(AUTOEVENTO="Manual",ROUND(SUMPRODUCT((CÁLCULO!$M$15:$M$165=EVENTOS!$C62)*(OFFSET(CÁLCULO!$AI$15:$AI$165,0,L$13))),2),0)</f>
        <v>0</v>
      </c>
      <c r="M62" s="620" cm="1">
        <f t="array" aca="1" ref="M62" ca="1">IF(AUTOEVENTO="Manual",ROUND(SUMPRODUCT((CÁLCULO!$M$15:$M$165=EVENTOS!$C62)*(OFFSET(CÁLCULO!$AI$15:$AI$165,0,M$13))),2),0)</f>
        <v>0</v>
      </c>
      <c r="N62" s="620" cm="1">
        <f t="array" aca="1" ref="N62" ca="1">IF(AUTOEVENTO="Manual",ROUND(SUMPRODUCT((CÁLCULO!$M$15:$M$165=EVENTOS!$C62)*(OFFSET(CÁLCULO!$AI$15:$AI$165,0,N$13))),2),0)</f>
        <v>0</v>
      </c>
      <c r="O62" s="620" cm="1">
        <f t="array" aca="1" ref="O62" ca="1">IF(AUTOEVENTO="Manual",ROUND(SUMPRODUCT((CÁLCULO!$M$15:$M$165=EVENTOS!$C62)*(OFFSET(CÁLCULO!$AI$15:$AI$165,0,O$13))),2),0)</f>
        <v>0</v>
      </c>
      <c r="P62" s="620" cm="1">
        <f t="array" aca="1" ref="P62" ca="1">IF(AUTOEVENTO="Manual",ROUND(SUMPRODUCT((CÁLCULO!$M$15:$M$165=EVENTOS!$C62)*(OFFSET(CÁLCULO!$AI$15:$AI$165,0,P$13))),2),0)</f>
        <v>0</v>
      </c>
      <c r="Q62" s="620" cm="1">
        <f t="array" aca="1" ref="Q62" ca="1">IF(AUTOEVENTO="Manual",ROUND(SUMPRODUCT((CÁLCULO!$M$15:$M$165=EVENTOS!$C62)*(OFFSET(CÁLCULO!$AI$15:$AI$165,0,Q$13))),2),0)</f>
        <v>0</v>
      </c>
      <c r="R62" s="620" cm="1">
        <f t="array" aca="1" ref="R62" ca="1">IF(AUTOEVENTO="Manual",ROUND(SUMPRODUCT((CÁLCULO!$M$15:$M$165=EVENTOS!$C62)*(OFFSET(CÁLCULO!$AI$15:$AI$165,0,R$13))),2),0)</f>
        <v>0</v>
      </c>
      <c r="S62" s="620" cm="1">
        <f t="array" aca="1" ref="S62" ca="1">IF(AUTOEVENTO="Manual",ROUND(SUMPRODUCT((CÁLCULO!$M$15:$M$165=EVENTOS!$C62)*(OFFSET(CÁLCULO!$AI$15:$AI$165,0,S$13))),2),0)</f>
        <v>0</v>
      </c>
      <c r="T62" s="620" cm="1">
        <f t="array" aca="1" ref="T62" ca="1">IF(AUTOEVENTO="Manual",ROUND(SUMPRODUCT((CÁLCULO!$M$15:$M$165=EVENTOS!$C62)*(OFFSET(CÁLCULO!$AI$15:$AI$165,0,T$13))),2),0)</f>
        <v>0</v>
      </c>
      <c r="U62" s="620" cm="1">
        <f t="array" aca="1" ref="U62" ca="1">IF(AUTOEVENTO="Manual",ROUND(SUMPRODUCT((CÁLCULO!$M$15:$M$165=EVENTOS!$C62)*(OFFSET(CÁLCULO!$AI$15:$AI$165,0,U$13))),2),0)</f>
        <v>0</v>
      </c>
      <c r="V62" s="620" cm="1">
        <f t="array" aca="1" ref="V62" ca="1">IF(AUTOEVENTO="Manual",ROUND(SUMPRODUCT((CÁLCULO!$M$15:$M$165=EVENTOS!$C62)*(OFFSET(CÁLCULO!$AI$15:$AI$165,0,V$13))),2),0)</f>
        <v>0</v>
      </c>
      <c r="W62" s="620" cm="1">
        <f t="array" aca="1" ref="W62" ca="1">IF(AUTOEVENTO="Manual",ROUND(SUMPRODUCT((CÁLCULO!$M$15:$M$165=EVENTOS!$C62)*(OFFSET(CÁLCULO!$AI$15:$AI$165,0,W$13))),2),0)</f>
        <v>0</v>
      </c>
      <c r="X62" s="620" cm="1">
        <f t="array" aca="1" ref="X62" ca="1">IF(AUTOEVENTO="Manual",ROUND(SUMPRODUCT((CÁLCULO!$M$15:$M$165=EVENTOS!$C62)*(OFFSET(CÁLCULO!$AI$15:$AI$165,0,X$13))),2),0)</f>
        <v>0</v>
      </c>
      <c r="Y62" s="620" cm="1">
        <f t="array" aca="1" ref="Y62" ca="1">IF(AUTOEVENTO="Manual",ROUND(SUMPRODUCT((CÁLCULO!$M$15:$M$165=EVENTOS!$C62)*(OFFSET(CÁLCULO!$AI$15:$AI$165,0,Y$13))),2),0)</f>
        <v>0</v>
      </c>
    </row>
    <row r="63" spans="1:25" x14ac:dyDescent="0.25">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IF(AUTOEVENTO="Manual",ROUND(SUMPRODUCT((CÁLCULO!$M$15:$M$165=EVENTOS!$C63)*(OFFSET(CÁLCULO!$AI$15:$AI$165,0,E$13))),2),0)</f>
        <v>0</v>
      </c>
      <c r="F63" s="183">
        <f ca="1">IF(AUTOEVENTO="Manual",ROUND(SUMPRODUCT((CÁLCULO!$M$15:$M$165=EVENTOS!$C63)*(OFFSET(CÁLCULO!$AI$15,0,1):OFFSET(CÁLCULO!$BB$165,0,-1))),2),0)</f>
        <v>0</v>
      </c>
      <c r="G63" s="621" t="str">
        <f t="shared" ca="1" si="6"/>
        <v/>
      </c>
      <c r="H63" s="620" cm="1">
        <f t="array" aca="1" ref="H63" ca="1">IF(AUTOEVENTO="Manual",ROUND(SUMPRODUCT((CÁLCULO!$M$15:$M$165=EVENTOS!$C63)*(OFFSET(CÁLCULO!$AI$15:$AI$165,0,H$13))),2),0)</f>
        <v>0</v>
      </c>
      <c r="I63" s="620" cm="1">
        <f t="array" aca="1" ref="I63" ca="1">IF(AUTOEVENTO="Manual",ROUND(SUMPRODUCT((CÁLCULO!$M$15:$M$165=EVENTOS!$C63)*(OFFSET(CÁLCULO!$AI$15:$AI$165,0,I$13))),2),0)</f>
        <v>0</v>
      </c>
      <c r="J63" s="620" cm="1">
        <f t="array" aca="1" ref="J63" ca="1">IF(AUTOEVENTO="Manual",ROUND(SUMPRODUCT((CÁLCULO!$M$15:$M$165=EVENTOS!$C63)*(OFFSET(CÁLCULO!$AI$15:$AI$165,0,J$13))),2),0)</f>
        <v>0</v>
      </c>
      <c r="K63" s="620" cm="1">
        <f t="array" aca="1" ref="K63" ca="1">IF(AUTOEVENTO="Manual",ROUND(SUMPRODUCT((CÁLCULO!$M$15:$M$165=EVENTOS!$C63)*(OFFSET(CÁLCULO!$AI$15:$AI$165,0,K$13))),2),0)</f>
        <v>0</v>
      </c>
      <c r="L63" s="620" cm="1">
        <f t="array" aca="1" ref="L63" ca="1">IF(AUTOEVENTO="Manual",ROUND(SUMPRODUCT((CÁLCULO!$M$15:$M$165=EVENTOS!$C63)*(OFFSET(CÁLCULO!$AI$15:$AI$165,0,L$13))),2),0)</f>
        <v>0</v>
      </c>
      <c r="M63" s="620" cm="1">
        <f t="array" aca="1" ref="M63" ca="1">IF(AUTOEVENTO="Manual",ROUND(SUMPRODUCT((CÁLCULO!$M$15:$M$165=EVENTOS!$C63)*(OFFSET(CÁLCULO!$AI$15:$AI$165,0,M$13))),2),0)</f>
        <v>0</v>
      </c>
      <c r="N63" s="620" cm="1">
        <f t="array" aca="1" ref="N63" ca="1">IF(AUTOEVENTO="Manual",ROUND(SUMPRODUCT((CÁLCULO!$M$15:$M$165=EVENTOS!$C63)*(OFFSET(CÁLCULO!$AI$15:$AI$165,0,N$13))),2),0)</f>
        <v>0</v>
      </c>
      <c r="O63" s="620" cm="1">
        <f t="array" aca="1" ref="O63" ca="1">IF(AUTOEVENTO="Manual",ROUND(SUMPRODUCT((CÁLCULO!$M$15:$M$165=EVENTOS!$C63)*(OFFSET(CÁLCULO!$AI$15:$AI$165,0,O$13))),2),0)</f>
        <v>0</v>
      </c>
      <c r="P63" s="620" cm="1">
        <f t="array" aca="1" ref="P63" ca="1">IF(AUTOEVENTO="Manual",ROUND(SUMPRODUCT((CÁLCULO!$M$15:$M$165=EVENTOS!$C63)*(OFFSET(CÁLCULO!$AI$15:$AI$165,0,P$13))),2),0)</f>
        <v>0</v>
      </c>
      <c r="Q63" s="620" cm="1">
        <f t="array" aca="1" ref="Q63" ca="1">IF(AUTOEVENTO="Manual",ROUND(SUMPRODUCT((CÁLCULO!$M$15:$M$165=EVENTOS!$C63)*(OFFSET(CÁLCULO!$AI$15:$AI$165,0,Q$13))),2),0)</f>
        <v>0</v>
      </c>
      <c r="R63" s="620" cm="1">
        <f t="array" aca="1" ref="R63" ca="1">IF(AUTOEVENTO="Manual",ROUND(SUMPRODUCT((CÁLCULO!$M$15:$M$165=EVENTOS!$C63)*(OFFSET(CÁLCULO!$AI$15:$AI$165,0,R$13))),2),0)</f>
        <v>0</v>
      </c>
      <c r="S63" s="620" cm="1">
        <f t="array" aca="1" ref="S63" ca="1">IF(AUTOEVENTO="Manual",ROUND(SUMPRODUCT((CÁLCULO!$M$15:$M$165=EVENTOS!$C63)*(OFFSET(CÁLCULO!$AI$15:$AI$165,0,S$13))),2),0)</f>
        <v>0</v>
      </c>
      <c r="T63" s="620" cm="1">
        <f t="array" aca="1" ref="T63" ca="1">IF(AUTOEVENTO="Manual",ROUND(SUMPRODUCT((CÁLCULO!$M$15:$M$165=EVENTOS!$C63)*(OFFSET(CÁLCULO!$AI$15:$AI$165,0,T$13))),2),0)</f>
        <v>0</v>
      </c>
      <c r="U63" s="620" cm="1">
        <f t="array" aca="1" ref="U63" ca="1">IF(AUTOEVENTO="Manual",ROUND(SUMPRODUCT((CÁLCULO!$M$15:$M$165=EVENTOS!$C63)*(OFFSET(CÁLCULO!$AI$15:$AI$165,0,U$13))),2),0)</f>
        <v>0</v>
      </c>
      <c r="V63" s="620" cm="1">
        <f t="array" aca="1" ref="V63" ca="1">IF(AUTOEVENTO="Manual",ROUND(SUMPRODUCT((CÁLCULO!$M$15:$M$165=EVENTOS!$C63)*(OFFSET(CÁLCULO!$AI$15:$AI$165,0,V$13))),2),0)</f>
        <v>0</v>
      </c>
      <c r="W63" s="620" cm="1">
        <f t="array" aca="1" ref="W63" ca="1">IF(AUTOEVENTO="Manual",ROUND(SUMPRODUCT((CÁLCULO!$M$15:$M$165=EVENTOS!$C63)*(OFFSET(CÁLCULO!$AI$15:$AI$165,0,W$13))),2),0)</f>
        <v>0</v>
      </c>
      <c r="X63" s="620" cm="1">
        <f t="array" aca="1" ref="X63" ca="1">IF(AUTOEVENTO="Manual",ROUND(SUMPRODUCT((CÁLCULO!$M$15:$M$165=EVENTOS!$C63)*(OFFSET(CÁLCULO!$AI$15:$AI$165,0,X$13))),2),0)</f>
        <v>0</v>
      </c>
      <c r="Y63" s="620" cm="1">
        <f t="array" aca="1" ref="Y63" ca="1">IF(AUTOEVENTO="Manual",ROUND(SUMPRODUCT((CÁLCULO!$M$15:$M$165=EVENTOS!$C63)*(OFFSET(CÁLCULO!$AI$15:$AI$165,0,Y$13))),2),0)</f>
        <v>0</v>
      </c>
    </row>
    <row r="64" spans="1:25" x14ac:dyDescent="0.25">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IF(AUTOEVENTO="Manual",ROUND(SUMPRODUCT((CÁLCULO!$M$15:$M$165=EVENTOS!$C64)*(OFFSET(CÁLCULO!$AI$15:$AI$165,0,E$13))),2),0)</f>
        <v>0</v>
      </c>
      <c r="F64" s="183">
        <f ca="1">IF(AUTOEVENTO="Manual",ROUND(SUMPRODUCT((CÁLCULO!$M$15:$M$165=EVENTOS!$C64)*(OFFSET(CÁLCULO!$AI$15,0,1):OFFSET(CÁLCULO!$BB$165,0,-1))),2),0)</f>
        <v>0</v>
      </c>
      <c r="G64" s="621" t="str">
        <f t="shared" ca="1" si="6"/>
        <v/>
      </c>
      <c r="H64" s="620" cm="1">
        <f t="array" aca="1" ref="H64" ca="1">IF(AUTOEVENTO="Manual",ROUND(SUMPRODUCT((CÁLCULO!$M$15:$M$165=EVENTOS!$C64)*(OFFSET(CÁLCULO!$AI$15:$AI$165,0,H$13))),2),0)</f>
        <v>0</v>
      </c>
      <c r="I64" s="620" cm="1">
        <f t="array" aca="1" ref="I64" ca="1">IF(AUTOEVENTO="Manual",ROUND(SUMPRODUCT((CÁLCULO!$M$15:$M$165=EVENTOS!$C64)*(OFFSET(CÁLCULO!$AI$15:$AI$165,0,I$13))),2),0)</f>
        <v>0</v>
      </c>
      <c r="J64" s="620" cm="1">
        <f t="array" aca="1" ref="J64" ca="1">IF(AUTOEVENTO="Manual",ROUND(SUMPRODUCT((CÁLCULO!$M$15:$M$165=EVENTOS!$C64)*(OFFSET(CÁLCULO!$AI$15:$AI$165,0,J$13))),2),0)</f>
        <v>0</v>
      </c>
      <c r="K64" s="620" cm="1">
        <f t="array" aca="1" ref="K64" ca="1">IF(AUTOEVENTO="Manual",ROUND(SUMPRODUCT((CÁLCULO!$M$15:$M$165=EVENTOS!$C64)*(OFFSET(CÁLCULO!$AI$15:$AI$165,0,K$13))),2),0)</f>
        <v>0</v>
      </c>
      <c r="L64" s="620" cm="1">
        <f t="array" aca="1" ref="L64" ca="1">IF(AUTOEVENTO="Manual",ROUND(SUMPRODUCT((CÁLCULO!$M$15:$M$165=EVENTOS!$C64)*(OFFSET(CÁLCULO!$AI$15:$AI$165,0,L$13))),2),0)</f>
        <v>0</v>
      </c>
      <c r="M64" s="620" cm="1">
        <f t="array" aca="1" ref="M64" ca="1">IF(AUTOEVENTO="Manual",ROUND(SUMPRODUCT((CÁLCULO!$M$15:$M$165=EVENTOS!$C64)*(OFFSET(CÁLCULO!$AI$15:$AI$165,0,M$13))),2),0)</f>
        <v>0</v>
      </c>
      <c r="N64" s="620" cm="1">
        <f t="array" aca="1" ref="N64" ca="1">IF(AUTOEVENTO="Manual",ROUND(SUMPRODUCT((CÁLCULO!$M$15:$M$165=EVENTOS!$C64)*(OFFSET(CÁLCULO!$AI$15:$AI$165,0,N$13))),2),0)</f>
        <v>0</v>
      </c>
      <c r="O64" s="620" cm="1">
        <f t="array" aca="1" ref="O64" ca="1">IF(AUTOEVENTO="Manual",ROUND(SUMPRODUCT((CÁLCULO!$M$15:$M$165=EVENTOS!$C64)*(OFFSET(CÁLCULO!$AI$15:$AI$165,0,O$13))),2),0)</f>
        <v>0</v>
      </c>
      <c r="P64" s="620" cm="1">
        <f t="array" aca="1" ref="P64" ca="1">IF(AUTOEVENTO="Manual",ROUND(SUMPRODUCT((CÁLCULO!$M$15:$M$165=EVENTOS!$C64)*(OFFSET(CÁLCULO!$AI$15:$AI$165,0,P$13))),2),0)</f>
        <v>0</v>
      </c>
      <c r="Q64" s="620" cm="1">
        <f t="array" aca="1" ref="Q64" ca="1">IF(AUTOEVENTO="Manual",ROUND(SUMPRODUCT((CÁLCULO!$M$15:$M$165=EVENTOS!$C64)*(OFFSET(CÁLCULO!$AI$15:$AI$165,0,Q$13))),2),0)</f>
        <v>0</v>
      </c>
      <c r="R64" s="620" cm="1">
        <f t="array" aca="1" ref="R64" ca="1">IF(AUTOEVENTO="Manual",ROUND(SUMPRODUCT((CÁLCULO!$M$15:$M$165=EVENTOS!$C64)*(OFFSET(CÁLCULO!$AI$15:$AI$165,0,R$13))),2),0)</f>
        <v>0</v>
      </c>
      <c r="S64" s="620" cm="1">
        <f t="array" aca="1" ref="S64" ca="1">IF(AUTOEVENTO="Manual",ROUND(SUMPRODUCT((CÁLCULO!$M$15:$M$165=EVENTOS!$C64)*(OFFSET(CÁLCULO!$AI$15:$AI$165,0,S$13))),2),0)</f>
        <v>0</v>
      </c>
      <c r="T64" s="620" cm="1">
        <f t="array" aca="1" ref="T64" ca="1">IF(AUTOEVENTO="Manual",ROUND(SUMPRODUCT((CÁLCULO!$M$15:$M$165=EVENTOS!$C64)*(OFFSET(CÁLCULO!$AI$15:$AI$165,0,T$13))),2),0)</f>
        <v>0</v>
      </c>
      <c r="U64" s="620" cm="1">
        <f t="array" aca="1" ref="U64" ca="1">IF(AUTOEVENTO="Manual",ROUND(SUMPRODUCT((CÁLCULO!$M$15:$M$165=EVENTOS!$C64)*(OFFSET(CÁLCULO!$AI$15:$AI$165,0,U$13))),2),0)</f>
        <v>0</v>
      </c>
      <c r="V64" s="620" cm="1">
        <f t="array" aca="1" ref="V64" ca="1">IF(AUTOEVENTO="Manual",ROUND(SUMPRODUCT((CÁLCULO!$M$15:$M$165=EVENTOS!$C64)*(OFFSET(CÁLCULO!$AI$15:$AI$165,0,V$13))),2),0)</f>
        <v>0</v>
      </c>
      <c r="W64" s="620" cm="1">
        <f t="array" aca="1" ref="W64" ca="1">IF(AUTOEVENTO="Manual",ROUND(SUMPRODUCT((CÁLCULO!$M$15:$M$165=EVENTOS!$C64)*(OFFSET(CÁLCULO!$AI$15:$AI$165,0,W$13))),2),0)</f>
        <v>0</v>
      </c>
      <c r="X64" s="620" cm="1">
        <f t="array" aca="1" ref="X64" ca="1">IF(AUTOEVENTO="Manual",ROUND(SUMPRODUCT((CÁLCULO!$M$15:$M$165=EVENTOS!$C64)*(OFFSET(CÁLCULO!$AI$15:$AI$165,0,X$13))),2),0)</f>
        <v>0</v>
      </c>
      <c r="Y64" s="620" cm="1">
        <f t="array" aca="1" ref="Y64" ca="1">IF(AUTOEVENTO="Manual",ROUND(SUMPRODUCT((CÁLCULO!$M$15:$M$165=EVENTOS!$C64)*(OFFSET(CÁLCULO!$AI$15:$AI$165,0,Y$13))),2),0)</f>
        <v>0</v>
      </c>
    </row>
    <row r="65" spans="1:25" ht="5.0999999999999996" customHeight="1" x14ac:dyDescent="0.25">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5">
      <c r="A66" s="506" t="s">
        <v>536</v>
      </c>
    </row>
    <row r="67" spans="1:25" x14ac:dyDescent="0.25">
      <c r="A67" s="506" t="s">
        <v>536</v>
      </c>
    </row>
    <row r="68" spans="1:25" ht="13.8" x14ac:dyDescent="0.25">
      <c r="A68" s="506" t="s">
        <v>536</v>
      </c>
      <c r="D68" s="493" t="str">
        <f>Import.Município</f>
        <v>SARANDI/RS</v>
      </c>
      <c r="L68" s="460"/>
      <c r="M68" s="417"/>
      <c r="N68" s="417"/>
      <c r="O68" s="417"/>
      <c r="V68" s="460"/>
      <c r="W68" s="417"/>
      <c r="X68" s="417"/>
      <c r="Y68" s="417"/>
    </row>
    <row r="69" spans="1:25" x14ac:dyDescent="0.25">
      <c r="A69" s="506" t="s">
        <v>536</v>
      </c>
      <c r="D69" s="9" t="s">
        <v>693</v>
      </c>
      <c r="H69" s="544"/>
      <c r="I69" s="544"/>
      <c r="J69" s="544"/>
      <c r="L69" s="181" t="s">
        <v>696</v>
      </c>
      <c r="V69" s="181" t="s">
        <v>696</v>
      </c>
    </row>
    <row r="70" spans="1:25" x14ac:dyDescent="0.25">
      <c r="A70" s="506" t="s">
        <v>536</v>
      </c>
      <c r="H70" s="544"/>
      <c r="I70" s="544"/>
      <c r="J70" s="544"/>
      <c r="L70" s="398" t="str">
        <f t="array" aca="1" ref="L70:L72" ca="1">OFFSET(Import.RespOrçamento,0,-1) &amp; " " &amp; Import.RespOrçamento</f>
        <v>Nome: LEONARDO HENRIQUE ZAMBERLAN</v>
      </c>
      <c r="V70" s="398" t="str">
        <f t="array" aca="1" ref="V70:V72" ca="1">OFFSET(Import.RespOrçamento,0,-1) &amp; " " &amp; Import.RespOrçamento</f>
        <v>Nome: LEONARDO HENRIQUE ZAMBERLAN</v>
      </c>
    </row>
    <row r="71" spans="1:25" x14ac:dyDescent="0.25">
      <c r="A71" s="506" t="s">
        <v>536</v>
      </c>
      <c r="D71" s="494">
        <f>DADOS!$C$25</f>
        <v>46034</v>
      </c>
      <c r="L71" s="398" t="str">
        <f ca="1"/>
        <v>CREA/CAU: CREA-RS 242523</v>
      </c>
      <c r="V71" s="398" t="str">
        <f ca="1"/>
        <v>CREA/CAU: CREA-RS 242523</v>
      </c>
    </row>
    <row r="72" spans="1:25" x14ac:dyDescent="0.25">
      <c r="A72" s="506" t="s">
        <v>536</v>
      </c>
      <c r="D72" s="9" t="s">
        <v>694</v>
      </c>
      <c r="L72" s="398" t="str">
        <f ca="1"/>
        <v xml:space="preserve">ART/RRT: </v>
      </c>
      <c r="V72" s="398" t="str">
        <f ca="1"/>
        <v xml:space="preserve">ART/RRT: </v>
      </c>
    </row>
  </sheetData>
  <sheetProtection algorithmName="SHA-512" hashValue="FpXpLO0m+lykTqfW4oiwhmRLCRkw9kbSZs18pXIY6GDzqYP7JyvVdt9JT+cKE6jTVekcWq3KNgQYhvsHzmDPRg==" saltValue="HCh8yzgc1O9tsywKLzfC/A=="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331" priority="1" stopIfTrue="1">
      <formula>OR(AUTOEVENTO&lt;&gt;"Manual",ACOMPANHAMENTO="BM",C$10=0,C$13=0,$C1=" ")</formula>
    </cfRule>
  </conditionalFormatting>
  <conditionalFormatting sqref="A15 C15:XFD15">
    <cfRule type="expression" dxfId="330"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&amp;LPMv3.13&amp;R&amp;P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CN65433"/>
  <sheetViews>
    <sheetView showGridLines="0" zoomScale="85" zoomScaleNormal="85" zoomScaleSheetLayoutView="90" workbookViewId="0">
      <pane xSplit="8" ySplit="15" topLeftCell="J16" activePane="bottomRight" state="frozen"/>
      <selection pane="topRight" activeCell="I1" sqref="I1"/>
      <selection pane="bottomLeft" activeCell="C16" sqref="C16"/>
      <selection pane="bottomRight"/>
    </sheetView>
  </sheetViews>
  <sheetFormatPr defaultRowHeight="0" customHeight="1" zeroHeight="1" x14ac:dyDescent="0.25"/>
  <cols>
    <col min="1" max="1" width="15.44140625" style="7" hidden="1" customWidth="1"/>
    <col min="2" max="2" width="9.109375" style="7" hidden="1" customWidth="1"/>
    <col min="3" max="3" width="3.5546875" style="7" customWidth="1"/>
    <col min="4" max="4" width="8.5546875" customWidth="1"/>
    <col min="5" max="5" width="12.5546875" customWidth="1"/>
    <col min="6" max="6" width="65.5546875" customWidth="1"/>
    <col min="7" max="7" width="10.5546875" customWidth="1"/>
    <col min="8" max="8" width="14.5546875" customWidth="1"/>
    <col min="9" max="9" width="29.5546875" customWidth="1"/>
    <col min="10" max="10" width="2.44140625" customWidth="1"/>
    <col min="11" max="11" width="4.5546875" customWidth="1"/>
    <col min="12" max="12" width="0.44140625" customWidth="1"/>
    <col min="13" max="13" width="9.109375" style="7" hidden="1" customWidth="1"/>
    <col min="14" max="14" width="31.5546875" customWidth="1"/>
    <col min="15" max="15" width="9.109375" hidden="1" customWidth="1"/>
    <col min="16" max="16" width="0.44140625" customWidth="1"/>
    <col min="17" max="34" width="11.5546875" customWidth="1"/>
    <col min="35" max="91" width="9.109375" hidden="1" customWidth="1"/>
    <col min="92" max="92" width="1.5546875" hidden="1" customWidth="1"/>
  </cols>
  <sheetData>
    <row r="1" spans="1:91" ht="12.75" hidden="1" customHeight="1" x14ac:dyDescent="0.25">
      <c r="M1" s="7">
        <f ca="1">SUM(OFFSET(CÁLCULO!$P$1,0,1):OFFSET(CÁLCULO!$AI$1,0,-1))</f>
        <v>6</v>
      </c>
      <c r="O1" s="632" cm="1">
        <f t="array" ref="O1">IF(OR(ACOMPANHAMENTO="BM",N1=0,O12=""),0,1)</f>
        <v>0</v>
      </c>
      <c r="P1" t="s">
        <v>764</v>
      </c>
      <c r="Q1" s="632" cm="1">
        <f t="array" ref="Q1">IF(OR(ACOMPANHAMENTO="BM",P1=0,Q12=""),0,1)</f>
        <v>1</v>
      </c>
      <c r="R1" s="632" cm="1">
        <f t="array" ref="R1">IF(OR(ACOMPANHAMENTO="BM",Q1=0,R12=""),0,1)</f>
        <v>1</v>
      </c>
      <c r="S1" s="632" cm="1">
        <f t="array" ref="S1">IF(OR(ACOMPANHAMENTO="BM",R1=0,S12=""),0,1)</f>
        <v>1</v>
      </c>
      <c r="T1" s="632" cm="1">
        <f t="array" ref="T1">IF(OR(ACOMPANHAMENTO="BM",S1=0,T12=""),0,1)</f>
        <v>1</v>
      </c>
      <c r="U1" s="632" cm="1">
        <f t="array" ref="U1">IF(OR(ACOMPANHAMENTO="BM",T1=0,U12=""),0,1)</f>
        <v>1</v>
      </c>
      <c r="V1" s="632" cm="1">
        <f t="array" ref="V1">IF(OR(ACOMPANHAMENTO="BM",U1=0,V12=""),0,1)</f>
        <v>1</v>
      </c>
      <c r="W1" s="632" cm="1">
        <f t="array" ref="W1">IF(OR(ACOMPANHAMENTO="BM",V1=0,W12=""),0,1)</f>
        <v>0</v>
      </c>
      <c r="X1" s="632" cm="1">
        <f t="array" ref="X1">IF(OR(ACOMPANHAMENTO="BM",W1=0,X12=""),0,1)</f>
        <v>0</v>
      </c>
      <c r="Y1" s="632" cm="1">
        <f t="array" ref="Y1">IF(OR(ACOMPANHAMENTO="BM",X1=0,Y12=""),0,1)</f>
        <v>0</v>
      </c>
      <c r="Z1" s="632" cm="1">
        <f t="array" ref="Z1">IF(OR(ACOMPANHAMENTO="BM",Y1=0,Z12=""),0,1)</f>
        <v>0</v>
      </c>
      <c r="AA1" s="632" cm="1">
        <f t="array" ref="AA1">IF(OR(ACOMPANHAMENTO="BM",Z1=0,AA12=""),0,1)</f>
        <v>0</v>
      </c>
      <c r="AB1" s="632" cm="1">
        <f t="array" ref="AB1">IF(OR(ACOMPANHAMENTO="BM",AA1=0,AB12=""),0,1)</f>
        <v>0</v>
      </c>
      <c r="AC1" s="632" cm="1">
        <f t="array" ref="AC1">IF(OR(ACOMPANHAMENTO="BM",AB1=0,AC12=""),0,1)</f>
        <v>0</v>
      </c>
      <c r="AD1" s="632" cm="1">
        <f t="array" ref="AD1">IF(OR(ACOMPANHAMENTO="BM",AC1=0,AD12=""),0,1)</f>
        <v>0</v>
      </c>
      <c r="AE1" s="632" cm="1">
        <f t="array" ref="AE1">IF(OR(ACOMPANHAMENTO="BM",AD1=0,AE12=""),0,1)</f>
        <v>0</v>
      </c>
      <c r="AF1" s="632" cm="1">
        <f t="array" ref="AF1">IF(OR(ACOMPANHAMENTO="BM",AE1=0,AF12=""),0,1)</f>
        <v>0</v>
      </c>
      <c r="AG1" s="632" cm="1">
        <f t="array" ref="AG1">IF(OR(ACOMPANHAMENTO="BM",AF1=0,AG12=""),0,1)</f>
        <v>0</v>
      </c>
      <c r="AH1" s="632" cm="1">
        <f t="array" ref="AH1">IF(OR(ACOMPANHAMENTO="BM",AG1=0,AH12=""),0,1)</f>
        <v>0</v>
      </c>
      <c r="AJ1" t="s">
        <v>765</v>
      </c>
      <c r="BC1" t="s">
        <v>766</v>
      </c>
      <c r="BV1" t="s">
        <v>767</v>
      </c>
    </row>
    <row r="2" spans="1:91" ht="12.75" hidden="1" customHeight="1" x14ac:dyDescent="0.25"/>
    <row r="3" spans="1:91" ht="12.75" hidden="1" customHeight="1" x14ac:dyDescent="0.25"/>
    <row r="4" spans="1:91" ht="12.75" hidden="1" customHeight="1" x14ac:dyDescent="0.25"/>
    <row r="5" spans="1:91" ht="12.75" hidden="1" customHeight="1" x14ac:dyDescent="0.25"/>
    <row r="6" spans="1:91" ht="15.75" customHeight="1" x14ac:dyDescent="0.25">
      <c r="F6" s="737" t="str" cm="1">
        <f t="array" ref="F6">IF(ACOMPANHAMENTO="BM","MEMÓRIA DE CÁLCULO","PLQ - PLANILHA DE LEVANTAMENTO DE QUANTIDADES")</f>
        <v>PLQ - PLANILHA DE LEVANTAMENTO DE QUANTIDADES</v>
      </c>
      <c r="G6" s="737"/>
      <c r="H6" s="737"/>
      <c r="I6" s="141"/>
      <c r="K6" s="141"/>
      <c r="L6" s="141"/>
      <c r="M6" s="142"/>
      <c r="N6" s="141"/>
      <c r="P6" s="141"/>
      <c r="Q6" s="738" t="s">
        <v>644</v>
      </c>
      <c r="R6" s="739"/>
      <c r="Y6" s="705" t="s">
        <v>644</v>
      </c>
      <c r="Z6" s="705"/>
      <c r="AG6" s="705" t="s">
        <v>644</v>
      </c>
      <c r="AH6" s="705"/>
    </row>
    <row r="7" spans="1:91" ht="15" customHeight="1" x14ac:dyDescent="0.25">
      <c r="F7" s="740" t="str" cm="1">
        <f t="array" ref="F7">IF(ACOMPANHAMENTO="BM","","Memória de Cálculo")&amp;" - "&amp;import.recurso</f>
        <v>Memória de Cálculo - (SELECIONAR)</v>
      </c>
      <c r="G7" s="740"/>
      <c r="H7" s="740"/>
      <c r="I7" s="143"/>
      <c r="K7" s="143"/>
      <c r="L7" s="143"/>
      <c r="M7" s="144"/>
      <c r="N7" s="143"/>
      <c r="P7" s="143"/>
      <c r="Q7" s="741" t="s">
        <v>647</v>
      </c>
      <c r="R7" s="742"/>
      <c r="Y7" s="706" t="s">
        <v>647</v>
      </c>
      <c r="Z7" s="706"/>
      <c r="AG7" s="706" t="s">
        <v>647</v>
      </c>
      <c r="AH7" s="706"/>
    </row>
    <row r="8" spans="1:91" ht="12.75" customHeight="1" x14ac:dyDescent="0.25">
      <c r="AM8" s="476"/>
      <c r="AU8" s="476"/>
    </row>
    <row r="9" spans="1:91" ht="12.75" customHeight="1" x14ac:dyDescent="0.25">
      <c r="E9" s="701" t="s">
        <v>708</v>
      </c>
      <c r="F9" s="701"/>
      <c r="G9" s="701" t="s">
        <v>707</v>
      </c>
      <c r="H9" s="701"/>
      <c r="I9" s="87" t="s">
        <v>650</v>
      </c>
      <c r="K9" s="145" t="s">
        <v>652</v>
      </c>
      <c r="L9" s="146"/>
      <c r="M9" s="146"/>
      <c r="N9" s="146"/>
      <c r="O9" s="146"/>
      <c r="P9" s="146"/>
      <c r="Q9" s="146"/>
      <c r="R9" s="147"/>
      <c r="S9" s="701" t="s">
        <v>650</v>
      </c>
      <c r="T9" s="701"/>
      <c r="U9" s="701" t="s">
        <v>652</v>
      </c>
      <c r="V9" s="701"/>
      <c r="W9" s="701"/>
      <c r="X9" s="701"/>
      <c r="Y9" s="701"/>
      <c r="Z9" s="701"/>
      <c r="AA9" s="701" t="s">
        <v>650</v>
      </c>
      <c r="AB9" s="701"/>
      <c r="AC9" s="701" t="s">
        <v>652</v>
      </c>
      <c r="AD9" s="701"/>
      <c r="AE9" s="701"/>
      <c r="AF9" s="701"/>
      <c r="AG9" s="701"/>
      <c r="AH9" s="701"/>
    </row>
    <row r="10" spans="1:91" ht="12.75" customHeight="1" x14ac:dyDescent="0.25">
      <c r="A10" s="601" t="s">
        <v>768</v>
      </c>
      <c r="E10" s="704" t="str">
        <f>Import.Apelido</f>
        <v>PAVIMENTAÇÃO ASFÁLTICA EM DIVERSOS TRECHOS NO MUNICÍPIO DE SARANDI</v>
      </c>
      <c r="F10" s="704"/>
      <c r="G10" s="704" cm="1">
        <f t="array" ref="G10">Import.TransfereGOV</f>
        <v>0</v>
      </c>
      <c r="H10" s="704"/>
      <c r="I10" s="90">
        <f>Import.CR</f>
        <v>0</v>
      </c>
      <c r="K10" s="148" t="str">
        <f>Import.Proponente</f>
        <v>MUNICÍPIO DE SARANDI</v>
      </c>
      <c r="L10" s="149"/>
      <c r="M10" s="100"/>
      <c r="N10" s="149"/>
      <c r="O10" s="149"/>
      <c r="P10" s="149"/>
      <c r="Q10" s="149"/>
      <c r="R10" s="91"/>
      <c r="S10" s="704">
        <f>Import.CR</f>
        <v>0</v>
      </c>
      <c r="T10" s="704"/>
      <c r="U10" s="704" t="str">
        <f>Import.Proponente</f>
        <v>MUNICÍPIO DE SARANDI</v>
      </c>
      <c r="V10" s="704"/>
      <c r="W10" s="704"/>
      <c r="X10" s="704"/>
      <c r="Y10" s="704"/>
      <c r="Z10" s="704"/>
      <c r="AA10" s="704">
        <f>Import.CR</f>
        <v>0</v>
      </c>
      <c r="AB10" s="704"/>
      <c r="AC10" s="704" t="str">
        <f>Import.Proponente</f>
        <v>MUNICÍPIO DE SARANDI</v>
      </c>
      <c r="AD10" s="704"/>
      <c r="AE10" s="704"/>
      <c r="AF10" s="704"/>
      <c r="AG10" s="704"/>
      <c r="AH10" s="704"/>
    </row>
    <row r="11" spans="1:91" ht="15" customHeight="1" x14ac:dyDescent="0.25">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IF(COUNTIF($J$15:$J$165,"►E")&gt;0,"Não pode haver serviços sem agrupador de eventos",
  IF(COUNTIF($P$11:$AI$11,"▼")&gt;0,"Não pode haver frentes de obra sem quantidades",
  IF(COUNTIF($P$11:$AI$11,"Nome &gt;100")&gt;0,"Nome da frente de obra com mais de 100 caracteres","")))))</f>
        <v>Não pode haver frentes de obra sem quantidades</v>
      </c>
      <c r="N11" s="573" t="str">
        <f ca="1">IF(OR(COUNTIF($J$15:$J$165,"►E")&gt;0,COUNTIF($J$15:$J$165,"►Q")&gt;0),"",
IF(COUNTIF($J$15:$J$165,"►S")&gt;0,"Preencha as quantidades com no máximo duas casas decimais",
IF(COUNTIF($P$11:$AI$11,"▼")&gt;0,"Falta preencher a frente de obra nº " &amp; HLOOKUP("▼",$P$11:$AI$13,3,FALSE),
IF(COUNTIF($P$11:$AI$11,"Nome &gt;100")&gt;0,"Resuma o nome da frente de obra nº " &amp; HLOOKUP("Nome &gt;100",$P$11:$AI$13,3,FALSE),""))))</f>
        <v>Falta preencher a frente de obra nº 2</v>
      </c>
      <c r="O11" s="566" t="e">
        <f ca="1">IF(AND(O1=1,O15=0),"▼",IF(AND(O1=1,LEN(O12)&gt;100),"Nome &gt;100",""))</f>
        <v>#VALUE!</v>
      </c>
      <c r="P11" s="7"/>
      <c r="Q11" s="566" t="str">
        <f t="shared" ref="Q11:Z11" ca="1" si="0">IF(AND(Q1=1,Q15=0),"▼",IF(AND(Q1=1,LEN(Q12)&gt;100),"Nome &gt;100",""))</f>
        <v/>
      </c>
      <c r="R11" s="566" t="str">
        <f t="shared" ca="1" si="0"/>
        <v>▼</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c r="AA11" s="566" t="str">
        <f t="shared" ref="AA11:AH11" ca="1" si="1">IF(AND(AA1=1,AA15=0),"▼",IF(AND(AA1=1,LEN(AA12)&gt;100),"Nome &gt;100",""))</f>
        <v/>
      </c>
      <c r="AB11" s="566" t="str">
        <f t="shared" ca="1" si="1"/>
        <v/>
      </c>
      <c r="AC11" s="566" t="str">
        <f t="shared" ca="1" si="1"/>
        <v/>
      </c>
      <c r="AD11" s="566" t="str">
        <f t="shared" ca="1" si="1"/>
        <v/>
      </c>
      <c r="AE11" s="566" t="str">
        <f t="shared" ca="1" si="1"/>
        <v/>
      </c>
      <c r="AF11" s="566" t="str">
        <f t="shared" ca="1" si="1"/>
        <v/>
      </c>
      <c r="AG11" s="566" t="str">
        <f t="shared" ca="1" si="1"/>
        <v/>
      </c>
      <c r="AH11" s="566" t="str">
        <f t="shared" ca="1" si="1"/>
        <v/>
      </c>
    </row>
    <row r="12" spans="1:91" ht="69.900000000000006" customHeight="1" x14ac:dyDescent="0.25">
      <c r="A12" s="599">
        <f>IF(Import.Eventos.Nível="Definir Manualmente","Manual",MATCH(Import.Eventos.Nível,EVENTOS!$B$6:$B$9,0)+1)</f>
        <v>2</v>
      </c>
      <c r="B12" s="7" t="s">
        <v>769</v>
      </c>
      <c r="C12" s="489" t="s">
        <v>655</v>
      </c>
      <c r="H12" s="150"/>
      <c r="I12" s="575" t="str">
        <f ca="1">IF(AND(ACOMPANHAMENTO="PLE",CÁLCULO.FrentesPreenchidas=0),"",
  IF(COUNTIF($J$15:$J$165,"►E")&gt;0,"Falta Definir o Agrupador de Evento na linha "&amp;MATCH("►E",$J$15:$J$165,0)+ROW($J$14),
  IF(COUNTIF($J$15:$J$165,"►Q")&gt;0,"Falta preencher a quantidade do serviço na linha "&amp;MATCH("►Q",$J$15:$J$165,0)+ROW($J$14),
  IF(COUNTIF($J$15:$J$165,"►S")&gt;0,"Verifique as quantidades preenchidas na linha "&amp;MATCH("►S",$J$15:$J$165,0)+ROW($J$14),
  IF(AND(COUNTIF($P$11:$AI$11,"▼")=0,COUNTIF($J$15:$J$165,"◄")&gt;0),"Falta Preencher o Memorial de Cálculo na linha "&amp;MATCH("◄",$J$15:$J$165,0)+ROW($J$14),"")))))</f>
        <v/>
      </c>
      <c r="J12" s="151" t="s">
        <v>764</v>
      </c>
      <c r="K12" s="152" t="s">
        <v>770</v>
      </c>
      <c r="L12" s="151" t="s">
        <v>764</v>
      </c>
      <c r="M12" s="570" cm="1">
        <f t="array" aca="1" ref="M12" ca="1">IF(ACOMPANHAMENTO="BM",0,MAX($M$15:$M$165))</f>
        <v>23</v>
      </c>
      <c r="N12" s="574" t="str">
        <f ca="1">IF(AND(ACOMPANHAMENTO="PLE",CÁLCULO.FrentesPreenchidas=0),"Preencher os nomes das Frentes de Obra ►","FRENTES DE OBRA:")</f>
        <v>FRENTES DE OBRA:</v>
      </c>
      <c r="O12" s="153"/>
      <c r="P12" s="151" t="s">
        <v>764</v>
      </c>
      <c r="Q12" s="452" t="s">
        <v>1007</v>
      </c>
      <c r="R12" s="153" t="s">
        <v>1030</v>
      </c>
      <c r="S12" s="153" t="s">
        <v>1037</v>
      </c>
      <c r="T12" s="520" t="s">
        <v>1038</v>
      </c>
      <c r="U12" s="153" t="s">
        <v>1039</v>
      </c>
      <c r="V12" s="153" t="s">
        <v>1058</v>
      </c>
      <c r="W12" s="153"/>
      <c r="X12" s="153"/>
      <c r="Y12" s="153"/>
      <c r="Z12" s="154"/>
      <c r="AA12" s="153"/>
      <c r="AB12" s="520"/>
      <c r="AC12" s="153"/>
      <c r="AD12" s="153"/>
      <c r="AE12" s="153"/>
      <c r="AF12" s="153"/>
      <c r="AG12" s="153"/>
      <c r="AH12" s="154"/>
      <c r="AI12" s="151" t="s">
        <v>764</v>
      </c>
      <c r="AJ12" s="155" t="str">
        <f ca="1">IF(OFFSET($P$1,0,AJ$13)=0,0,OFFSET($P$12,0,AJ$13))</f>
        <v>SERVIÇOS INICIAIS</v>
      </c>
      <c r="AK12" s="155" t="str">
        <f t="shared" ref="AK12:BA12" ca="1" si="2">IF(OFFSET($P$1,0,AK$13)=0,0,OFFSET($P$12,0,AK$13))</f>
        <v>ADM LOCAL</v>
      </c>
      <c r="AL12" s="155" t="str">
        <f t="shared" ca="1" si="2"/>
        <v>TRECHO 2</v>
      </c>
      <c r="AM12" s="155" t="str">
        <f t="shared" ca="1" si="2"/>
        <v xml:space="preserve">TRECHO 3 </v>
      </c>
      <c r="AN12" s="155" t="str">
        <f t="shared" ca="1" si="2"/>
        <v xml:space="preserve">TRECHO 4 </v>
      </c>
      <c r="AO12" s="155" t="str">
        <f t="shared" ca="1" si="2"/>
        <v>TRECHO 5</v>
      </c>
      <c r="AP12" s="155">
        <f t="shared" ca="1" si="2"/>
        <v>0</v>
      </c>
      <c r="AQ12" s="155">
        <f t="shared" ca="1" si="2"/>
        <v>0</v>
      </c>
      <c r="AR12" s="155">
        <f t="shared" ca="1" si="2"/>
        <v>0</v>
      </c>
      <c r="AS12" s="155">
        <f t="shared" ca="1" si="2"/>
        <v>0</v>
      </c>
      <c r="AT12" s="155">
        <f t="shared" ca="1" si="2"/>
        <v>0</v>
      </c>
      <c r="AU12" s="155">
        <f t="shared" ca="1" si="2"/>
        <v>0</v>
      </c>
      <c r="AV12" s="155">
        <f t="shared" ca="1" si="2"/>
        <v>0</v>
      </c>
      <c r="AW12" s="155">
        <f t="shared" ca="1" si="2"/>
        <v>0</v>
      </c>
      <c r="AX12" s="155">
        <f t="shared" ca="1" si="2"/>
        <v>0</v>
      </c>
      <c r="AY12" s="155">
        <f t="shared" ca="1" si="2"/>
        <v>0</v>
      </c>
      <c r="AZ12" s="155">
        <f t="shared" ca="1" si="2"/>
        <v>0</v>
      </c>
      <c r="BA12" s="155">
        <f t="shared" ca="1" si="2"/>
        <v>0</v>
      </c>
      <c r="BC12" s="155" t="str">
        <f t="shared" ref="BC12:CM12" ca="1" si="3">IF(OFFSET($P$1,0,BC$13)=0,0,OFFSET($P$12,0,BC$13))</f>
        <v>SERVIÇOS INICIAIS</v>
      </c>
      <c r="BD12" s="156" t="str">
        <f t="shared" ca="1" si="3"/>
        <v>ADM LOCAL</v>
      </c>
      <c r="BE12" s="156" t="str">
        <f t="shared" ca="1" si="3"/>
        <v>TRECHO 2</v>
      </c>
      <c r="BF12" s="156" t="str">
        <f t="shared" ca="1" si="3"/>
        <v xml:space="preserve">TRECHO 3 </v>
      </c>
      <c r="BG12" s="156" t="str">
        <f t="shared" ca="1" si="3"/>
        <v xml:space="preserve">TRECHO 4 </v>
      </c>
      <c r="BH12" s="156" t="str">
        <f t="shared" ca="1" si="3"/>
        <v>TRECHO 5</v>
      </c>
      <c r="BI12" s="156">
        <f t="shared" ca="1" si="3"/>
        <v>0</v>
      </c>
      <c r="BJ12" s="156">
        <f t="shared" ca="1" si="3"/>
        <v>0</v>
      </c>
      <c r="BK12" s="156">
        <f t="shared" ca="1" si="3"/>
        <v>0</v>
      </c>
      <c r="BL12" s="157">
        <f t="shared" ca="1" si="3"/>
        <v>0</v>
      </c>
      <c r="BM12" s="156">
        <f t="shared" ca="1" si="3"/>
        <v>0</v>
      </c>
      <c r="BN12" s="156">
        <f t="shared" ca="1" si="3"/>
        <v>0</v>
      </c>
      <c r="BO12" s="156">
        <f t="shared" ca="1" si="3"/>
        <v>0</v>
      </c>
      <c r="BP12" s="156">
        <f t="shared" ca="1" si="3"/>
        <v>0</v>
      </c>
      <c r="BQ12" s="156">
        <f t="shared" ca="1" si="3"/>
        <v>0</v>
      </c>
      <c r="BR12" s="156">
        <f t="shared" ca="1" si="3"/>
        <v>0</v>
      </c>
      <c r="BS12" s="156">
        <f t="shared" ca="1" si="3"/>
        <v>0</v>
      </c>
      <c r="BT12" s="157">
        <f t="shared" ca="1" si="3"/>
        <v>0</v>
      </c>
      <c r="BV12" s="155" t="str">
        <f t="shared" ca="1" si="3"/>
        <v>SERVIÇOS INICIAIS</v>
      </c>
      <c r="BW12" s="156" t="str">
        <f t="shared" ca="1" si="3"/>
        <v>ADM LOCAL</v>
      </c>
      <c r="BX12" s="156" t="str">
        <f t="shared" ca="1" si="3"/>
        <v>TRECHO 2</v>
      </c>
      <c r="BY12" s="156" t="str">
        <f t="shared" ca="1" si="3"/>
        <v xml:space="preserve">TRECHO 3 </v>
      </c>
      <c r="BZ12" s="156" t="str">
        <f t="shared" ca="1" si="3"/>
        <v xml:space="preserve">TRECHO 4 </v>
      </c>
      <c r="CA12" s="156" t="str">
        <f t="shared" ca="1" si="3"/>
        <v>TRECHO 5</v>
      </c>
      <c r="CB12" s="156">
        <f t="shared" ca="1" si="3"/>
        <v>0</v>
      </c>
      <c r="CC12" s="156">
        <f t="shared" ca="1" si="3"/>
        <v>0</v>
      </c>
      <c r="CD12" s="156">
        <f t="shared" ca="1" si="3"/>
        <v>0</v>
      </c>
      <c r="CE12" s="157">
        <f t="shared" ca="1" si="3"/>
        <v>0</v>
      </c>
      <c r="CF12" s="156">
        <f t="shared" ca="1" si="3"/>
        <v>0</v>
      </c>
      <c r="CG12" s="156">
        <f t="shared" ca="1" si="3"/>
        <v>0</v>
      </c>
      <c r="CH12" s="156">
        <f t="shared" ca="1" si="3"/>
        <v>0</v>
      </c>
      <c r="CI12" s="156">
        <f t="shared" ca="1" si="3"/>
        <v>0</v>
      </c>
      <c r="CJ12" s="156">
        <f t="shared" ca="1" si="3"/>
        <v>0</v>
      </c>
      <c r="CK12" s="156">
        <f t="shared" ca="1" si="3"/>
        <v>0</v>
      </c>
      <c r="CL12" s="156">
        <f t="shared" ca="1" si="3"/>
        <v>0</v>
      </c>
      <c r="CM12" s="157">
        <f t="shared" ca="1" si="3"/>
        <v>0</v>
      </c>
    </row>
    <row r="13" spans="1:91" ht="12.75" customHeight="1" x14ac:dyDescent="0.25">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AH13" ca="1" si="4">OFFSET(Q13,0,-1)+1</f>
        <v>1</v>
      </c>
      <c r="R13" s="158">
        <f t="shared" ca="1" si="4"/>
        <v>2</v>
      </c>
      <c r="S13" s="158">
        <f t="shared" ca="1" si="4"/>
        <v>3</v>
      </c>
      <c r="T13" s="158">
        <f t="shared" ca="1" si="4"/>
        <v>4</v>
      </c>
      <c r="U13" s="158">
        <f t="shared" ca="1" si="4"/>
        <v>5</v>
      </c>
      <c r="V13" s="158">
        <f t="shared" ca="1" si="4"/>
        <v>6</v>
      </c>
      <c r="W13" s="158">
        <f t="shared" ca="1" si="4"/>
        <v>7</v>
      </c>
      <c r="X13" s="158">
        <f t="shared" ca="1" si="4"/>
        <v>8</v>
      </c>
      <c r="Y13" s="158">
        <f t="shared" ca="1" si="4"/>
        <v>9</v>
      </c>
      <c r="Z13" s="160">
        <f t="shared" ca="1" si="4"/>
        <v>10</v>
      </c>
      <c r="AA13" s="158">
        <f t="shared" ca="1" si="4"/>
        <v>11</v>
      </c>
      <c r="AB13" s="158">
        <f t="shared" ca="1" si="4"/>
        <v>12</v>
      </c>
      <c r="AC13" s="158">
        <f t="shared" ca="1" si="4"/>
        <v>13</v>
      </c>
      <c r="AD13" s="158">
        <f t="shared" ca="1" si="4"/>
        <v>14</v>
      </c>
      <c r="AE13" s="158">
        <f t="shared" ca="1" si="4"/>
        <v>15</v>
      </c>
      <c r="AF13" s="158">
        <f t="shared" ca="1" si="4"/>
        <v>16</v>
      </c>
      <c r="AG13" s="158">
        <f t="shared" ca="1" si="4"/>
        <v>17</v>
      </c>
      <c r="AH13" s="160">
        <f t="shared" ca="1" si="4"/>
        <v>18</v>
      </c>
      <c r="AJ13" s="113">
        <f t="shared" ref="AJ13:CM13" ca="1" si="5">OFFSET(AJ13,0,-1)+1</f>
        <v>1</v>
      </c>
      <c r="AK13" s="161">
        <f t="shared" ca="1" si="5"/>
        <v>2</v>
      </c>
      <c r="AL13" s="161">
        <f t="shared" ca="1" si="5"/>
        <v>3</v>
      </c>
      <c r="AM13" s="161">
        <f t="shared" ca="1" si="5"/>
        <v>4</v>
      </c>
      <c r="AN13" s="161">
        <f t="shared" ca="1" si="5"/>
        <v>5</v>
      </c>
      <c r="AO13" s="161">
        <f t="shared" ca="1" si="5"/>
        <v>6</v>
      </c>
      <c r="AP13" s="161">
        <f t="shared" ca="1" si="5"/>
        <v>7</v>
      </c>
      <c r="AQ13" s="161">
        <f t="shared" ca="1" si="5"/>
        <v>8</v>
      </c>
      <c r="AR13" s="161">
        <f t="shared" ca="1" si="5"/>
        <v>9</v>
      </c>
      <c r="AS13" s="162">
        <f t="shared" ca="1" si="5"/>
        <v>10</v>
      </c>
      <c r="AT13" s="161">
        <f t="shared" ca="1" si="5"/>
        <v>11</v>
      </c>
      <c r="AU13" s="161">
        <f t="shared" ca="1" si="5"/>
        <v>12</v>
      </c>
      <c r="AV13" s="161">
        <f t="shared" ca="1" si="5"/>
        <v>13</v>
      </c>
      <c r="AW13" s="161">
        <f t="shared" ca="1" si="5"/>
        <v>14</v>
      </c>
      <c r="AX13" s="161">
        <f t="shared" ca="1" si="5"/>
        <v>15</v>
      </c>
      <c r="AY13" s="161">
        <f t="shared" ca="1" si="5"/>
        <v>16</v>
      </c>
      <c r="AZ13" s="161">
        <f t="shared" ca="1" si="5"/>
        <v>17</v>
      </c>
      <c r="BA13" s="162">
        <f t="shared" ca="1" si="5"/>
        <v>18</v>
      </c>
      <c r="BC13" s="113">
        <f t="shared" ca="1" si="5"/>
        <v>1</v>
      </c>
      <c r="BD13" s="161">
        <f t="shared" ca="1" si="5"/>
        <v>2</v>
      </c>
      <c r="BE13" s="161">
        <f t="shared" ca="1" si="5"/>
        <v>3</v>
      </c>
      <c r="BF13" s="161">
        <f t="shared" ca="1" si="5"/>
        <v>4</v>
      </c>
      <c r="BG13" s="161">
        <f t="shared" ca="1" si="5"/>
        <v>5</v>
      </c>
      <c r="BH13" s="161">
        <f t="shared" ca="1" si="5"/>
        <v>6</v>
      </c>
      <c r="BI13" s="161">
        <f t="shared" ca="1" si="5"/>
        <v>7</v>
      </c>
      <c r="BJ13" s="161">
        <f t="shared" ca="1" si="5"/>
        <v>8</v>
      </c>
      <c r="BK13" s="161">
        <f t="shared" ca="1" si="5"/>
        <v>9</v>
      </c>
      <c r="BL13" s="162">
        <f t="shared" ca="1" si="5"/>
        <v>10</v>
      </c>
      <c r="BM13" s="161">
        <f t="shared" ca="1" si="5"/>
        <v>11</v>
      </c>
      <c r="BN13" s="161">
        <f t="shared" ca="1" si="5"/>
        <v>12</v>
      </c>
      <c r="BO13" s="161">
        <f t="shared" ca="1" si="5"/>
        <v>13</v>
      </c>
      <c r="BP13" s="161">
        <f t="shared" ca="1" si="5"/>
        <v>14</v>
      </c>
      <c r="BQ13" s="161">
        <f t="shared" ca="1" si="5"/>
        <v>15</v>
      </c>
      <c r="BR13" s="161">
        <f t="shared" ca="1" si="5"/>
        <v>16</v>
      </c>
      <c r="BS13" s="161">
        <f t="shared" ca="1" si="5"/>
        <v>17</v>
      </c>
      <c r="BT13" s="162">
        <f t="shared" ca="1" si="5"/>
        <v>18</v>
      </c>
      <c r="BV13" s="113">
        <f t="shared" ca="1" si="5"/>
        <v>1</v>
      </c>
      <c r="BW13" s="161">
        <f t="shared" ca="1" si="5"/>
        <v>2</v>
      </c>
      <c r="BX13" s="161">
        <f t="shared" ca="1" si="5"/>
        <v>3</v>
      </c>
      <c r="BY13" s="161">
        <f t="shared" ca="1" si="5"/>
        <v>4</v>
      </c>
      <c r="BZ13" s="161">
        <f t="shared" ca="1" si="5"/>
        <v>5</v>
      </c>
      <c r="CA13" s="161">
        <f t="shared" ca="1" si="5"/>
        <v>6</v>
      </c>
      <c r="CB13" s="161">
        <f t="shared" ca="1" si="5"/>
        <v>7</v>
      </c>
      <c r="CC13" s="161">
        <f t="shared" ca="1" si="5"/>
        <v>8</v>
      </c>
      <c r="CD13" s="161">
        <f t="shared" ca="1" si="5"/>
        <v>9</v>
      </c>
      <c r="CE13" s="162">
        <f t="shared" ca="1" si="5"/>
        <v>10</v>
      </c>
      <c r="CF13" s="161">
        <f t="shared" ca="1" si="5"/>
        <v>11</v>
      </c>
      <c r="CG13" s="161">
        <f t="shared" ca="1" si="5"/>
        <v>12</v>
      </c>
      <c r="CH13" s="161">
        <f t="shared" ca="1" si="5"/>
        <v>13</v>
      </c>
      <c r="CI13" s="161">
        <f t="shared" ca="1" si="5"/>
        <v>14</v>
      </c>
      <c r="CJ13" s="161">
        <f t="shared" ca="1" si="5"/>
        <v>15</v>
      </c>
      <c r="CK13" s="161">
        <f t="shared" ca="1" si="5"/>
        <v>16</v>
      </c>
      <c r="CL13" s="161">
        <f t="shared" ca="1" si="5"/>
        <v>17</v>
      </c>
      <c r="CM13" s="162">
        <f t="shared" ca="1" si="5"/>
        <v>18</v>
      </c>
    </row>
    <row r="14" spans="1:91" ht="13.2" hidden="1" x14ac:dyDescent="0.25">
      <c r="A14" s="7" t="str">
        <f t="shared" ref="A14" ca="1" si="6">IFERROR(IF(AUTOEVENTO="Manual",IF(K14&lt;&gt;"",MIN(VALUE(LEFT(K14,FIND(".",K14)-1)),COUNTA(EVENTOS.Lista)),0),IF(OR($B14&gt;AUTOEVENTO,$B14="S",$B14=0),SUBSTITUTE(OFFSET($A14,-1,0),IF($D14="Serviço",".",""),""),ROW(A14)-ROW($A$15)&amp;".")),0)</f>
        <v>AUTOEVENTO</v>
      </c>
      <c r="B14" s="7" t="str">
        <f ca="1">OFFSET(ORÇAMENTO!C$15,ROW(B14)-ROW(B$15),0)</f>
        <v>S</v>
      </c>
      <c r="C14" s="7" t="str">
        <f ca="1">OFFSET(ORÇAMENTO!L$15,ROW(C14)-ROW(C$15),0)</f>
        <v/>
      </c>
      <c r="D14" s="116" t="str">
        <f ca="1">OFFSET(ORÇAMENTO!N$15,ROW(D14)-ROW(D$15),0)</f>
        <v>Serviço</v>
      </c>
      <c r="E14" s="117" t="str">
        <f ca="1">OFFSET(ORÇAMENTO!O$15,ROW(E14)-ROW(E$15),0)</f>
        <v>-</v>
      </c>
      <c r="F14" s="163" t="str">
        <f ca="1">OFFSET(ORÇAMENTO!R$15,ROW(F14)-ROW(F$15),0)</f>
        <v>(Sem Código)</v>
      </c>
      <c r="G14" s="164" t="str">
        <f ca="1">IF($D14&lt;&gt;"Serviço","",OFFSET(ORÇAMENTO!S$15,ROW(G14)-ROW(G$15),0))</f>
        <v>-</v>
      </c>
      <c r="H14" s="122" cm="1">
        <f t="array" aca="1" ref="H14" ca="1">IF($D14&lt;&gt;"Serviço",0,IF(ACOMPANHAMENTO="BM",ROUND(OFFSET(ORÇAMENTO!AJ$15,ROW(H14)-ROW(H$15),0),15-13*ORÇAMENTO!$AF$7),SUMPRODUCT(($Q$1:$AI$1=1)*ROUND($Q14:$AI14,15-13*ORÇAMENTO!$AF$7))))</f>
        <v>0</v>
      </c>
      <c r="I14" s="468"/>
      <c r="J14" s="651" t="e" cm="1">
        <f t="array" aca="1" ref="J14" ca="1">IF(OR(B14&lt;&gt;"S",CÁLCULO.FrentesPreenchidas=0),"",IF(AND(ACOMPANHAMENTO="PLE",AUTOEVENTO="Manual",OR(H14&gt;0,ORÇAMENTO!AC14="QUANT."),OR(K14="",M14=0,N14="")),"►E",IF(AND(ACOMPANHAMENTO="PLE",ORÇAMENTO!AC14="QUANT."),"►Q",IF(AND(ACOMPANHAMENTO="PLE",H14&lt;&gt;SUMPRODUCT(($Q$1:$AI$1=1)*ROUND(Q14:AI14,15))),"►S",IF(AND(COUNTIF($P$11:$AI$11,"▼")=0,H14&gt;0,I14=""),"◄M","")))))</f>
        <v>#NAME?</v>
      </c>
      <c r="K14" s="652"/>
      <c r="L14" s="165" t="s">
        <v>764</v>
      </c>
      <c r="M14" s="166" t="str">
        <f ca="1">IF($D14&lt;&gt;"Serviço","",
          IF(AUTOEVENTO="manual",$A14,
                IF(ISERROR(MATCH($A14,$A$15:OFFSET($A14,-1,0),0)),MAX($M$15:OFFSET(M14,-1,0))+1,
                      INDEX($M$15:OFFSET(M14,-1,0),MATCH($A14,$A$15:OFFSET($A14,-1,0),0)))))</f>
        <v># Evento</v>
      </c>
      <c r="N14" s="167" t="e">
        <f ca="1">IF($D14&lt;&gt;"Serviço","",
         IF(AUTOEVENTO="Manual",
                IF($A14=0,"&lt;-- defina o número do agrupador",
                       OFFSET(EVENTOS!$D$15,$A14-$A$15,0)),
                OFFSET($F$15,$A14,0)))</f>
        <v>#VALUE!</v>
      </c>
      <c r="O14" s="168"/>
      <c r="Q14" s="168"/>
      <c r="R14" s="169"/>
      <c r="S14" s="169"/>
      <c r="T14" s="169"/>
      <c r="U14" s="169"/>
      <c r="V14" s="169"/>
      <c r="W14" s="169"/>
      <c r="X14" s="169"/>
      <c r="Y14" s="169"/>
      <c r="Z14" s="170"/>
      <c r="AA14" s="169"/>
      <c r="AB14" s="169"/>
      <c r="AC14" s="169"/>
      <c r="AD14" s="169"/>
      <c r="AE14" s="169"/>
      <c r="AF14" s="169"/>
      <c r="AG14" s="169"/>
      <c r="AH14" s="170"/>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L14" s="453">
        <f ca="1">IF(AND($D14="Serviço",AL$12&lt;&gt;0,$H14&gt;0,OR(AUTOEVENTO&lt;&gt;"manual",$M14&lt;&gt;$A$15)),
        IF(Import.TipoArredondamento&lt;&gt;"TransfereGOV",
              ROUND(OFFSET($P14,0,AL$13),15-13*ORÇAMENTO!$AF$7)/$H14*OFFSET(ORÇAMENTO!$X$15,ROW(AL14)-ROW(AL$15),0),
              ROUND(ROUND(OFFSET($P14,0,AL$13),15-13*ORÇAMENTO!$AF$7)*OFFSET(ORÇAMENTO!$W$15,ROW(AL14)-ROW(AL$15),0),15-13*ORÇAMENTO!$AF$11)),
         0)</f>
        <v>0</v>
      </c>
      <c r="AM14" s="453">
        <f ca="1">IF(AND($D14="Serviço",AM$12&lt;&gt;0,$H14&gt;0,OR(AUTOEVENTO&lt;&gt;"manual",$M14&lt;&gt;$A$15)),
        IF(Import.TipoArredondamento&lt;&gt;"TransfereGOV",
              ROUND(OFFSET($P14,0,AM$13),15-13*ORÇAMENTO!$AF$7)/$H14*OFFSET(ORÇAMENTO!$X$15,ROW(AM14)-ROW(AM$15),0),
              ROUND(ROUND(OFFSET($P14,0,AM$13),15-13*ORÇAMENTO!$AF$7)*OFFSET(ORÇAMENTO!$W$15,ROW(AM14)-ROW(AM$15),0),15-13*ORÇAMENTO!$AF$11)),
         0)</f>
        <v>0</v>
      </c>
      <c r="AN14" s="453">
        <f ca="1">IF(AND($D14="Serviço",AN$12&lt;&gt;0,$H14&gt;0,OR(AUTOEVENTO&lt;&gt;"manual",$M14&lt;&gt;$A$15)),
        IF(Import.TipoArredondamento&lt;&gt;"TransfereGOV",
              ROUND(OFFSET($P14,0,AN$13),15-13*ORÇAMENTO!$AF$7)/$H14*OFFSET(ORÇAMENTO!$X$15,ROW(AN14)-ROW(AN$15),0),
              ROUND(ROUND(OFFSET($P14,0,AN$13),15-13*ORÇAMENTO!$AF$7)*OFFSET(ORÇAMENTO!$W$15,ROW(AN14)-ROW(AN$15),0),15-13*ORÇAMENTO!$AF$11)),
         0)</f>
        <v>0</v>
      </c>
      <c r="AO14" s="453">
        <f ca="1">IF(AND($D14="Serviço",AO$12&lt;&gt;0,$H14&gt;0,OR(AUTOEVENTO&lt;&gt;"manual",$M14&lt;&gt;$A$15)),
        IF(Import.TipoArredondamento&lt;&gt;"TransfereGOV",
              ROUND(OFFSET($P14,0,AO$13),15-13*ORÇAMENTO!$AF$7)/$H14*OFFSET(ORÇAMENTO!$X$15,ROW(AO14)-ROW(AO$15),0),
              ROUND(ROUND(OFFSET($P14,0,AO$13),15-13*ORÇAMENTO!$AF$7)*OFFSET(ORÇAMENTO!$W$15,ROW(AO14)-ROW(AO$15),0),15-13*ORÇAMENTO!$AF$11)),
         0)</f>
        <v>0</v>
      </c>
      <c r="AP14" s="453">
        <f ca="1">IF(AND($D14="Serviço",AP$12&lt;&gt;0,$H14&gt;0,OR(AUTOEVENTO&lt;&gt;"manual",$M14&lt;&gt;$A$15)),
        IF(Import.TipoArredondamento&lt;&gt;"TransfereGOV",
              ROUND(OFFSET($P14,0,AP$13),15-13*ORÇAMENTO!$AF$7)/$H14*OFFSET(ORÇAMENTO!$X$15,ROW(AP14)-ROW(AP$15),0),
              ROUND(ROUND(OFFSET($P14,0,AP$13),15-13*ORÇAMENTO!$AF$7)*OFFSET(ORÇAMENTO!$W$15,ROW(AP14)-ROW(AP$15),0),15-13*ORÇAMENTO!$AF$11)),
         0)</f>
        <v>0</v>
      </c>
      <c r="AQ14" s="453">
        <f ca="1">IF(AND($D14="Serviço",AQ$12&lt;&gt;0,$H14&gt;0,OR(AUTOEVENTO&lt;&gt;"manual",$M14&lt;&gt;$A$15)),
        IF(Import.TipoArredondamento&lt;&gt;"TransfereGOV",
              ROUND(OFFSET($P14,0,AQ$13),15-13*ORÇAMENTO!$AF$7)/$H14*OFFSET(ORÇAMENTO!$X$15,ROW(AQ14)-ROW(AQ$15),0),
              ROUND(ROUND(OFFSET($P14,0,AQ$13),15-13*ORÇAMENTO!$AF$7)*OFFSET(ORÇAMENTO!$W$15,ROW(AQ14)-ROW(AQ$15),0),15-13*ORÇAMENTO!$AF$11)),
         0)</f>
        <v>0</v>
      </c>
      <c r="AR14" s="453">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453">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453">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453">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453">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453">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453">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453">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453">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453">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C14" s="171" t="e">
        <f ca="1">IF(OR($D14&lt;&gt;"Serviço",AND(AUTOEVENTO="Manual",$M14=$A$15)),0,
         IF(OFFSET(CRONOPLE!$F$15,$M14-$A$15,BC$13)=0,10^12,OFFSET(CRONOPLE!$F$15,$M14-$A$15,BC$13)))</f>
        <v>#VALUE!</v>
      </c>
      <c r="BD14" s="171" t="e">
        <f ca="1">IF(OR($D14&lt;&gt;"Serviço",AND(AUTOEVENTO="Manual",$M14=$A$15)),0,
         IF(OFFSET(CRONOPLE!$F$15,$M14-$A$15,BD$13)=0,10^12,OFFSET(CRONOPLE!$F$15,$M14-$A$15,BD$13)))</f>
        <v>#VALUE!</v>
      </c>
      <c r="BE14" s="171" t="e">
        <f ca="1">IF(OR($D14&lt;&gt;"Serviço",AND(AUTOEVENTO="Manual",$M14=$A$15)),0,
         IF(OFFSET(CRONOPLE!$F$15,$M14-$A$15,BE$13)=0,10^12,OFFSET(CRONOPLE!$F$15,$M14-$A$15,BE$13)))</f>
        <v>#VALUE!</v>
      </c>
      <c r="BF14" s="171" t="e">
        <f ca="1">IF(OR($D14&lt;&gt;"Serviço",AND(AUTOEVENTO="Manual",$M14=$A$15)),0,
         IF(OFFSET(CRONOPLE!$F$15,$M14-$A$15,BF$13)=0,10^12,OFFSET(CRONOPLE!$F$15,$M14-$A$15,BF$13)))</f>
        <v>#VALUE!</v>
      </c>
      <c r="BG14" s="171" t="e">
        <f ca="1">IF(OR($D14&lt;&gt;"Serviço",AND(AUTOEVENTO="Manual",$M14=$A$15)),0,
         IF(OFFSET(CRONOPLE!$F$15,$M14-$A$15,BG$13)=0,10^12,OFFSET(CRONOPLE!$F$15,$M14-$A$15,BG$13)))</f>
        <v>#VALUE!</v>
      </c>
      <c r="BH14" s="171" t="e">
        <f ca="1">IF(OR($D14&lt;&gt;"Serviço",AND(AUTOEVENTO="Manual",$M14=$A$15)),0,
         IF(OFFSET(CRONOPLE!$F$15,$M14-$A$15,BH$13)=0,10^12,OFFSET(CRONOPLE!$F$15,$M14-$A$15,BH$13)))</f>
        <v>#VALUE!</v>
      </c>
      <c r="BI14" s="171" t="e">
        <f ca="1">IF(OR($D14&lt;&gt;"Serviço",AND(AUTOEVENTO="Manual",$M14=$A$15)),0,
         IF(OFFSET(CRONOPLE!$F$15,$M14-$A$15,BI$13)=0,10^12,OFFSET(CRONOPLE!$F$15,$M14-$A$15,BI$13)))</f>
        <v>#VALUE!</v>
      </c>
      <c r="BJ14" s="171" t="e">
        <f ca="1">IF(OR($D14&lt;&gt;"Serviço",AND(AUTOEVENTO="Manual",$M14=$A$15)),0,
         IF(OFFSET(CRONOPLE!$F$15,$M14-$A$15,BJ$13)=0,10^12,OFFSET(CRONOPLE!$F$15,$M14-$A$15,BJ$13)))</f>
        <v>#VALUE!</v>
      </c>
      <c r="BK14" s="171" t="e">
        <f ca="1">IF(OR($D14&lt;&gt;"Serviço",AND(AUTOEVENTO="Manual",$M14=$A$15)),0,
         IF(OFFSET(CRONOPLE!$F$15,$M14-$A$15,BK$13)=0,10^12,OFFSET(CRONOPLE!$F$15,$M14-$A$15,BK$13)))</f>
        <v>#VALUE!</v>
      </c>
      <c r="BL14" s="171" t="e">
        <f ca="1">IF(OR($D14&lt;&gt;"Serviço",AND(AUTOEVENTO="Manual",$M14=$A$15)),0,
         IF(OFFSET(CRONOPLE!$F$15,$M14-$A$15,BL$13)=0,10^12,OFFSET(CRONOPLE!$F$15,$M14-$A$15,BL$13)))</f>
        <v>#VALUE!</v>
      </c>
      <c r="BM14" s="171" t="e">
        <f ca="1">IF(OR($D14&lt;&gt;"Serviço",AND(AUTOEVENTO="Manual",$M14=$A$15)),0,
         IF(OFFSET(CRONOPLE!$F$15,$M14-$A$15,BM$13)=0,10^12,OFFSET(CRONOPLE!$F$15,$M14-$A$15,BM$13)))</f>
        <v>#VALUE!</v>
      </c>
      <c r="BN14" s="171" t="e">
        <f ca="1">IF(OR($D14&lt;&gt;"Serviço",AND(AUTOEVENTO="Manual",$M14=$A$15)),0,
         IF(OFFSET(CRONOPLE!$F$15,$M14-$A$15,BN$13)=0,10^12,OFFSET(CRONOPLE!$F$15,$M14-$A$15,BN$13)))</f>
        <v>#VALUE!</v>
      </c>
      <c r="BO14" s="171" t="e">
        <f ca="1">IF(OR($D14&lt;&gt;"Serviço",AND(AUTOEVENTO="Manual",$M14=$A$15)),0,
         IF(OFFSET(CRONOPLE!$F$15,$M14-$A$15,BO$13)=0,10^12,OFFSET(CRONOPLE!$F$15,$M14-$A$15,BO$13)))</f>
        <v>#VALUE!</v>
      </c>
      <c r="BP14" s="171" t="e">
        <f ca="1">IF(OR($D14&lt;&gt;"Serviço",AND(AUTOEVENTO="Manual",$M14=$A$15)),0,
         IF(OFFSET(CRONOPLE!$F$15,$M14-$A$15,BP$13)=0,10^12,OFFSET(CRONOPLE!$F$15,$M14-$A$15,BP$13)))</f>
        <v>#VALUE!</v>
      </c>
      <c r="BQ14" s="171" t="e">
        <f ca="1">IF(OR($D14&lt;&gt;"Serviço",AND(AUTOEVENTO="Manual",$M14=$A$15)),0,
         IF(OFFSET(CRONOPLE!$F$15,$M14-$A$15,BQ$13)=0,10^12,OFFSET(CRONOPLE!$F$15,$M14-$A$15,BQ$13)))</f>
        <v>#VALUE!</v>
      </c>
      <c r="BR14" s="171" t="e">
        <f ca="1">IF(OR($D14&lt;&gt;"Serviço",AND(AUTOEVENTO="Manual",$M14=$A$15)),0,
         IF(OFFSET(CRONOPLE!$F$15,$M14-$A$15,BR$13)=0,10^12,OFFSET(CRONOPLE!$F$15,$M14-$A$15,BR$13)))</f>
        <v>#VALUE!</v>
      </c>
      <c r="BS14" s="171" t="e">
        <f ca="1">IF(OR($D14&lt;&gt;"Serviço",AND(AUTOEVENTO="Manual",$M14=$A$15)),0,
         IF(OFFSET(CRONOPLE!$F$15,$M14-$A$15,BS$13)=0,10^12,OFFSET(CRONOPLE!$F$15,$M14-$A$15,BS$13)))</f>
        <v>#VALUE!</v>
      </c>
      <c r="BT14" s="171" t="e">
        <f ca="1">IF(OR($D14&lt;&gt;"Serviço",AND(AUTOEVENTO="Manual",$M14=$A$15)),0,
         IF(OFFSET(CRONOPLE!$F$15,$M14-$A$15,BT$13)=0,10^12,OFFSET(CRONOPLE!$F$15,$M14-$A$15,BT$13)))</f>
        <v>#VALUE!</v>
      </c>
      <c r="BV14" s="172">
        <f ca="1">IF(OR($D14&lt;&gt;"Serviço",AND(AUTOEVENTO="Manual",$M14=$A$15),$M14&gt;(ROW(PLE.lastrow)-ROW(PLE.firstrow))),0,
           IF(OFFSET(PLE!$G$15,$M14-$A$15,BV$13)="",10^12,OFFSET(PLE!$G$15,$M14-$A$15,BV$13)))</f>
        <v>0</v>
      </c>
      <c r="BW14" s="172">
        <f ca="1">IF(OR($D14&lt;&gt;"Serviço",AND(AUTOEVENTO="Manual",$M14=$A$15),$M14&gt;(ROW(PLE.lastrow)-ROW(PLE.firstrow))),0,
           IF(OFFSET(PLE!$G$15,$M14-$A$15,BW$13)="",10^12,OFFSET(PLE!$G$15,$M14-$A$15,BW$13)))</f>
        <v>0</v>
      </c>
      <c r="BX14" s="172">
        <f ca="1">IF(OR($D14&lt;&gt;"Serviço",AND(AUTOEVENTO="Manual",$M14=$A$15),$M14&gt;(ROW(PLE.lastrow)-ROW(PLE.firstrow))),0,
           IF(OFFSET(PLE!$G$15,$M14-$A$15,BX$13)="",10^12,OFFSET(PLE!$G$15,$M14-$A$15,BX$13)))</f>
        <v>0</v>
      </c>
      <c r="BY14" s="172">
        <f ca="1">IF(OR($D14&lt;&gt;"Serviço",AND(AUTOEVENTO="Manual",$M14=$A$15),$M14&gt;(ROW(PLE.lastrow)-ROW(PLE.firstrow))),0,
           IF(OFFSET(PLE!$G$15,$M14-$A$15,BY$13)="",10^12,OFFSET(PLE!$G$15,$M14-$A$15,BY$13)))</f>
        <v>0</v>
      </c>
      <c r="BZ14" s="172">
        <f ca="1">IF(OR($D14&lt;&gt;"Serviço",AND(AUTOEVENTO="Manual",$M14=$A$15),$M14&gt;(ROW(PLE.lastrow)-ROW(PLE.firstrow))),0,
           IF(OFFSET(PLE!$G$15,$M14-$A$15,BZ$13)="",10^12,OFFSET(PLE!$G$15,$M14-$A$15,BZ$13)))</f>
        <v>0</v>
      </c>
      <c r="CA14" s="172">
        <f ca="1">IF(OR($D14&lt;&gt;"Serviço",AND(AUTOEVENTO="Manual",$M14=$A$15),$M14&gt;(ROW(PLE.lastrow)-ROW(PLE.firstrow))),0,
           IF(OFFSET(PLE!$G$15,$M14-$A$15,CA$13)="",10^12,OFFSET(PLE!$G$15,$M14-$A$15,CA$13)))</f>
        <v>0</v>
      </c>
      <c r="CB14" s="172">
        <f ca="1">IF(OR($D14&lt;&gt;"Serviço",AND(AUTOEVENTO="Manual",$M14=$A$15),$M14&gt;(ROW(PLE.lastrow)-ROW(PLE.firstrow))),0,
           IF(OFFSET(PLE!$G$15,$M14-$A$15,CB$13)="",10^12,OFFSET(PLE!$G$15,$M14-$A$15,CB$13)))</f>
        <v>0</v>
      </c>
      <c r="CC14" s="172">
        <f ca="1">IF(OR($D14&lt;&gt;"Serviço",AND(AUTOEVENTO="Manual",$M14=$A$15),$M14&gt;(ROW(PLE.lastrow)-ROW(PLE.firstrow))),0,
           IF(OFFSET(PLE!$G$15,$M14-$A$15,CC$13)="",10^12,OFFSET(PLE!$G$15,$M14-$A$15,CC$13)))</f>
        <v>0</v>
      </c>
      <c r="CD14" s="172">
        <f ca="1">IF(OR($D14&lt;&gt;"Serviço",AND(AUTOEVENTO="Manual",$M14=$A$15),$M14&gt;(ROW(PLE.lastrow)-ROW(PLE.firstrow))),0,
           IF(OFFSET(PLE!$G$15,$M14-$A$15,CD$13)="",10^12,OFFSET(PLE!$G$15,$M14-$A$15,CD$13)))</f>
        <v>0</v>
      </c>
      <c r="CE14" s="172">
        <f ca="1">IF(OR($D14&lt;&gt;"Serviço",AND(AUTOEVENTO="Manual",$M14=$A$15),$M14&gt;(ROW(PLE.lastrow)-ROW(PLE.firstrow))),0,
           IF(OFFSET(PLE!$G$15,$M14-$A$15,CE$13)="",10^12,OFFSET(PLE!$G$15,$M14-$A$15,CE$13)))</f>
        <v>0</v>
      </c>
      <c r="CF14" s="172">
        <f ca="1">IF(OR($D14&lt;&gt;"Serviço",AND(AUTOEVENTO="Manual",$M14=$A$15),$M14&gt;(ROW(PLE.lastrow)-ROW(PLE.firstrow))),0,
           IF(OFFSET(PLE!$G$15,$M14-$A$15,CF$13)="",10^12,OFFSET(PLE!$G$15,$M14-$A$15,CF$13)))</f>
        <v>0</v>
      </c>
      <c r="CG14" s="172">
        <f ca="1">IF(OR($D14&lt;&gt;"Serviço",AND(AUTOEVENTO="Manual",$M14=$A$15),$M14&gt;(ROW(PLE.lastrow)-ROW(PLE.firstrow))),0,
           IF(OFFSET(PLE!$G$15,$M14-$A$15,CG$13)="",10^12,OFFSET(PLE!$G$15,$M14-$A$15,CG$13)))</f>
        <v>0</v>
      </c>
      <c r="CH14" s="172">
        <f ca="1">IF(OR($D14&lt;&gt;"Serviço",AND(AUTOEVENTO="Manual",$M14=$A$15),$M14&gt;(ROW(PLE.lastrow)-ROW(PLE.firstrow))),0,
           IF(OFFSET(PLE!$G$15,$M14-$A$15,CH$13)="",10^12,OFFSET(PLE!$G$15,$M14-$A$15,CH$13)))</f>
        <v>0</v>
      </c>
      <c r="CI14" s="172">
        <f ca="1">IF(OR($D14&lt;&gt;"Serviço",AND(AUTOEVENTO="Manual",$M14=$A$15),$M14&gt;(ROW(PLE.lastrow)-ROW(PLE.firstrow))),0,
           IF(OFFSET(PLE!$G$15,$M14-$A$15,CI$13)="",10^12,OFFSET(PLE!$G$15,$M14-$A$15,CI$13)))</f>
        <v>0</v>
      </c>
      <c r="CJ14" s="172">
        <f ca="1">IF(OR($D14&lt;&gt;"Serviço",AND(AUTOEVENTO="Manual",$M14=$A$15),$M14&gt;(ROW(PLE.lastrow)-ROW(PLE.firstrow))),0,
           IF(OFFSET(PLE!$G$15,$M14-$A$15,CJ$13)="",10^12,OFFSET(PLE!$G$15,$M14-$A$15,CJ$13)))</f>
        <v>0</v>
      </c>
      <c r="CK14" s="172">
        <f ca="1">IF(OR($D14&lt;&gt;"Serviço",AND(AUTOEVENTO="Manual",$M14=$A$15),$M14&gt;(ROW(PLE.lastrow)-ROW(PLE.firstrow))),0,
           IF(OFFSET(PLE!$G$15,$M14-$A$15,CK$13)="",10^12,OFFSET(PLE!$G$15,$M14-$A$15,CK$13)))</f>
        <v>0</v>
      </c>
      <c r="CL14" s="172">
        <f ca="1">IF(OR($D14&lt;&gt;"Serviço",AND(AUTOEVENTO="Manual",$M14=$A$15),$M14&gt;(ROW(PLE.lastrow)-ROW(PLE.firstrow))),0,
           IF(OFFSET(PLE!$G$15,$M14-$A$15,CL$13)="",10^12,OFFSET(PLE!$G$15,$M14-$A$15,CL$13)))</f>
        <v>0</v>
      </c>
      <c r="CM14" s="172">
        <f ca="1">IF(OR($D14&lt;&gt;"Serviço",AND(AUTOEVENTO="Manual",$M14=$A$15),$M14&gt;(ROW(PLE.lastrow)-ROW(PLE.firstrow))),0,
           IF(OFFSET(PLE!$G$15,$M14-$A$15,CM$13)="",10^12,OFFSET(PLE!$G$15,$M14-$A$15,CM$13)))</f>
        <v>0</v>
      </c>
    </row>
    <row r="15" spans="1:91" ht="12.75" customHeight="1" x14ac:dyDescent="0.25">
      <c r="A15" s="653" cm="1">
        <f t="array" ref="A15">IF(AdmLocal="Automática",1,0)</f>
        <v>0</v>
      </c>
      <c r="B15" s="7" t="str">
        <f ca="1">OFFSET(ORÇAMENTO!C$15,ROW(B15)-ROW(B$15),0)</f>
        <v>L</v>
      </c>
      <c r="C15" s="7" t="str">
        <f ca="1">OFFSET(ORÇAMENTO!L$15,ROW(C15)-ROW(C$15),0)</f>
        <v>F</v>
      </c>
      <c r="D15" s="130" t="str">
        <f>IF(TIPOORCAMENTO="LICITADO","CTEF","LOTE")</f>
        <v>LOTE</v>
      </c>
      <c r="E15" s="736" t="str">
        <f>Import.DescLote</f>
        <v>PAVIMENTAÇÃO ASFÁLTICA EM DIVERSOS TRECHOS NO MUNICÍPIO DE SARANDI</v>
      </c>
      <c r="F15" s="736"/>
      <c r="G15" s="736"/>
      <c r="H15" s="736"/>
      <c r="I15" s="469"/>
      <c r="J15" s="522"/>
      <c r="K15" s="633"/>
      <c r="L15" s="165" t="s">
        <v>764</v>
      </c>
      <c r="M15" s="568">
        <v>0</v>
      </c>
      <c r="N15" s="173" t="s">
        <v>776</v>
      </c>
      <c r="O15" s="174" t="e">
        <f ca="1">OFFSET($AI$15,0,O$13)</f>
        <v>#VALUE!</v>
      </c>
      <c r="Q15" s="175">
        <f t="shared" ref="Q15:Z15" ca="1" si="7">OFFSET($AI$15,0,Q$13)</f>
        <v>18380.169999999998</v>
      </c>
      <c r="R15" s="174">
        <f t="shared" ca="1" si="7"/>
        <v>0</v>
      </c>
      <c r="S15" s="174">
        <f t="shared" ca="1" si="7"/>
        <v>451924.88000000006</v>
      </c>
      <c r="T15" s="174">
        <f t="shared" ca="1" si="7"/>
        <v>148185.56</v>
      </c>
      <c r="U15" s="174">
        <f t="shared" ca="1" si="7"/>
        <v>349239.94999999995</v>
      </c>
      <c r="V15" s="174">
        <f t="shared" ca="1" si="7"/>
        <v>413893.01000000007</v>
      </c>
      <c r="W15" s="174">
        <f t="shared" ca="1" si="7"/>
        <v>0</v>
      </c>
      <c r="X15" s="174">
        <f t="shared" ca="1" si="7"/>
        <v>0</v>
      </c>
      <c r="Y15" s="174">
        <f t="shared" ca="1" si="7"/>
        <v>0</v>
      </c>
      <c r="Z15" s="176">
        <f t="shared" ca="1" si="7"/>
        <v>0</v>
      </c>
      <c r="AA15" s="174">
        <f t="shared" ref="AA15:AH15" ca="1" si="8">OFFSET($AI$15,0,AA$13)</f>
        <v>0</v>
      </c>
      <c r="AB15" s="174">
        <f t="shared" ca="1" si="8"/>
        <v>0</v>
      </c>
      <c r="AC15" s="174">
        <f t="shared" ca="1" si="8"/>
        <v>0</v>
      </c>
      <c r="AD15" s="174">
        <f t="shared" ca="1" si="8"/>
        <v>0</v>
      </c>
      <c r="AE15" s="174">
        <f t="shared" ca="1" si="8"/>
        <v>0</v>
      </c>
      <c r="AF15" s="174">
        <f t="shared" ca="1" si="8"/>
        <v>0</v>
      </c>
      <c r="AG15" s="174">
        <f t="shared" ca="1" si="8"/>
        <v>0</v>
      </c>
      <c r="AH15" s="176">
        <f t="shared" ca="1" si="8"/>
        <v>0</v>
      </c>
      <c r="AJ15" s="177">
        <f ca="1">ROUND(SUM(OFFSET(AJ$15,1,0):AJ$165),2)</f>
        <v>18380.169999999998</v>
      </c>
      <c r="AK15" s="177">
        <f ca="1">SUM(OFFSET(AK$15,1,0):AK$165)</f>
        <v>0</v>
      </c>
      <c r="AL15" s="177">
        <f ca="1">SUM(OFFSET(AL$15,1,0):AL$165)</f>
        <v>451924.88000000006</v>
      </c>
      <c r="AM15" s="177">
        <f ca="1">SUM(OFFSET(AM$15,1,0):AM$165)</f>
        <v>148185.56</v>
      </c>
      <c r="AN15" s="177">
        <f ca="1">SUM(OFFSET(AN$15,1,0):AN$165)</f>
        <v>349239.94999999995</v>
      </c>
      <c r="AO15" s="177">
        <f ca="1">SUM(OFFSET(AO$15,1,0):AO$165)</f>
        <v>413893.01000000007</v>
      </c>
      <c r="AP15" s="177">
        <f ca="1">SUM(OFFSET(AP$15,1,0):AP$165)</f>
        <v>0</v>
      </c>
      <c r="AQ15" s="177">
        <f ca="1">SUM(OFFSET(AQ$15,1,0):AQ$165)</f>
        <v>0</v>
      </c>
      <c r="AR15" s="177">
        <f ca="1">SUM(OFFSET(AR$15,1,0):AR$165)</f>
        <v>0</v>
      </c>
      <c r="AS15" s="177">
        <f ca="1">SUM(OFFSET(AS$15,1,0):AS$165)</f>
        <v>0</v>
      </c>
      <c r="AT15" s="177">
        <f ca="1">SUM(OFFSET(AT$15,1,0):AT$165)</f>
        <v>0</v>
      </c>
      <c r="AU15" s="177">
        <f ca="1">SUM(OFFSET(AU$15,1,0):AU$165)</f>
        <v>0</v>
      </c>
      <c r="AV15" s="177">
        <f ca="1">SUM(OFFSET(AV$15,1,0):AV$165)</f>
        <v>0</v>
      </c>
      <c r="AW15" s="177">
        <f ca="1">SUM(OFFSET(AW$15,1,0):AW$165)</f>
        <v>0</v>
      </c>
      <c r="AX15" s="177">
        <f ca="1">SUM(OFFSET(AX$15,1,0):AX$165)</f>
        <v>0</v>
      </c>
      <c r="AY15" s="177">
        <f ca="1">SUM(OFFSET(AY$15,1,0):AY$165)</f>
        <v>0</v>
      </c>
      <c r="AZ15" s="177">
        <f ca="1">SUM(OFFSET(AZ$15,1,0):AZ$165)</f>
        <v>0</v>
      </c>
      <c r="BA15" s="177">
        <f ca="1">SUM(OFFSET(BA$15,1,0):BA$165)</f>
        <v>0</v>
      </c>
      <c r="BC15" s="178">
        <f>10^12</f>
        <v>1000000000000</v>
      </c>
      <c r="BD15" s="178">
        <f t="shared" ref="BD15:BT15" si="9">10^12</f>
        <v>1000000000000</v>
      </c>
      <c r="BE15" s="178">
        <f t="shared" si="9"/>
        <v>1000000000000</v>
      </c>
      <c r="BF15" s="178">
        <f t="shared" si="9"/>
        <v>1000000000000</v>
      </c>
      <c r="BG15" s="178">
        <f t="shared" si="9"/>
        <v>1000000000000</v>
      </c>
      <c r="BH15" s="178">
        <f t="shared" si="9"/>
        <v>1000000000000</v>
      </c>
      <c r="BI15" s="178">
        <f t="shared" si="9"/>
        <v>1000000000000</v>
      </c>
      <c r="BJ15" s="178">
        <f t="shared" si="9"/>
        <v>1000000000000</v>
      </c>
      <c r="BK15" s="178">
        <f t="shared" si="9"/>
        <v>1000000000000</v>
      </c>
      <c r="BL15" s="178">
        <f t="shared" si="9"/>
        <v>1000000000000</v>
      </c>
      <c r="BM15" s="178">
        <f t="shared" si="9"/>
        <v>1000000000000</v>
      </c>
      <c r="BN15" s="178">
        <f t="shared" si="9"/>
        <v>1000000000000</v>
      </c>
      <c r="BO15" s="178">
        <f t="shared" si="9"/>
        <v>1000000000000</v>
      </c>
      <c r="BP15" s="178">
        <f t="shared" si="9"/>
        <v>1000000000000</v>
      </c>
      <c r="BQ15" s="178">
        <f t="shared" si="9"/>
        <v>1000000000000</v>
      </c>
      <c r="BR15" s="178">
        <f t="shared" si="9"/>
        <v>1000000000000</v>
      </c>
      <c r="BS15" s="178">
        <f t="shared" si="9"/>
        <v>1000000000000</v>
      </c>
      <c r="BT15" s="178">
        <f t="shared" si="9"/>
        <v>1000000000000</v>
      </c>
      <c r="BV15" s="178">
        <f t="shared" ref="BV15:CM15" si="10">10^12</f>
        <v>1000000000000</v>
      </c>
      <c r="BW15" s="178">
        <f t="shared" si="10"/>
        <v>1000000000000</v>
      </c>
      <c r="BX15" s="178">
        <f t="shared" si="10"/>
        <v>1000000000000</v>
      </c>
      <c r="BY15" s="178">
        <f t="shared" si="10"/>
        <v>1000000000000</v>
      </c>
      <c r="BZ15" s="178">
        <f t="shared" si="10"/>
        <v>1000000000000</v>
      </c>
      <c r="CA15" s="178">
        <f t="shared" si="10"/>
        <v>1000000000000</v>
      </c>
      <c r="CB15" s="178">
        <f t="shared" si="10"/>
        <v>1000000000000</v>
      </c>
      <c r="CC15" s="178">
        <f t="shared" si="10"/>
        <v>1000000000000</v>
      </c>
      <c r="CD15" s="178">
        <f t="shared" si="10"/>
        <v>1000000000000</v>
      </c>
      <c r="CE15" s="178">
        <f t="shared" si="10"/>
        <v>1000000000000</v>
      </c>
      <c r="CF15" s="178">
        <f t="shared" si="10"/>
        <v>1000000000000</v>
      </c>
      <c r="CG15" s="178">
        <f t="shared" si="10"/>
        <v>1000000000000</v>
      </c>
      <c r="CH15" s="178">
        <f t="shared" si="10"/>
        <v>1000000000000</v>
      </c>
      <c r="CI15" s="178">
        <f t="shared" si="10"/>
        <v>1000000000000</v>
      </c>
      <c r="CJ15" s="178">
        <f t="shared" si="10"/>
        <v>1000000000000</v>
      </c>
      <c r="CK15" s="178">
        <f t="shared" si="10"/>
        <v>1000000000000</v>
      </c>
      <c r="CL15" s="178">
        <f t="shared" si="10"/>
        <v>1000000000000</v>
      </c>
      <c r="CM15" s="178">
        <f t="shared" si="10"/>
        <v>1000000000000</v>
      </c>
    </row>
    <row r="16" spans="1:91" ht="26.4" x14ac:dyDescent="0.25">
      <c r="A16" s="7" t="str">
        <f t="shared" ref="A16:A164" ca="1" si="11">IFERROR(IF(AUTOEVENTO="Manual",IF(K16&lt;&gt;"",MIN(VALUE(LEFT(K16,FIND(".",K16)-1)),COUNTA(EVENTOS.Lista)),0),IF(OR($B16&gt;AUTOEVENTO,$B16="S",$B16=0),SUBSTITUTE(OFFSET($A16,-1,0),IF($D16="Serviço",".",""),""),ROW(A16)-ROW($A$15)&amp;".")),0)</f>
        <v>1.</v>
      </c>
      <c r="B16" s="7">
        <f ca="1">OFFSET(ORÇAMENTO!C$15,ROW(B16)-ROW(B$15),0)</f>
        <v>1</v>
      </c>
      <c r="C16" s="7" t="str">
        <f ca="1">OFFSET(ORÇAMENTO!L$15,ROW(C16)-ROW(C$15),0)</f>
        <v>F</v>
      </c>
      <c r="D16" s="116" t="str">
        <f ca="1">OFFSET(ORÇAMENTO!N$15,ROW(D16)-ROW(D$15),0)</f>
        <v>Meta</v>
      </c>
      <c r="E16" s="117" t="str">
        <f ca="1">OFFSET(ORÇAMENTO!O$15,ROW(E16)-ROW(E$15),0)</f>
        <v>1.</v>
      </c>
      <c r="F16" s="163" t="str">
        <f ca="1">OFFSET(ORÇAMENTO!R$15,ROW(F16)-ROW(F$15),0)</f>
        <v>RERPERFILAMENTO E CBUQ SOBRE CALÇAMENTO AV. SETE DE SETEMBRO LOTEAMENTO BEM MORAR (TRECHO 2)</v>
      </c>
      <c r="G16" s="164" t="str">
        <f ca="1">IF($D16&lt;&gt;"Serviço","",OFFSET(ORÇAMENTO!S$15,ROW(G16)-ROW(G$15),0))</f>
        <v/>
      </c>
      <c r="H16" s="122" cm="1">
        <f t="array" aca="1" ref="H16" ca="1">IF($D16&lt;&gt;"Serviço",0,IF(ACOMPANHAMENTO="BM",ROUND(OFFSET(ORÇAMENTO!AJ$15,ROW(H16)-ROW(H$15),0),15-13*ORÇAMENTO!$AF$7),SUMPRODUCT(($Q$1:$AI$1=1)*ROUND($Q16:$AI16,15-13*ORÇAMENTO!$AF$7))))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I$1=1)*ROUND(Q16:AI16,15))),"►S",IF(AND(COUNTIF($P$11:$AI$11,"▼")=0,H16&gt;0,I16=""),"◄M","")))))</f>
        <v/>
      </c>
      <c r="K16" s="652"/>
      <c r="L16" s="165" t="s">
        <v>764</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A16" s="169"/>
      <c r="AB16" s="169"/>
      <c r="AC16" s="169"/>
      <c r="AD16" s="169"/>
      <c r="AE16" s="169"/>
      <c r="AF16" s="169"/>
      <c r="AG16" s="169"/>
      <c r="AH16" s="170"/>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L16" s="453">
        <f ca="1">IF(AND($D16="Serviço",AL$12&lt;&gt;0,$H16&gt;0,OR(AUTOEVENTO&lt;&gt;"manual",$M16&lt;&gt;$A$15)),
        IF(Import.TipoArredondamento&lt;&gt;"TransfereGOV",
              ROUND(OFFSET($P16,0,AL$13),15-13*ORÇAMENTO!$AF$7)/$H16*OFFSET(ORÇAMENTO!$X$15,ROW(AL16)-ROW(AL$15),0),
              ROUND(ROUND(OFFSET($P16,0,AL$13),15-13*ORÇAMENTO!$AF$7)*OFFSET(ORÇAMENTO!$W$15,ROW(AL16)-ROW(AL$15),0),15-13*ORÇAMENTO!$AF$11)),
         0)</f>
        <v>0</v>
      </c>
      <c r="AM16" s="453">
        <f ca="1">IF(AND($D16="Serviço",AM$12&lt;&gt;0,$H16&gt;0,OR(AUTOEVENTO&lt;&gt;"manual",$M16&lt;&gt;$A$15)),
        IF(Import.TipoArredondamento&lt;&gt;"TransfereGOV",
              ROUND(OFFSET($P16,0,AM$13),15-13*ORÇAMENTO!$AF$7)/$H16*OFFSET(ORÇAMENTO!$X$15,ROW(AM16)-ROW(AM$15),0),
              ROUND(ROUND(OFFSET($P16,0,AM$13),15-13*ORÇAMENTO!$AF$7)*OFFSET(ORÇAMENTO!$W$15,ROW(AM16)-ROW(AM$15),0),15-13*ORÇAMENTO!$AF$11)),
         0)</f>
        <v>0</v>
      </c>
      <c r="AN16" s="453">
        <f ca="1">IF(AND($D16="Serviço",AN$12&lt;&gt;0,$H16&gt;0,OR(AUTOEVENTO&lt;&gt;"manual",$M16&lt;&gt;$A$15)),
        IF(Import.TipoArredondamento&lt;&gt;"TransfereGOV",
              ROUND(OFFSET($P16,0,AN$13),15-13*ORÇAMENTO!$AF$7)/$H16*OFFSET(ORÇAMENTO!$X$15,ROW(AN16)-ROW(AN$15),0),
              ROUND(ROUND(OFFSET($P16,0,AN$13),15-13*ORÇAMENTO!$AF$7)*OFFSET(ORÇAMENTO!$W$15,ROW(AN16)-ROW(AN$15),0),15-13*ORÇAMENTO!$AF$11)),
         0)</f>
        <v>0</v>
      </c>
      <c r="AO16" s="453">
        <f ca="1">IF(AND($D16="Serviço",AO$12&lt;&gt;0,$H16&gt;0,OR(AUTOEVENTO&lt;&gt;"manual",$M16&lt;&gt;$A$15)),
        IF(Import.TipoArredondamento&lt;&gt;"TransfereGOV",
              ROUND(OFFSET($P16,0,AO$13),15-13*ORÇAMENTO!$AF$7)/$H16*OFFSET(ORÇAMENTO!$X$15,ROW(AO16)-ROW(AO$15),0),
              ROUND(ROUND(OFFSET($P16,0,AO$13),15-13*ORÇAMENTO!$AF$7)*OFFSET(ORÇAMENTO!$W$15,ROW(AO16)-ROW(AO$15),0),15-13*ORÇAMENTO!$AF$11)),
         0)</f>
        <v>0</v>
      </c>
      <c r="AP16" s="453">
        <f ca="1">IF(AND($D16="Serviço",AP$12&lt;&gt;0,$H16&gt;0,OR(AUTOEVENTO&lt;&gt;"manual",$M16&lt;&gt;$A$15)),
        IF(Import.TipoArredondamento&lt;&gt;"TransfereGOV",
              ROUND(OFFSET($P16,0,AP$13),15-13*ORÇAMENTO!$AF$7)/$H16*OFFSET(ORÇAMENTO!$X$15,ROW(AP16)-ROW(AP$15),0),
              ROUND(ROUND(OFFSET($P16,0,AP$13),15-13*ORÇAMENTO!$AF$7)*OFFSET(ORÇAMENTO!$W$15,ROW(AP16)-ROW(AP$15),0),15-13*ORÇAMENTO!$AF$11)),
         0)</f>
        <v>0</v>
      </c>
      <c r="AQ16" s="453">
        <f ca="1">IF(AND($D16="Serviço",AQ$12&lt;&gt;0,$H16&gt;0,OR(AUTOEVENTO&lt;&gt;"manual",$M16&lt;&gt;$A$15)),
        IF(Import.TipoArredondamento&lt;&gt;"TransfereGOV",
              ROUND(OFFSET($P16,0,AQ$13),15-13*ORÇAMENTO!$AF$7)/$H16*OFFSET(ORÇAMENTO!$X$15,ROW(AQ16)-ROW(AQ$15),0),
              ROUND(ROUND(OFFSET($P16,0,AQ$13),15-13*ORÇAMENTO!$AF$7)*OFFSET(ORÇAMENTO!$W$15,ROW(AQ16)-ROW(AQ$15),0),15-13*ORÇAMENTO!$AF$11)),
         0)</f>
        <v>0</v>
      </c>
      <c r="AR16" s="453">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453">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453">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453">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453">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453">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453">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453">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453">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453">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C16" s="171">
        <f ca="1">IF(OR($D16&lt;&gt;"Serviço",AND(AUTOEVENTO="Manual",$M16=$A$15)),0,
         IF(OFFSET(CRONOPLE!$F$15,$M16-$A$15,BC$13)=0,10^12,OFFSET(CRONOPLE!$F$15,$M16-$A$15,BC$13)))</f>
        <v>0</v>
      </c>
      <c r="BD16" s="171">
        <f ca="1">IF(OR($D16&lt;&gt;"Serviço",AND(AUTOEVENTO="Manual",$M16=$A$15)),0,
         IF(OFFSET(CRONOPLE!$F$15,$M16-$A$15,BD$13)=0,10^12,OFFSET(CRONOPLE!$F$15,$M16-$A$15,BD$13)))</f>
        <v>0</v>
      </c>
      <c r="BE16" s="171">
        <f ca="1">IF(OR($D16&lt;&gt;"Serviço",AND(AUTOEVENTO="Manual",$M16=$A$15)),0,
         IF(OFFSET(CRONOPLE!$F$15,$M16-$A$15,BE$13)=0,10^12,OFFSET(CRONOPLE!$F$15,$M16-$A$15,BE$13)))</f>
        <v>0</v>
      </c>
      <c r="BF16" s="171">
        <f ca="1">IF(OR($D16&lt;&gt;"Serviço",AND(AUTOEVENTO="Manual",$M16=$A$15)),0,
         IF(OFFSET(CRONOPLE!$F$15,$M16-$A$15,BF$13)=0,10^12,OFFSET(CRONOPLE!$F$15,$M16-$A$15,BF$13)))</f>
        <v>0</v>
      </c>
      <c r="BG16" s="171">
        <f ca="1">IF(OR($D16&lt;&gt;"Serviço",AND(AUTOEVENTO="Manual",$M16=$A$15)),0,
         IF(OFFSET(CRONOPLE!$F$15,$M16-$A$15,BG$13)=0,10^12,OFFSET(CRONOPLE!$F$15,$M16-$A$15,BG$13)))</f>
        <v>0</v>
      </c>
      <c r="BH16" s="171">
        <f ca="1">IF(OR($D16&lt;&gt;"Serviço",AND(AUTOEVENTO="Manual",$M16=$A$15)),0,
         IF(OFFSET(CRONOPLE!$F$15,$M16-$A$15,BH$13)=0,10^12,OFFSET(CRONOPLE!$F$15,$M16-$A$15,BH$13)))</f>
        <v>0</v>
      </c>
      <c r="BI16" s="171">
        <f ca="1">IF(OR($D16&lt;&gt;"Serviço",AND(AUTOEVENTO="Manual",$M16=$A$15)),0,
         IF(OFFSET(CRONOPLE!$F$15,$M16-$A$15,BI$13)=0,10^12,OFFSET(CRONOPLE!$F$15,$M16-$A$15,BI$13)))</f>
        <v>0</v>
      </c>
      <c r="BJ16" s="171">
        <f ca="1">IF(OR($D16&lt;&gt;"Serviço",AND(AUTOEVENTO="Manual",$M16=$A$15)),0,
         IF(OFFSET(CRONOPLE!$F$15,$M16-$A$15,BJ$13)=0,10^12,OFFSET(CRONOPLE!$F$15,$M16-$A$15,BJ$13)))</f>
        <v>0</v>
      </c>
      <c r="BK16" s="171">
        <f ca="1">IF(OR($D16&lt;&gt;"Serviço",AND(AUTOEVENTO="Manual",$M16=$A$15)),0,
         IF(OFFSET(CRONOPLE!$F$15,$M16-$A$15,BK$13)=0,10^12,OFFSET(CRONOPLE!$F$15,$M16-$A$15,BK$13)))</f>
        <v>0</v>
      </c>
      <c r="BL16" s="171">
        <f ca="1">IF(OR($D16&lt;&gt;"Serviço",AND(AUTOEVENTO="Manual",$M16=$A$15)),0,
         IF(OFFSET(CRONOPLE!$F$15,$M16-$A$15,BL$13)=0,10^12,OFFSET(CRONOPLE!$F$15,$M16-$A$15,BL$13)))</f>
        <v>0</v>
      </c>
      <c r="BM16" s="171">
        <f ca="1">IF(OR($D16&lt;&gt;"Serviço",AND(AUTOEVENTO="Manual",$M16=$A$15)),0,
         IF(OFFSET(CRONOPLE!$F$15,$M16-$A$15,BM$13)=0,10^12,OFFSET(CRONOPLE!$F$15,$M16-$A$15,BM$13)))</f>
        <v>0</v>
      </c>
      <c r="BN16" s="171">
        <f ca="1">IF(OR($D16&lt;&gt;"Serviço",AND(AUTOEVENTO="Manual",$M16=$A$15)),0,
         IF(OFFSET(CRONOPLE!$F$15,$M16-$A$15,BN$13)=0,10^12,OFFSET(CRONOPLE!$F$15,$M16-$A$15,BN$13)))</f>
        <v>0</v>
      </c>
      <c r="BO16" s="171">
        <f ca="1">IF(OR($D16&lt;&gt;"Serviço",AND(AUTOEVENTO="Manual",$M16=$A$15)),0,
         IF(OFFSET(CRONOPLE!$F$15,$M16-$A$15,BO$13)=0,10^12,OFFSET(CRONOPLE!$F$15,$M16-$A$15,BO$13)))</f>
        <v>0</v>
      </c>
      <c r="BP16" s="171">
        <f ca="1">IF(OR($D16&lt;&gt;"Serviço",AND(AUTOEVENTO="Manual",$M16=$A$15)),0,
         IF(OFFSET(CRONOPLE!$F$15,$M16-$A$15,BP$13)=0,10^12,OFFSET(CRONOPLE!$F$15,$M16-$A$15,BP$13)))</f>
        <v>0</v>
      </c>
      <c r="BQ16" s="171">
        <f ca="1">IF(OR($D16&lt;&gt;"Serviço",AND(AUTOEVENTO="Manual",$M16=$A$15)),0,
         IF(OFFSET(CRONOPLE!$F$15,$M16-$A$15,BQ$13)=0,10^12,OFFSET(CRONOPLE!$F$15,$M16-$A$15,BQ$13)))</f>
        <v>0</v>
      </c>
      <c r="BR16" s="171">
        <f ca="1">IF(OR($D16&lt;&gt;"Serviço",AND(AUTOEVENTO="Manual",$M16=$A$15)),0,
         IF(OFFSET(CRONOPLE!$F$15,$M16-$A$15,BR$13)=0,10^12,OFFSET(CRONOPLE!$F$15,$M16-$A$15,BR$13)))</f>
        <v>0</v>
      </c>
      <c r="BS16" s="171">
        <f ca="1">IF(OR($D16&lt;&gt;"Serviço",AND(AUTOEVENTO="Manual",$M16=$A$15)),0,
         IF(OFFSET(CRONOPLE!$F$15,$M16-$A$15,BS$13)=0,10^12,OFFSET(CRONOPLE!$F$15,$M16-$A$15,BS$13)))</f>
        <v>0</v>
      </c>
      <c r="BT16" s="171">
        <f ca="1">IF(OR($D16&lt;&gt;"Serviço",AND(AUTOEVENTO="Manual",$M16=$A$15)),0,
         IF(OFFSET(CRONOPLE!$F$15,$M16-$A$15,BT$13)=0,10^12,OFFSET(CRONOPLE!$F$15,$M16-$A$15,BT$13)))</f>
        <v>0</v>
      </c>
      <c r="BV16" s="172">
        <f ca="1">IF(OR($D16&lt;&gt;"Serviço",AND(AUTOEVENTO="Manual",$M16=$A$15),$M16&gt;(ROW(PLE.lastrow)-ROW(PLE.firstrow))),0,
           IF(OFFSET(PLE!$G$15,$M16-$A$15,BV$13)="",10^12,OFFSET(PLE!$G$15,$M16-$A$15,BV$13)))</f>
        <v>0</v>
      </c>
      <c r="BW16" s="172">
        <f ca="1">IF(OR($D16&lt;&gt;"Serviço",AND(AUTOEVENTO="Manual",$M16=$A$15),$M16&gt;(ROW(PLE.lastrow)-ROW(PLE.firstrow))),0,
           IF(OFFSET(PLE!$G$15,$M16-$A$15,BW$13)="",10^12,OFFSET(PLE!$G$15,$M16-$A$15,BW$13)))</f>
        <v>0</v>
      </c>
      <c r="BX16" s="172">
        <f ca="1">IF(OR($D16&lt;&gt;"Serviço",AND(AUTOEVENTO="Manual",$M16=$A$15),$M16&gt;(ROW(PLE.lastrow)-ROW(PLE.firstrow))),0,
           IF(OFFSET(PLE!$G$15,$M16-$A$15,BX$13)="",10^12,OFFSET(PLE!$G$15,$M16-$A$15,BX$13)))</f>
        <v>0</v>
      </c>
      <c r="BY16" s="172">
        <f ca="1">IF(OR($D16&lt;&gt;"Serviço",AND(AUTOEVENTO="Manual",$M16=$A$15),$M16&gt;(ROW(PLE.lastrow)-ROW(PLE.firstrow))),0,
           IF(OFFSET(PLE!$G$15,$M16-$A$15,BY$13)="",10^12,OFFSET(PLE!$G$15,$M16-$A$15,BY$13)))</f>
        <v>0</v>
      </c>
      <c r="BZ16" s="172">
        <f ca="1">IF(OR($D16&lt;&gt;"Serviço",AND(AUTOEVENTO="Manual",$M16=$A$15),$M16&gt;(ROW(PLE.lastrow)-ROW(PLE.firstrow))),0,
           IF(OFFSET(PLE!$G$15,$M16-$A$15,BZ$13)="",10^12,OFFSET(PLE!$G$15,$M16-$A$15,BZ$13)))</f>
        <v>0</v>
      </c>
      <c r="CA16" s="172">
        <f ca="1">IF(OR($D16&lt;&gt;"Serviço",AND(AUTOEVENTO="Manual",$M16=$A$15),$M16&gt;(ROW(PLE.lastrow)-ROW(PLE.firstrow))),0,
           IF(OFFSET(PLE!$G$15,$M16-$A$15,CA$13)="",10^12,OFFSET(PLE!$G$15,$M16-$A$15,CA$13)))</f>
        <v>0</v>
      </c>
      <c r="CB16" s="172">
        <f ca="1">IF(OR($D16&lt;&gt;"Serviço",AND(AUTOEVENTO="Manual",$M16=$A$15),$M16&gt;(ROW(PLE.lastrow)-ROW(PLE.firstrow))),0,
           IF(OFFSET(PLE!$G$15,$M16-$A$15,CB$13)="",10^12,OFFSET(PLE!$G$15,$M16-$A$15,CB$13)))</f>
        <v>0</v>
      </c>
      <c r="CC16" s="172">
        <f ca="1">IF(OR($D16&lt;&gt;"Serviço",AND(AUTOEVENTO="Manual",$M16=$A$15),$M16&gt;(ROW(PLE.lastrow)-ROW(PLE.firstrow))),0,
           IF(OFFSET(PLE!$G$15,$M16-$A$15,CC$13)="",10^12,OFFSET(PLE!$G$15,$M16-$A$15,CC$13)))</f>
        <v>0</v>
      </c>
      <c r="CD16" s="172">
        <f ca="1">IF(OR($D16&lt;&gt;"Serviço",AND(AUTOEVENTO="Manual",$M16=$A$15),$M16&gt;(ROW(PLE.lastrow)-ROW(PLE.firstrow))),0,
           IF(OFFSET(PLE!$G$15,$M16-$A$15,CD$13)="",10^12,OFFSET(PLE!$G$15,$M16-$A$15,CD$13)))</f>
        <v>0</v>
      </c>
      <c r="CE16" s="172">
        <f ca="1">IF(OR($D16&lt;&gt;"Serviço",AND(AUTOEVENTO="Manual",$M16=$A$15),$M16&gt;(ROW(PLE.lastrow)-ROW(PLE.firstrow))),0,
           IF(OFFSET(PLE!$G$15,$M16-$A$15,CE$13)="",10^12,OFFSET(PLE!$G$15,$M16-$A$15,CE$13)))</f>
        <v>0</v>
      </c>
      <c r="CF16" s="172">
        <f ca="1">IF(OR($D16&lt;&gt;"Serviço",AND(AUTOEVENTO="Manual",$M16=$A$15),$M16&gt;(ROW(PLE.lastrow)-ROW(PLE.firstrow))),0,
           IF(OFFSET(PLE!$G$15,$M16-$A$15,CF$13)="",10^12,OFFSET(PLE!$G$15,$M16-$A$15,CF$13)))</f>
        <v>0</v>
      </c>
      <c r="CG16" s="172">
        <f ca="1">IF(OR($D16&lt;&gt;"Serviço",AND(AUTOEVENTO="Manual",$M16=$A$15),$M16&gt;(ROW(PLE.lastrow)-ROW(PLE.firstrow))),0,
           IF(OFFSET(PLE!$G$15,$M16-$A$15,CG$13)="",10^12,OFFSET(PLE!$G$15,$M16-$A$15,CG$13)))</f>
        <v>0</v>
      </c>
      <c r="CH16" s="172">
        <f ca="1">IF(OR($D16&lt;&gt;"Serviço",AND(AUTOEVENTO="Manual",$M16=$A$15),$M16&gt;(ROW(PLE.lastrow)-ROW(PLE.firstrow))),0,
           IF(OFFSET(PLE!$G$15,$M16-$A$15,CH$13)="",10^12,OFFSET(PLE!$G$15,$M16-$A$15,CH$13)))</f>
        <v>0</v>
      </c>
      <c r="CI16" s="172">
        <f ca="1">IF(OR($D16&lt;&gt;"Serviço",AND(AUTOEVENTO="Manual",$M16=$A$15),$M16&gt;(ROW(PLE.lastrow)-ROW(PLE.firstrow))),0,
           IF(OFFSET(PLE!$G$15,$M16-$A$15,CI$13)="",10^12,OFFSET(PLE!$G$15,$M16-$A$15,CI$13)))</f>
        <v>0</v>
      </c>
      <c r="CJ16" s="172">
        <f ca="1">IF(OR($D16&lt;&gt;"Serviço",AND(AUTOEVENTO="Manual",$M16=$A$15),$M16&gt;(ROW(PLE.lastrow)-ROW(PLE.firstrow))),0,
           IF(OFFSET(PLE!$G$15,$M16-$A$15,CJ$13)="",10^12,OFFSET(PLE!$G$15,$M16-$A$15,CJ$13)))</f>
        <v>0</v>
      </c>
      <c r="CK16" s="172">
        <f ca="1">IF(OR($D16&lt;&gt;"Serviço",AND(AUTOEVENTO="Manual",$M16=$A$15),$M16&gt;(ROW(PLE.lastrow)-ROW(PLE.firstrow))),0,
           IF(OFFSET(PLE!$G$15,$M16-$A$15,CK$13)="",10^12,OFFSET(PLE!$G$15,$M16-$A$15,CK$13)))</f>
        <v>0</v>
      </c>
      <c r="CL16" s="172">
        <f ca="1">IF(OR($D16&lt;&gt;"Serviço",AND(AUTOEVENTO="Manual",$M16=$A$15),$M16&gt;(ROW(PLE.lastrow)-ROW(PLE.firstrow))),0,
           IF(OFFSET(PLE!$G$15,$M16-$A$15,CL$13)="",10^12,OFFSET(PLE!$G$15,$M16-$A$15,CL$13)))</f>
        <v>0</v>
      </c>
      <c r="CM16" s="172">
        <f ca="1">IF(OR($D16&lt;&gt;"Serviço",AND(AUTOEVENTO="Manual",$M16=$A$15),$M16&gt;(ROW(PLE.lastrow)-ROW(PLE.firstrow))),0,
           IF(OFFSET(PLE!$G$15,$M16-$A$15,CM$13)="",10^12,OFFSET(PLE!$G$15,$M16-$A$15,CM$13)))</f>
        <v>0</v>
      </c>
    </row>
    <row r="17" spans="1:91" ht="13.2" x14ac:dyDescent="0.25">
      <c r="A17" s="7" t="str">
        <f t="shared" ca="1" si="11"/>
        <v>2.</v>
      </c>
      <c r="B17" s="7">
        <f ca="1">OFFSET(ORÇAMENTO!C$15,ROW(B17)-ROW(B$15),0)</f>
        <v>2</v>
      </c>
      <c r="C17" s="7" t="str">
        <f ca="1">OFFSET(ORÇAMENTO!L$15,ROW(C17)-ROW(C$15),0)</f>
        <v>F</v>
      </c>
      <c r="D17" s="116" t="str">
        <f ca="1">OFFSET(ORÇAMENTO!N$15,ROW(D17)-ROW(D$15),0)</f>
        <v>Nível 2</v>
      </c>
      <c r="E17" s="117" t="str">
        <f ca="1">OFFSET(ORÇAMENTO!O$15,ROW(E17)-ROW(E$15),0)</f>
        <v>1.1.</v>
      </c>
      <c r="F17" s="163" t="str">
        <f ca="1">OFFSET(ORÇAMENTO!R$15,ROW(F17)-ROW(F$15),0)</f>
        <v>SERVIÇOS INICIAIS</v>
      </c>
      <c r="G17" s="164" t="str">
        <f ca="1">IF($D17&lt;&gt;"Serviço","",OFFSET(ORÇAMENTO!S$15,ROW(G17)-ROW(G$15),0))</f>
        <v/>
      </c>
      <c r="H17" s="122" cm="1">
        <f t="array" aca="1" ref="H17" ca="1">IF($D17&lt;&gt;"Serviço",0,IF(ACOMPANHAMENTO="BM",ROUND(OFFSET(ORÇAMENTO!AJ$15,ROW(H17)-ROW(H$15),0),15-13*ORÇAMENTO!$AF$7),SUMPRODUCT(($Q$1:$AI$1=1)*ROUND($Q17:$AI17,15-13*ORÇAMENTO!$AF$7))))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I$1=1)*ROUND(Q17:AI17,15))),"►S",IF(AND(COUNTIF($P$11:$AI$11,"▼")=0,H17&gt;0,I17=""),"◄M","")))))</f>
        <v/>
      </c>
      <c r="K17" s="652"/>
      <c r="L17" s="165" t="s">
        <v>764</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A17" s="169"/>
      <c r="AB17" s="169"/>
      <c r="AC17" s="169"/>
      <c r="AD17" s="169"/>
      <c r="AE17" s="169"/>
      <c r="AF17" s="169"/>
      <c r="AG17" s="169"/>
      <c r="AH17" s="170"/>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L17" s="453">
        <f ca="1">IF(AND($D17="Serviço",AL$12&lt;&gt;0,$H17&gt;0,OR(AUTOEVENTO&lt;&gt;"manual",$M17&lt;&gt;$A$15)),
        IF(Import.TipoArredondamento&lt;&gt;"TransfereGOV",
              ROUND(OFFSET($P17,0,AL$13),15-13*ORÇAMENTO!$AF$7)/$H17*OFFSET(ORÇAMENTO!$X$15,ROW(AL17)-ROW(AL$15),0),
              ROUND(ROUND(OFFSET($P17,0,AL$13),15-13*ORÇAMENTO!$AF$7)*OFFSET(ORÇAMENTO!$W$15,ROW(AL17)-ROW(AL$15),0),15-13*ORÇAMENTO!$AF$11)),
         0)</f>
        <v>0</v>
      </c>
      <c r="AM17" s="453">
        <f ca="1">IF(AND($D17="Serviço",AM$12&lt;&gt;0,$H17&gt;0,OR(AUTOEVENTO&lt;&gt;"manual",$M17&lt;&gt;$A$15)),
        IF(Import.TipoArredondamento&lt;&gt;"TransfereGOV",
              ROUND(OFFSET($P17,0,AM$13),15-13*ORÇAMENTO!$AF$7)/$H17*OFFSET(ORÇAMENTO!$X$15,ROW(AM17)-ROW(AM$15),0),
              ROUND(ROUND(OFFSET($P17,0,AM$13),15-13*ORÇAMENTO!$AF$7)*OFFSET(ORÇAMENTO!$W$15,ROW(AM17)-ROW(AM$15),0),15-13*ORÇAMENTO!$AF$11)),
         0)</f>
        <v>0</v>
      </c>
      <c r="AN17" s="453">
        <f ca="1">IF(AND($D17="Serviço",AN$12&lt;&gt;0,$H17&gt;0,OR(AUTOEVENTO&lt;&gt;"manual",$M17&lt;&gt;$A$15)),
        IF(Import.TipoArredondamento&lt;&gt;"TransfereGOV",
              ROUND(OFFSET($P17,0,AN$13),15-13*ORÇAMENTO!$AF$7)/$H17*OFFSET(ORÇAMENTO!$X$15,ROW(AN17)-ROW(AN$15),0),
              ROUND(ROUND(OFFSET($P17,0,AN$13),15-13*ORÇAMENTO!$AF$7)*OFFSET(ORÇAMENTO!$W$15,ROW(AN17)-ROW(AN$15),0),15-13*ORÇAMENTO!$AF$11)),
         0)</f>
        <v>0</v>
      </c>
      <c r="AO17" s="453">
        <f ca="1">IF(AND($D17="Serviço",AO$12&lt;&gt;0,$H17&gt;0,OR(AUTOEVENTO&lt;&gt;"manual",$M17&lt;&gt;$A$15)),
        IF(Import.TipoArredondamento&lt;&gt;"TransfereGOV",
              ROUND(OFFSET($P17,0,AO$13),15-13*ORÇAMENTO!$AF$7)/$H17*OFFSET(ORÇAMENTO!$X$15,ROW(AO17)-ROW(AO$15),0),
              ROUND(ROUND(OFFSET($P17,0,AO$13),15-13*ORÇAMENTO!$AF$7)*OFFSET(ORÇAMENTO!$W$15,ROW(AO17)-ROW(AO$15),0),15-13*ORÇAMENTO!$AF$11)),
         0)</f>
        <v>0</v>
      </c>
      <c r="AP17" s="453">
        <f ca="1">IF(AND($D17="Serviço",AP$12&lt;&gt;0,$H17&gt;0,OR(AUTOEVENTO&lt;&gt;"manual",$M17&lt;&gt;$A$15)),
        IF(Import.TipoArredondamento&lt;&gt;"TransfereGOV",
              ROUND(OFFSET($P17,0,AP$13),15-13*ORÇAMENTO!$AF$7)/$H17*OFFSET(ORÇAMENTO!$X$15,ROW(AP17)-ROW(AP$15),0),
              ROUND(ROUND(OFFSET($P17,0,AP$13),15-13*ORÇAMENTO!$AF$7)*OFFSET(ORÇAMENTO!$W$15,ROW(AP17)-ROW(AP$15),0),15-13*ORÇAMENTO!$AF$11)),
         0)</f>
        <v>0</v>
      </c>
      <c r="AQ17" s="453">
        <f ca="1">IF(AND($D17="Serviço",AQ$12&lt;&gt;0,$H17&gt;0,OR(AUTOEVENTO&lt;&gt;"manual",$M17&lt;&gt;$A$15)),
        IF(Import.TipoArredondamento&lt;&gt;"TransfereGOV",
              ROUND(OFFSET($P17,0,AQ$13),15-13*ORÇAMENTO!$AF$7)/$H17*OFFSET(ORÇAMENTO!$X$15,ROW(AQ17)-ROW(AQ$15),0),
              ROUND(ROUND(OFFSET($P17,0,AQ$13),15-13*ORÇAMENTO!$AF$7)*OFFSET(ORÇAMENTO!$W$15,ROW(AQ17)-ROW(AQ$15),0),15-13*ORÇAMENTO!$AF$11)),
         0)</f>
        <v>0</v>
      </c>
      <c r="AR17" s="453">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453">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453">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453">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453">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453">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453">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453">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453">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453">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C17" s="171">
        <f ca="1">IF(OR($D17&lt;&gt;"Serviço",AND(AUTOEVENTO="Manual",$M17=$A$15)),0,
         IF(OFFSET(CRONOPLE!$F$15,$M17-$A$15,BC$13)=0,10^12,OFFSET(CRONOPLE!$F$15,$M17-$A$15,BC$13)))</f>
        <v>0</v>
      </c>
      <c r="BD17" s="171">
        <f ca="1">IF(OR($D17&lt;&gt;"Serviço",AND(AUTOEVENTO="Manual",$M17=$A$15)),0,
         IF(OFFSET(CRONOPLE!$F$15,$M17-$A$15,BD$13)=0,10^12,OFFSET(CRONOPLE!$F$15,$M17-$A$15,BD$13)))</f>
        <v>0</v>
      </c>
      <c r="BE17" s="171">
        <f ca="1">IF(OR($D17&lt;&gt;"Serviço",AND(AUTOEVENTO="Manual",$M17=$A$15)),0,
         IF(OFFSET(CRONOPLE!$F$15,$M17-$A$15,BE$13)=0,10^12,OFFSET(CRONOPLE!$F$15,$M17-$A$15,BE$13)))</f>
        <v>0</v>
      </c>
      <c r="BF17" s="171">
        <f ca="1">IF(OR($D17&lt;&gt;"Serviço",AND(AUTOEVENTO="Manual",$M17=$A$15)),0,
         IF(OFFSET(CRONOPLE!$F$15,$M17-$A$15,BF$13)=0,10^12,OFFSET(CRONOPLE!$F$15,$M17-$A$15,BF$13)))</f>
        <v>0</v>
      </c>
      <c r="BG17" s="171">
        <f ca="1">IF(OR($D17&lt;&gt;"Serviço",AND(AUTOEVENTO="Manual",$M17=$A$15)),0,
         IF(OFFSET(CRONOPLE!$F$15,$M17-$A$15,BG$13)=0,10^12,OFFSET(CRONOPLE!$F$15,$M17-$A$15,BG$13)))</f>
        <v>0</v>
      </c>
      <c r="BH17" s="171">
        <f ca="1">IF(OR($D17&lt;&gt;"Serviço",AND(AUTOEVENTO="Manual",$M17=$A$15)),0,
         IF(OFFSET(CRONOPLE!$F$15,$M17-$A$15,BH$13)=0,10^12,OFFSET(CRONOPLE!$F$15,$M17-$A$15,BH$13)))</f>
        <v>0</v>
      </c>
      <c r="BI17" s="171">
        <f ca="1">IF(OR($D17&lt;&gt;"Serviço",AND(AUTOEVENTO="Manual",$M17=$A$15)),0,
         IF(OFFSET(CRONOPLE!$F$15,$M17-$A$15,BI$13)=0,10^12,OFFSET(CRONOPLE!$F$15,$M17-$A$15,BI$13)))</f>
        <v>0</v>
      </c>
      <c r="BJ17" s="171">
        <f ca="1">IF(OR($D17&lt;&gt;"Serviço",AND(AUTOEVENTO="Manual",$M17=$A$15)),0,
         IF(OFFSET(CRONOPLE!$F$15,$M17-$A$15,BJ$13)=0,10^12,OFFSET(CRONOPLE!$F$15,$M17-$A$15,BJ$13)))</f>
        <v>0</v>
      </c>
      <c r="BK17" s="171">
        <f ca="1">IF(OR($D17&lt;&gt;"Serviço",AND(AUTOEVENTO="Manual",$M17=$A$15)),0,
         IF(OFFSET(CRONOPLE!$F$15,$M17-$A$15,BK$13)=0,10^12,OFFSET(CRONOPLE!$F$15,$M17-$A$15,BK$13)))</f>
        <v>0</v>
      </c>
      <c r="BL17" s="171">
        <f ca="1">IF(OR($D17&lt;&gt;"Serviço",AND(AUTOEVENTO="Manual",$M17=$A$15)),0,
         IF(OFFSET(CRONOPLE!$F$15,$M17-$A$15,BL$13)=0,10^12,OFFSET(CRONOPLE!$F$15,$M17-$A$15,BL$13)))</f>
        <v>0</v>
      </c>
      <c r="BM17" s="171">
        <f ca="1">IF(OR($D17&lt;&gt;"Serviço",AND(AUTOEVENTO="Manual",$M17=$A$15)),0,
         IF(OFFSET(CRONOPLE!$F$15,$M17-$A$15,BM$13)=0,10^12,OFFSET(CRONOPLE!$F$15,$M17-$A$15,BM$13)))</f>
        <v>0</v>
      </c>
      <c r="BN17" s="171">
        <f ca="1">IF(OR($D17&lt;&gt;"Serviço",AND(AUTOEVENTO="Manual",$M17=$A$15)),0,
         IF(OFFSET(CRONOPLE!$F$15,$M17-$A$15,BN$13)=0,10^12,OFFSET(CRONOPLE!$F$15,$M17-$A$15,BN$13)))</f>
        <v>0</v>
      </c>
      <c r="BO17" s="171">
        <f ca="1">IF(OR($D17&lt;&gt;"Serviço",AND(AUTOEVENTO="Manual",$M17=$A$15)),0,
         IF(OFFSET(CRONOPLE!$F$15,$M17-$A$15,BO$13)=0,10^12,OFFSET(CRONOPLE!$F$15,$M17-$A$15,BO$13)))</f>
        <v>0</v>
      </c>
      <c r="BP17" s="171">
        <f ca="1">IF(OR($D17&lt;&gt;"Serviço",AND(AUTOEVENTO="Manual",$M17=$A$15)),0,
         IF(OFFSET(CRONOPLE!$F$15,$M17-$A$15,BP$13)=0,10^12,OFFSET(CRONOPLE!$F$15,$M17-$A$15,BP$13)))</f>
        <v>0</v>
      </c>
      <c r="BQ17" s="171">
        <f ca="1">IF(OR($D17&lt;&gt;"Serviço",AND(AUTOEVENTO="Manual",$M17=$A$15)),0,
         IF(OFFSET(CRONOPLE!$F$15,$M17-$A$15,BQ$13)=0,10^12,OFFSET(CRONOPLE!$F$15,$M17-$A$15,BQ$13)))</f>
        <v>0</v>
      </c>
      <c r="BR17" s="171">
        <f ca="1">IF(OR($D17&lt;&gt;"Serviço",AND(AUTOEVENTO="Manual",$M17=$A$15)),0,
         IF(OFFSET(CRONOPLE!$F$15,$M17-$A$15,BR$13)=0,10^12,OFFSET(CRONOPLE!$F$15,$M17-$A$15,BR$13)))</f>
        <v>0</v>
      </c>
      <c r="BS17" s="171">
        <f ca="1">IF(OR($D17&lt;&gt;"Serviço",AND(AUTOEVENTO="Manual",$M17=$A$15)),0,
         IF(OFFSET(CRONOPLE!$F$15,$M17-$A$15,BS$13)=0,10^12,OFFSET(CRONOPLE!$F$15,$M17-$A$15,BS$13)))</f>
        <v>0</v>
      </c>
      <c r="BT17" s="171">
        <f ca="1">IF(OR($D17&lt;&gt;"Serviço",AND(AUTOEVENTO="Manual",$M17=$A$15)),0,
         IF(OFFSET(CRONOPLE!$F$15,$M17-$A$15,BT$13)=0,10^12,OFFSET(CRONOPLE!$F$15,$M17-$A$15,BT$13)))</f>
        <v>0</v>
      </c>
      <c r="BV17" s="172">
        <f ca="1">IF(OR($D17&lt;&gt;"Serviço",AND(AUTOEVENTO="Manual",$M17=$A$15),$M17&gt;(ROW(PLE.lastrow)-ROW(PLE.firstrow))),0,
           IF(OFFSET(PLE!$G$15,$M17-$A$15,BV$13)="",10^12,OFFSET(PLE!$G$15,$M17-$A$15,BV$13)))</f>
        <v>0</v>
      </c>
      <c r="BW17" s="172">
        <f ca="1">IF(OR($D17&lt;&gt;"Serviço",AND(AUTOEVENTO="Manual",$M17=$A$15),$M17&gt;(ROW(PLE.lastrow)-ROW(PLE.firstrow))),0,
           IF(OFFSET(PLE!$G$15,$M17-$A$15,BW$13)="",10^12,OFFSET(PLE!$G$15,$M17-$A$15,BW$13)))</f>
        <v>0</v>
      </c>
      <c r="BX17" s="172">
        <f ca="1">IF(OR($D17&lt;&gt;"Serviço",AND(AUTOEVENTO="Manual",$M17=$A$15),$M17&gt;(ROW(PLE.lastrow)-ROW(PLE.firstrow))),0,
           IF(OFFSET(PLE!$G$15,$M17-$A$15,BX$13)="",10^12,OFFSET(PLE!$G$15,$M17-$A$15,BX$13)))</f>
        <v>0</v>
      </c>
      <c r="BY17" s="172">
        <f ca="1">IF(OR($D17&lt;&gt;"Serviço",AND(AUTOEVENTO="Manual",$M17=$A$15),$M17&gt;(ROW(PLE.lastrow)-ROW(PLE.firstrow))),0,
           IF(OFFSET(PLE!$G$15,$M17-$A$15,BY$13)="",10^12,OFFSET(PLE!$G$15,$M17-$A$15,BY$13)))</f>
        <v>0</v>
      </c>
      <c r="BZ17" s="172">
        <f ca="1">IF(OR($D17&lt;&gt;"Serviço",AND(AUTOEVENTO="Manual",$M17=$A$15),$M17&gt;(ROW(PLE.lastrow)-ROW(PLE.firstrow))),0,
           IF(OFFSET(PLE!$G$15,$M17-$A$15,BZ$13)="",10^12,OFFSET(PLE!$G$15,$M17-$A$15,BZ$13)))</f>
        <v>0</v>
      </c>
      <c r="CA17" s="172">
        <f ca="1">IF(OR($D17&lt;&gt;"Serviço",AND(AUTOEVENTO="Manual",$M17=$A$15),$M17&gt;(ROW(PLE.lastrow)-ROW(PLE.firstrow))),0,
           IF(OFFSET(PLE!$G$15,$M17-$A$15,CA$13)="",10^12,OFFSET(PLE!$G$15,$M17-$A$15,CA$13)))</f>
        <v>0</v>
      </c>
      <c r="CB17" s="172">
        <f ca="1">IF(OR($D17&lt;&gt;"Serviço",AND(AUTOEVENTO="Manual",$M17=$A$15),$M17&gt;(ROW(PLE.lastrow)-ROW(PLE.firstrow))),0,
           IF(OFFSET(PLE!$G$15,$M17-$A$15,CB$13)="",10^12,OFFSET(PLE!$G$15,$M17-$A$15,CB$13)))</f>
        <v>0</v>
      </c>
      <c r="CC17" s="172">
        <f ca="1">IF(OR($D17&lt;&gt;"Serviço",AND(AUTOEVENTO="Manual",$M17=$A$15),$M17&gt;(ROW(PLE.lastrow)-ROW(PLE.firstrow))),0,
           IF(OFFSET(PLE!$G$15,$M17-$A$15,CC$13)="",10^12,OFFSET(PLE!$G$15,$M17-$A$15,CC$13)))</f>
        <v>0</v>
      </c>
      <c r="CD17" s="172">
        <f ca="1">IF(OR($D17&lt;&gt;"Serviço",AND(AUTOEVENTO="Manual",$M17=$A$15),$M17&gt;(ROW(PLE.lastrow)-ROW(PLE.firstrow))),0,
           IF(OFFSET(PLE!$G$15,$M17-$A$15,CD$13)="",10^12,OFFSET(PLE!$G$15,$M17-$A$15,CD$13)))</f>
        <v>0</v>
      </c>
      <c r="CE17" s="172">
        <f ca="1">IF(OR($D17&lt;&gt;"Serviço",AND(AUTOEVENTO="Manual",$M17=$A$15),$M17&gt;(ROW(PLE.lastrow)-ROW(PLE.firstrow))),0,
           IF(OFFSET(PLE!$G$15,$M17-$A$15,CE$13)="",10^12,OFFSET(PLE!$G$15,$M17-$A$15,CE$13)))</f>
        <v>0</v>
      </c>
      <c r="CF17" s="172">
        <f ca="1">IF(OR($D17&lt;&gt;"Serviço",AND(AUTOEVENTO="Manual",$M17=$A$15),$M17&gt;(ROW(PLE.lastrow)-ROW(PLE.firstrow))),0,
           IF(OFFSET(PLE!$G$15,$M17-$A$15,CF$13)="",10^12,OFFSET(PLE!$G$15,$M17-$A$15,CF$13)))</f>
        <v>0</v>
      </c>
      <c r="CG17" s="172">
        <f ca="1">IF(OR($D17&lt;&gt;"Serviço",AND(AUTOEVENTO="Manual",$M17=$A$15),$M17&gt;(ROW(PLE.lastrow)-ROW(PLE.firstrow))),0,
           IF(OFFSET(PLE!$G$15,$M17-$A$15,CG$13)="",10^12,OFFSET(PLE!$G$15,$M17-$A$15,CG$13)))</f>
        <v>0</v>
      </c>
      <c r="CH17" s="172">
        <f ca="1">IF(OR($D17&lt;&gt;"Serviço",AND(AUTOEVENTO="Manual",$M17=$A$15),$M17&gt;(ROW(PLE.lastrow)-ROW(PLE.firstrow))),0,
           IF(OFFSET(PLE!$G$15,$M17-$A$15,CH$13)="",10^12,OFFSET(PLE!$G$15,$M17-$A$15,CH$13)))</f>
        <v>0</v>
      </c>
      <c r="CI17" s="172">
        <f ca="1">IF(OR($D17&lt;&gt;"Serviço",AND(AUTOEVENTO="Manual",$M17=$A$15),$M17&gt;(ROW(PLE.lastrow)-ROW(PLE.firstrow))),0,
           IF(OFFSET(PLE!$G$15,$M17-$A$15,CI$13)="",10^12,OFFSET(PLE!$G$15,$M17-$A$15,CI$13)))</f>
        <v>0</v>
      </c>
      <c r="CJ17" s="172">
        <f ca="1">IF(OR($D17&lt;&gt;"Serviço",AND(AUTOEVENTO="Manual",$M17=$A$15),$M17&gt;(ROW(PLE.lastrow)-ROW(PLE.firstrow))),0,
           IF(OFFSET(PLE!$G$15,$M17-$A$15,CJ$13)="",10^12,OFFSET(PLE!$G$15,$M17-$A$15,CJ$13)))</f>
        <v>0</v>
      </c>
      <c r="CK17" s="172">
        <f ca="1">IF(OR($D17&lt;&gt;"Serviço",AND(AUTOEVENTO="Manual",$M17=$A$15),$M17&gt;(ROW(PLE.lastrow)-ROW(PLE.firstrow))),0,
           IF(OFFSET(PLE!$G$15,$M17-$A$15,CK$13)="",10^12,OFFSET(PLE!$G$15,$M17-$A$15,CK$13)))</f>
        <v>0</v>
      </c>
      <c r="CL17" s="172">
        <f ca="1">IF(OR($D17&lt;&gt;"Serviço",AND(AUTOEVENTO="Manual",$M17=$A$15),$M17&gt;(ROW(PLE.lastrow)-ROW(PLE.firstrow))),0,
           IF(OFFSET(PLE!$G$15,$M17-$A$15,CL$13)="",10^12,OFFSET(PLE!$G$15,$M17-$A$15,CL$13)))</f>
        <v>0</v>
      </c>
      <c r="CM17" s="172">
        <f ca="1">IF(OR($D17&lt;&gt;"Serviço",AND(AUTOEVENTO="Manual",$M17=$A$15),$M17&gt;(ROW(PLE.lastrow)-ROW(PLE.firstrow))),0,
           IF(OFFSET(PLE!$G$15,$M17-$A$15,CM$13)="",10^12,OFFSET(PLE!$G$15,$M17-$A$15,CM$13)))</f>
        <v>0</v>
      </c>
    </row>
    <row r="18" spans="1:91" ht="26.4" x14ac:dyDescent="0.25">
      <c r="A18" s="7" t="str">
        <f t="shared" ca="1" si="11"/>
        <v>2</v>
      </c>
      <c r="B18" s="7" t="str">
        <f ca="1">OFFSET(ORÇAMENTO!C$15,ROW(B18)-ROW(B$15),0)</f>
        <v>S</v>
      </c>
      <c r="C18" s="7" t="str">
        <f ca="1">OFFSET(ORÇAMENTO!L$15,ROW(C18)-ROW(C$15),0)</f>
        <v>F</v>
      </c>
      <c r="D18" s="116" t="str">
        <f ca="1">OFFSET(ORÇAMENTO!N$15,ROW(D18)-ROW(D$15),0)</f>
        <v>Serviço</v>
      </c>
      <c r="E18" s="117" t="str">
        <f ca="1">OFFSET(ORÇAMENTO!O$15,ROW(E18)-ROW(E$15),0)</f>
        <v>1.1.1.</v>
      </c>
      <c r="F18" s="163" t="str">
        <f ca="1">OFFSET(ORÇAMENTO!R$15,ROW(F18)-ROW(F$15),0)</f>
        <v>FORNECIMENTO E INSTALAÇÃO DE PLACA DE OBRA COM CHAPA GALVANIZADA E ESTRUTURA EM MADEIRA</v>
      </c>
      <c r="G18" s="164" t="str">
        <f ca="1">IF($D18&lt;&gt;"Serviço","",OFFSET(ORÇAMENTO!S$15,ROW(G18)-ROW(G$15),0))</f>
        <v>M2</v>
      </c>
      <c r="H18" s="122" cm="1">
        <f t="array" aca="1" ref="H18" ca="1">IF($D18&lt;&gt;"Serviço",0,IF(ACOMPANHAMENTO="BM",ROUND(OFFSET(ORÇAMENTO!AJ$15,ROW(H18)-ROW(H$15),0),15-13*ORÇAMENTO!$AF$7),SUMPRODUCT(($Q$1:$AI$1=1)*ROUND($Q18:$AI18,15-13*ORÇAMENTO!$AF$7))))</f>
        <v>6</v>
      </c>
      <c r="I18" s="468"/>
      <c r="J18" s="651" t="e" cm="1">
        <f t="array" aca="1" ref="J18" ca="1">IF(OR(B18&lt;&gt;"S",CÁLCULO.FrentesPreenchidas=0),"",IF(AND(ACOMPANHAMENTO="PLE",AUTOEVENTO="Manual",OR(H18&gt;0,ORÇAMENTO!AC18="QUANT."),OR(K18="",M18=0,N18="")),"►E",IF(AND(ACOMPANHAMENTO="PLE",ORÇAMENTO!AC18="QUANT."),"►Q",IF(AND(ACOMPANHAMENTO="PLE",H18&lt;&gt;SUMPRODUCT(($Q$1:$AI$1=1)*ROUND(Q18:AI18,15))),"►S",IF(AND(COUNTIF($P$11:$AI$11,"▼")=0,H18&gt;0,I18=""),"◄M","")))))</f>
        <v>#NAME?</v>
      </c>
      <c r="K18" s="652"/>
      <c r="L18" s="165" t="s">
        <v>764</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INICIAIS</v>
      </c>
      <c r="O18" s="168"/>
      <c r="Q18" s="168">
        <f>3*2</f>
        <v>6</v>
      </c>
      <c r="R18" s="169"/>
      <c r="S18" s="169"/>
      <c r="T18" s="169"/>
      <c r="U18" s="169"/>
      <c r="V18" s="169"/>
      <c r="W18" s="169"/>
      <c r="X18" s="169"/>
      <c r="Y18" s="169"/>
      <c r="Z18" s="170"/>
      <c r="AA18" s="169"/>
      <c r="AB18" s="169"/>
      <c r="AC18" s="169"/>
      <c r="AD18" s="169"/>
      <c r="AE18" s="169"/>
      <c r="AF18" s="169"/>
      <c r="AG18" s="169"/>
      <c r="AH18" s="170"/>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3408.78</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L18" s="453">
        <f ca="1">IF(AND($D18="Serviço",AL$12&lt;&gt;0,$H18&gt;0,OR(AUTOEVENTO&lt;&gt;"manual",$M18&lt;&gt;$A$15)),
        IF(Import.TipoArredondamento&lt;&gt;"TransfereGOV",
              ROUND(OFFSET($P18,0,AL$13),15-13*ORÇAMENTO!$AF$7)/$H18*OFFSET(ORÇAMENTO!$X$15,ROW(AL18)-ROW(AL$15),0),
              ROUND(ROUND(OFFSET($P18,0,AL$13),15-13*ORÇAMENTO!$AF$7)*OFFSET(ORÇAMENTO!$W$15,ROW(AL18)-ROW(AL$15),0),15-13*ORÇAMENTO!$AF$11)),
         0)</f>
        <v>0</v>
      </c>
      <c r="AM18" s="453">
        <f ca="1">IF(AND($D18="Serviço",AM$12&lt;&gt;0,$H18&gt;0,OR(AUTOEVENTO&lt;&gt;"manual",$M18&lt;&gt;$A$15)),
        IF(Import.TipoArredondamento&lt;&gt;"TransfereGOV",
              ROUND(OFFSET($P18,0,AM$13),15-13*ORÇAMENTO!$AF$7)/$H18*OFFSET(ORÇAMENTO!$X$15,ROW(AM18)-ROW(AM$15),0),
              ROUND(ROUND(OFFSET($P18,0,AM$13),15-13*ORÇAMENTO!$AF$7)*OFFSET(ORÇAMENTO!$W$15,ROW(AM18)-ROW(AM$15),0),15-13*ORÇAMENTO!$AF$11)),
         0)</f>
        <v>0</v>
      </c>
      <c r="AN18" s="453">
        <f ca="1">IF(AND($D18="Serviço",AN$12&lt;&gt;0,$H18&gt;0,OR(AUTOEVENTO&lt;&gt;"manual",$M18&lt;&gt;$A$15)),
        IF(Import.TipoArredondamento&lt;&gt;"TransfereGOV",
              ROUND(OFFSET($P18,0,AN$13),15-13*ORÇAMENTO!$AF$7)/$H18*OFFSET(ORÇAMENTO!$X$15,ROW(AN18)-ROW(AN$15),0),
              ROUND(ROUND(OFFSET($P18,0,AN$13),15-13*ORÇAMENTO!$AF$7)*OFFSET(ORÇAMENTO!$W$15,ROW(AN18)-ROW(AN$15),0),15-13*ORÇAMENTO!$AF$11)),
         0)</f>
        <v>0</v>
      </c>
      <c r="AO18" s="453">
        <f ca="1">IF(AND($D18="Serviço",AO$12&lt;&gt;0,$H18&gt;0,OR(AUTOEVENTO&lt;&gt;"manual",$M18&lt;&gt;$A$15)),
        IF(Import.TipoArredondamento&lt;&gt;"TransfereGOV",
              ROUND(OFFSET($P18,0,AO$13),15-13*ORÇAMENTO!$AF$7)/$H18*OFFSET(ORÇAMENTO!$X$15,ROW(AO18)-ROW(AO$15),0),
              ROUND(ROUND(OFFSET($P18,0,AO$13),15-13*ORÇAMENTO!$AF$7)*OFFSET(ORÇAMENTO!$W$15,ROW(AO18)-ROW(AO$15),0),15-13*ORÇAMENTO!$AF$11)),
         0)</f>
        <v>0</v>
      </c>
      <c r="AP18" s="453">
        <f ca="1">IF(AND($D18="Serviço",AP$12&lt;&gt;0,$H18&gt;0,OR(AUTOEVENTO&lt;&gt;"manual",$M18&lt;&gt;$A$15)),
        IF(Import.TipoArredondamento&lt;&gt;"TransfereGOV",
              ROUND(OFFSET($P18,0,AP$13),15-13*ORÇAMENTO!$AF$7)/$H18*OFFSET(ORÇAMENTO!$X$15,ROW(AP18)-ROW(AP$15),0),
              ROUND(ROUND(OFFSET($P18,0,AP$13),15-13*ORÇAMENTO!$AF$7)*OFFSET(ORÇAMENTO!$W$15,ROW(AP18)-ROW(AP$15),0),15-13*ORÇAMENTO!$AF$11)),
         0)</f>
        <v>0</v>
      </c>
      <c r="AQ18" s="453">
        <f ca="1">IF(AND($D18="Serviço",AQ$12&lt;&gt;0,$H18&gt;0,OR(AUTOEVENTO&lt;&gt;"manual",$M18&lt;&gt;$A$15)),
        IF(Import.TipoArredondamento&lt;&gt;"TransfereGOV",
              ROUND(OFFSET($P18,0,AQ$13),15-13*ORÇAMENTO!$AF$7)/$H18*OFFSET(ORÇAMENTO!$X$15,ROW(AQ18)-ROW(AQ$15),0),
              ROUND(ROUND(OFFSET($P18,0,AQ$13),15-13*ORÇAMENTO!$AF$7)*OFFSET(ORÇAMENTO!$W$15,ROW(AQ18)-ROW(AQ$15),0),15-13*ORÇAMENTO!$AF$11)),
         0)</f>
        <v>0</v>
      </c>
      <c r="AR18" s="453">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0</v>
      </c>
      <c r="AS18" s="453">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453">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453">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453">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453">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453">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453">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453">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453">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C18" s="171">
        <f ca="1">IF(OR($D18&lt;&gt;"Serviço",AND(AUTOEVENTO="Manual",$M18=$A$15)),0,
         IF(OFFSET(CRONOPLE!$F$15,$M18-$A$15,BC$13)=0,10^12,OFFSET(CRONOPLE!$F$15,$M18-$A$15,BC$13)))</f>
        <v>1</v>
      </c>
      <c r="BD18" s="171">
        <f ca="1">IF(OR($D18&lt;&gt;"Serviço",AND(AUTOEVENTO="Manual",$M18=$A$15)),0,
         IF(OFFSET(CRONOPLE!$F$15,$M18-$A$15,BD$13)=0,10^12,OFFSET(CRONOPLE!$F$15,$M18-$A$15,BD$13)))</f>
        <v>1000000000000</v>
      </c>
      <c r="BE18" s="171">
        <f ca="1">IF(OR($D18&lt;&gt;"Serviço",AND(AUTOEVENTO="Manual",$M18=$A$15)),0,
         IF(OFFSET(CRONOPLE!$F$15,$M18-$A$15,BE$13)=0,10^12,OFFSET(CRONOPLE!$F$15,$M18-$A$15,BE$13)))</f>
        <v>1000000000000</v>
      </c>
      <c r="BF18" s="171">
        <f ca="1">IF(OR($D18&lt;&gt;"Serviço",AND(AUTOEVENTO="Manual",$M18=$A$15)),0,
         IF(OFFSET(CRONOPLE!$F$15,$M18-$A$15,BF$13)=0,10^12,OFFSET(CRONOPLE!$F$15,$M18-$A$15,BF$13)))</f>
        <v>1000000000000</v>
      </c>
      <c r="BG18" s="171">
        <f ca="1">IF(OR($D18&lt;&gt;"Serviço",AND(AUTOEVENTO="Manual",$M18=$A$15)),0,
         IF(OFFSET(CRONOPLE!$F$15,$M18-$A$15,BG$13)=0,10^12,OFFSET(CRONOPLE!$F$15,$M18-$A$15,BG$13)))</f>
        <v>1000000000000</v>
      </c>
      <c r="BH18" s="171">
        <f ca="1">IF(OR($D18&lt;&gt;"Serviço",AND(AUTOEVENTO="Manual",$M18=$A$15)),0,
         IF(OFFSET(CRONOPLE!$F$15,$M18-$A$15,BH$13)=0,10^12,OFFSET(CRONOPLE!$F$15,$M18-$A$15,BH$13)))</f>
        <v>1000000000000</v>
      </c>
      <c r="BI18" s="171">
        <f ca="1">IF(OR($D18&lt;&gt;"Serviço",AND(AUTOEVENTO="Manual",$M18=$A$15)),0,
         IF(OFFSET(CRONOPLE!$F$15,$M18-$A$15,BI$13)=0,10^12,OFFSET(CRONOPLE!$F$15,$M18-$A$15,BI$13)))</f>
        <v>1000000000000</v>
      </c>
      <c r="BJ18" s="171">
        <f ca="1">IF(OR($D18&lt;&gt;"Serviço",AND(AUTOEVENTO="Manual",$M18=$A$15)),0,
         IF(OFFSET(CRONOPLE!$F$15,$M18-$A$15,BJ$13)=0,10^12,OFFSET(CRONOPLE!$F$15,$M18-$A$15,BJ$13)))</f>
        <v>1000000000000</v>
      </c>
      <c r="BK18" s="171">
        <f ca="1">IF(OR($D18&lt;&gt;"Serviço",AND(AUTOEVENTO="Manual",$M18=$A$15)),0,
         IF(OFFSET(CRONOPLE!$F$15,$M18-$A$15,BK$13)=0,10^12,OFFSET(CRONOPLE!$F$15,$M18-$A$15,BK$13)))</f>
        <v>1000000000000</v>
      </c>
      <c r="BL18" s="171">
        <f ca="1">IF(OR($D18&lt;&gt;"Serviço",AND(AUTOEVENTO="Manual",$M18=$A$15)),0,
         IF(OFFSET(CRONOPLE!$F$15,$M18-$A$15,BL$13)=0,10^12,OFFSET(CRONOPLE!$F$15,$M18-$A$15,BL$13)))</f>
        <v>1000000000000</v>
      </c>
      <c r="BM18" s="171">
        <f ca="1">IF(OR($D18&lt;&gt;"Serviço",AND(AUTOEVENTO="Manual",$M18=$A$15)),0,
         IF(OFFSET(CRONOPLE!$F$15,$M18-$A$15,BM$13)=0,10^12,OFFSET(CRONOPLE!$F$15,$M18-$A$15,BM$13)))</f>
        <v>1000000000000</v>
      </c>
      <c r="BN18" s="171">
        <f ca="1">IF(OR($D18&lt;&gt;"Serviço",AND(AUTOEVENTO="Manual",$M18=$A$15)),0,
         IF(OFFSET(CRONOPLE!$F$15,$M18-$A$15,BN$13)=0,10^12,OFFSET(CRONOPLE!$F$15,$M18-$A$15,BN$13)))</f>
        <v>1000000000000</v>
      </c>
      <c r="BO18" s="171">
        <f ca="1">IF(OR($D18&lt;&gt;"Serviço",AND(AUTOEVENTO="Manual",$M18=$A$15)),0,
         IF(OFFSET(CRONOPLE!$F$15,$M18-$A$15,BO$13)=0,10^12,OFFSET(CRONOPLE!$F$15,$M18-$A$15,BO$13)))</f>
        <v>1000000000000</v>
      </c>
      <c r="BP18" s="171">
        <f ca="1">IF(OR($D18&lt;&gt;"Serviço",AND(AUTOEVENTO="Manual",$M18=$A$15)),0,
         IF(OFFSET(CRONOPLE!$F$15,$M18-$A$15,BP$13)=0,10^12,OFFSET(CRONOPLE!$F$15,$M18-$A$15,BP$13)))</f>
        <v>1000000000000</v>
      </c>
      <c r="BQ18" s="171">
        <f ca="1">IF(OR($D18&lt;&gt;"Serviço",AND(AUTOEVENTO="Manual",$M18=$A$15)),0,
         IF(OFFSET(CRONOPLE!$F$15,$M18-$A$15,BQ$13)=0,10^12,OFFSET(CRONOPLE!$F$15,$M18-$A$15,BQ$13)))</f>
        <v>1000000000000</v>
      </c>
      <c r="BR18" s="171">
        <f ca="1">IF(OR($D18&lt;&gt;"Serviço",AND(AUTOEVENTO="Manual",$M18=$A$15)),0,
         IF(OFFSET(CRONOPLE!$F$15,$M18-$A$15,BR$13)=0,10^12,OFFSET(CRONOPLE!$F$15,$M18-$A$15,BR$13)))</f>
        <v>1000000000000</v>
      </c>
      <c r="BS18" s="171">
        <f ca="1">IF(OR($D18&lt;&gt;"Serviço",AND(AUTOEVENTO="Manual",$M18=$A$15)),0,
         IF(OFFSET(CRONOPLE!$F$15,$M18-$A$15,BS$13)=0,10^12,OFFSET(CRONOPLE!$F$15,$M18-$A$15,BS$13)))</f>
        <v>1000000000000</v>
      </c>
      <c r="BT18" s="171">
        <f ca="1">IF(OR($D18&lt;&gt;"Serviço",AND(AUTOEVENTO="Manual",$M18=$A$15)),0,
         IF(OFFSET(CRONOPLE!$F$15,$M18-$A$15,BT$13)=0,10^12,OFFSET(CRONOPLE!$F$15,$M18-$A$15,BT$13)))</f>
        <v>1000000000000</v>
      </c>
      <c r="BV18" s="172">
        <f ca="1">IF(OR($D18&lt;&gt;"Serviço",AND(AUTOEVENTO="Manual",$M18=$A$15),$M18&gt;(ROW(PLE.lastrow)-ROW(PLE.firstrow))),0,
           IF(OFFSET(PLE!$G$15,$M18-$A$15,BV$13)="",10^12,OFFSET(PLE!$G$15,$M18-$A$15,BV$13)))</f>
        <v>1000000000000</v>
      </c>
      <c r="BW18" s="172">
        <f ca="1">IF(OR($D18&lt;&gt;"Serviço",AND(AUTOEVENTO="Manual",$M18=$A$15),$M18&gt;(ROW(PLE.lastrow)-ROW(PLE.firstrow))),0,
           IF(OFFSET(PLE!$G$15,$M18-$A$15,BW$13)="",10^12,OFFSET(PLE!$G$15,$M18-$A$15,BW$13)))</f>
        <v>1000000000000</v>
      </c>
      <c r="BX18" s="172">
        <f ca="1">IF(OR($D18&lt;&gt;"Serviço",AND(AUTOEVENTO="Manual",$M18=$A$15),$M18&gt;(ROW(PLE.lastrow)-ROW(PLE.firstrow))),0,
           IF(OFFSET(PLE!$G$15,$M18-$A$15,BX$13)="",10^12,OFFSET(PLE!$G$15,$M18-$A$15,BX$13)))</f>
        <v>1000000000000</v>
      </c>
      <c r="BY18" s="172">
        <f ca="1">IF(OR($D18&lt;&gt;"Serviço",AND(AUTOEVENTO="Manual",$M18=$A$15),$M18&gt;(ROW(PLE.lastrow)-ROW(PLE.firstrow))),0,
           IF(OFFSET(PLE!$G$15,$M18-$A$15,BY$13)="",10^12,OFFSET(PLE!$G$15,$M18-$A$15,BY$13)))</f>
        <v>1000000000000</v>
      </c>
      <c r="BZ18" s="172">
        <f ca="1">IF(OR($D18&lt;&gt;"Serviço",AND(AUTOEVENTO="Manual",$M18=$A$15),$M18&gt;(ROW(PLE.lastrow)-ROW(PLE.firstrow))),0,
           IF(OFFSET(PLE!$G$15,$M18-$A$15,BZ$13)="",10^12,OFFSET(PLE!$G$15,$M18-$A$15,BZ$13)))</f>
        <v>1000000000000</v>
      </c>
      <c r="CA18" s="172">
        <f ca="1">IF(OR($D18&lt;&gt;"Serviço",AND(AUTOEVENTO="Manual",$M18=$A$15),$M18&gt;(ROW(PLE.lastrow)-ROW(PLE.firstrow))),0,
           IF(OFFSET(PLE!$G$15,$M18-$A$15,CA$13)="",10^12,OFFSET(PLE!$G$15,$M18-$A$15,CA$13)))</f>
        <v>1000000000000</v>
      </c>
      <c r="CB18" s="172">
        <f ca="1">IF(OR($D18&lt;&gt;"Serviço",AND(AUTOEVENTO="Manual",$M18=$A$15),$M18&gt;(ROW(PLE.lastrow)-ROW(PLE.firstrow))),0,
           IF(OFFSET(PLE!$G$15,$M18-$A$15,CB$13)="",10^12,OFFSET(PLE!$G$15,$M18-$A$15,CB$13)))</f>
        <v>1000000000000</v>
      </c>
      <c r="CC18" s="172">
        <f ca="1">IF(OR($D18&lt;&gt;"Serviço",AND(AUTOEVENTO="Manual",$M18=$A$15),$M18&gt;(ROW(PLE.lastrow)-ROW(PLE.firstrow))),0,
           IF(OFFSET(PLE!$G$15,$M18-$A$15,CC$13)="",10^12,OFFSET(PLE!$G$15,$M18-$A$15,CC$13)))</f>
        <v>1000000000000</v>
      </c>
      <c r="CD18" s="172">
        <f ca="1">IF(OR($D18&lt;&gt;"Serviço",AND(AUTOEVENTO="Manual",$M18=$A$15),$M18&gt;(ROW(PLE.lastrow)-ROW(PLE.firstrow))),0,
           IF(OFFSET(PLE!$G$15,$M18-$A$15,CD$13)="",10^12,OFFSET(PLE!$G$15,$M18-$A$15,CD$13)))</f>
        <v>1000000000000</v>
      </c>
      <c r="CE18" s="172">
        <f ca="1">IF(OR($D18&lt;&gt;"Serviço",AND(AUTOEVENTO="Manual",$M18=$A$15),$M18&gt;(ROW(PLE.lastrow)-ROW(PLE.firstrow))),0,
           IF(OFFSET(PLE!$G$15,$M18-$A$15,CE$13)="",10^12,OFFSET(PLE!$G$15,$M18-$A$15,CE$13)))</f>
        <v>1000000000000</v>
      </c>
      <c r="CF18" s="172">
        <f ca="1">IF(OR($D18&lt;&gt;"Serviço",AND(AUTOEVENTO="Manual",$M18=$A$15),$M18&gt;(ROW(PLE.lastrow)-ROW(PLE.firstrow))),0,
           IF(OFFSET(PLE!$G$15,$M18-$A$15,CF$13)="",10^12,OFFSET(PLE!$G$15,$M18-$A$15,CF$13)))</f>
        <v>1000000000000</v>
      </c>
      <c r="CG18" s="172">
        <f ca="1">IF(OR($D18&lt;&gt;"Serviço",AND(AUTOEVENTO="Manual",$M18=$A$15),$M18&gt;(ROW(PLE.lastrow)-ROW(PLE.firstrow))),0,
           IF(OFFSET(PLE!$G$15,$M18-$A$15,CG$13)="",10^12,OFFSET(PLE!$G$15,$M18-$A$15,CG$13)))</f>
        <v>1000000000000</v>
      </c>
      <c r="CH18" s="172">
        <f ca="1">IF(OR($D18&lt;&gt;"Serviço",AND(AUTOEVENTO="Manual",$M18=$A$15),$M18&gt;(ROW(PLE.lastrow)-ROW(PLE.firstrow))),0,
           IF(OFFSET(PLE!$G$15,$M18-$A$15,CH$13)="",10^12,OFFSET(PLE!$G$15,$M18-$A$15,CH$13)))</f>
        <v>1000000000000</v>
      </c>
      <c r="CI18" s="172">
        <f ca="1">IF(OR($D18&lt;&gt;"Serviço",AND(AUTOEVENTO="Manual",$M18=$A$15),$M18&gt;(ROW(PLE.lastrow)-ROW(PLE.firstrow))),0,
           IF(OFFSET(PLE!$G$15,$M18-$A$15,CI$13)="",10^12,OFFSET(PLE!$G$15,$M18-$A$15,CI$13)))</f>
        <v>1000000000000</v>
      </c>
      <c r="CJ18" s="172">
        <f ca="1">IF(OR($D18&lt;&gt;"Serviço",AND(AUTOEVENTO="Manual",$M18=$A$15),$M18&gt;(ROW(PLE.lastrow)-ROW(PLE.firstrow))),0,
           IF(OFFSET(PLE!$G$15,$M18-$A$15,CJ$13)="",10^12,OFFSET(PLE!$G$15,$M18-$A$15,CJ$13)))</f>
        <v>1000000000000</v>
      </c>
      <c r="CK18" s="172">
        <f ca="1">IF(OR($D18&lt;&gt;"Serviço",AND(AUTOEVENTO="Manual",$M18=$A$15),$M18&gt;(ROW(PLE.lastrow)-ROW(PLE.firstrow))),0,
           IF(OFFSET(PLE!$G$15,$M18-$A$15,CK$13)="",10^12,OFFSET(PLE!$G$15,$M18-$A$15,CK$13)))</f>
        <v>1000000000000</v>
      </c>
      <c r="CL18" s="172">
        <f ca="1">IF(OR($D18&lt;&gt;"Serviço",AND(AUTOEVENTO="Manual",$M18=$A$15),$M18&gt;(ROW(PLE.lastrow)-ROW(PLE.firstrow))),0,
           IF(OFFSET(PLE!$G$15,$M18-$A$15,CL$13)="",10^12,OFFSET(PLE!$G$15,$M18-$A$15,CL$13)))</f>
        <v>1000000000000</v>
      </c>
      <c r="CM18" s="172">
        <f ca="1">IF(OR($D18&lt;&gt;"Serviço",AND(AUTOEVENTO="Manual",$M18=$A$15),$M18&gt;(ROW(PLE.lastrow)-ROW(PLE.firstrow))),0,
           IF(OFFSET(PLE!$G$15,$M18-$A$15,CM$13)="",10^12,OFFSET(PLE!$G$15,$M18-$A$15,CM$13)))</f>
        <v>1000000000000</v>
      </c>
    </row>
    <row r="19" spans="1:91" ht="39.6" x14ac:dyDescent="0.25">
      <c r="A19" s="7" t="str">
        <f t="shared" ca="1" si="11"/>
        <v>2</v>
      </c>
      <c r="B19" s="7" t="str">
        <f ca="1">OFFSET(ORÇAMENTO!C$15,ROW(B19)-ROW(B$15),0)</f>
        <v>S</v>
      </c>
      <c r="C19" s="7" t="str">
        <f ca="1">OFFSET(ORÇAMENTO!L$15,ROW(C19)-ROW(C$15),0)</f>
        <v>F</v>
      </c>
      <c r="D19" s="116" t="str">
        <f ca="1">OFFSET(ORÇAMENTO!N$15,ROW(D19)-ROW(D$15),0)</f>
        <v>Serviço</v>
      </c>
      <c r="E19" s="117" t="str">
        <f ca="1">OFFSET(ORÇAMENTO!O$15,ROW(E19)-ROW(E$15),0)</f>
        <v>1.1.2.</v>
      </c>
      <c r="F19" s="163" t="str">
        <f ca="1">OFFSET(ORÇAMENTO!R$15,ROW(F19)-ROW(F$15),0)</f>
        <v>MOBILIZAÇÃO OU DESMOBILIZAÇÃO DE 07 EQUIPAMENTOS, COM CAMINHÃO PRANCHA, PARA UMA DMT= 21 KM E UMA VM=
60KM/H, POR VIAS PAVIMENTADAS</v>
      </c>
      <c r="G19" s="164" t="str">
        <f ca="1">IF($D19&lt;&gt;"Serviço","",OFFSET(ORÇAMENTO!S$15,ROW(G19)-ROW(G$15),0))</f>
        <v>UN</v>
      </c>
      <c r="H19" s="122" cm="1">
        <f t="array" aca="1" ref="H19" ca="1">IF($D19&lt;&gt;"Serviço",0,IF(ACOMPANHAMENTO="BM",ROUND(OFFSET(ORÇAMENTO!AJ$15,ROW(H19)-ROW(H$15),0),15-13*ORÇAMENTO!$AF$7),SUMPRODUCT(($Q$1:$AI$1=1)*ROUND($Q19:$AI19,15-13*ORÇAMENTO!$AF$7))))</f>
        <v>1</v>
      </c>
      <c r="I19" s="468"/>
      <c r="J19" s="651" t="e" cm="1">
        <f t="array" aca="1" ref="J19" ca="1">IF(OR(B19&lt;&gt;"S",CÁLCULO.FrentesPreenchidas=0),"",IF(AND(ACOMPANHAMENTO="PLE",AUTOEVENTO="Manual",OR(H19&gt;0,ORÇAMENTO!AC19="QUANT."),OR(K19="",M19=0,N19="")),"►E",IF(AND(ACOMPANHAMENTO="PLE",ORÇAMENTO!AC19="QUANT."),"►Q",IF(AND(ACOMPANHAMENTO="PLE",H19&lt;&gt;SUMPRODUCT(($Q$1:$AI$1=1)*ROUND(Q19:AI19,15))),"►S",IF(AND(COUNTIF($P$11:$AI$11,"▼")=0,H19&gt;0,I19=""),"◄M","")))))</f>
        <v>#NAME?</v>
      </c>
      <c r="K19" s="652"/>
      <c r="L19" s="165" t="s">
        <v>764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INICIAIS</v>
      </c>
      <c r="O19" s="168"/>
      <c r="Q19" s="168">
        <v>1</v>
      </c>
      <c r="R19" s="169"/>
      <c r="S19" s="169"/>
      <c r="T19" s="169"/>
      <c r="U19" s="169"/>
      <c r="V19" s="169"/>
      <c r="W19" s="169"/>
      <c r="X19" s="169"/>
      <c r="Y19" s="169"/>
      <c r="Z19" s="170"/>
      <c r="AA19" s="169"/>
      <c r="AB19" s="169"/>
      <c r="AC19" s="169"/>
      <c r="AD19" s="169"/>
      <c r="AE19" s="169"/>
      <c r="AF19" s="169"/>
      <c r="AG19" s="169"/>
      <c r="AH19" s="170"/>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2174.1999999999998</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L19" s="453">
        <f ca="1">IF(AND($D19="Serviço",AL$12&lt;&gt;0,$H19&gt;0,OR(AUTOEVENTO&lt;&gt;"manual",$M19&lt;&gt;$A$15)),
        IF(Import.TipoArredondamento&lt;&gt;"TransfereGOV",
              ROUND(OFFSET($P19,0,AL$13),15-13*ORÇAMENTO!$AF$7)/$H19*OFFSET(ORÇAMENTO!$X$15,ROW(AL19)-ROW(AL$15),0),
              ROUND(ROUND(OFFSET($P19,0,AL$13),15-13*ORÇAMENTO!$AF$7)*OFFSET(ORÇAMENTO!$W$15,ROW(AL19)-ROW(AL$15),0),15-13*ORÇAMENTO!$AF$11)),
         0)</f>
        <v>0</v>
      </c>
      <c r="AM19" s="453">
        <f ca="1">IF(AND($D19="Serviço",AM$12&lt;&gt;0,$H19&gt;0,OR(AUTOEVENTO&lt;&gt;"manual",$M19&lt;&gt;$A$15)),
        IF(Import.TipoArredondamento&lt;&gt;"TransfereGOV",
              ROUND(OFFSET($P19,0,AM$13),15-13*ORÇAMENTO!$AF$7)/$H19*OFFSET(ORÇAMENTO!$X$15,ROW(AM19)-ROW(AM$15),0),
              ROUND(ROUND(OFFSET($P19,0,AM$13),15-13*ORÇAMENTO!$AF$7)*OFFSET(ORÇAMENTO!$W$15,ROW(AM19)-ROW(AM$15),0),15-13*ORÇAMENTO!$AF$11)),
         0)</f>
        <v>0</v>
      </c>
      <c r="AN19" s="453">
        <f ca="1">IF(AND($D19="Serviço",AN$12&lt;&gt;0,$H19&gt;0,OR(AUTOEVENTO&lt;&gt;"manual",$M19&lt;&gt;$A$15)),
        IF(Import.TipoArredondamento&lt;&gt;"TransfereGOV",
              ROUND(OFFSET($P19,0,AN$13),15-13*ORÇAMENTO!$AF$7)/$H19*OFFSET(ORÇAMENTO!$X$15,ROW(AN19)-ROW(AN$15),0),
              ROUND(ROUND(OFFSET($P19,0,AN$13),15-13*ORÇAMENTO!$AF$7)*OFFSET(ORÇAMENTO!$W$15,ROW(AN19)-ROW(AN$15),0),15-13*ORÇAMENTO!$AF$11)),
         0)</f>
        <v>0</v>
      </c>
      <c r="AO19" s="453">
        <f ca="1">IF(AND($D19="Serviço",AO$12&lt;&gt;0,$H19&gt;0,OR(AUTOEVENTO&lt;&gt;"manual",$M19&lt;&gt;$A$15)),
        IF(Import.TipoArredondamento&lt;&gt;"TransfereGOV",
              ROUND(OFFSET($P19,0,AO$13),15-13*ORÇAMENTO!$AF$7)/$H19*OFFSET(ORÇAMENTO!$X$15,ROW(AO19)-ROW(AO$15),0),
              ROUND(ROUND(OFFSET($P19,0,AO$13),15-13*ORÇAMENTO!$AF$7)*OFFSET(ORÇAMENTO!$W$15,ROW(AO19)-ROW(AO$15),0),15-13*ORÇAMENTO!$AF$11)),
         0)</f>
        <v>0</v>
      </c>
      <c r="AP19" s="453">
        <f ca="1">IF(AND($D19="Serviço",AP$12&lt;&gt;0,$H19&gt;0,OR(AUTOEVENTO&lt;&gt;"manual",$M19&lt;&gt;$A$15)),
        IF(Import.TipoArredondamento&lt;&gt;"TransfereGOV",
              ROUND(OFFSET($P19,0,AP$13),15-13*ORÇAMENTO!$AF$7)/$H19*OFFSET(ORÇAMENTO!$X$15,ROW(AP19)-ROW(AP$15),0),
              ROUND(ROUND(OFFSET($P19,0,AP$13),15-13*ORÇAMENTO!$AF$7)*OFFSET(ORÇAMENTO!$W$15,ROW(AP19)-ROW(AP$15),0),15-13*ORÇAMENTO!$AF$11)),
         0)</f>
        <v>0</v>
      </c>
      <c r="AQ19" s="453">
        <f ca="1">IF(AND($D19="Serviço",AQ$12&lt;&gt;0,$H19&gt;0,OR(AUTOEVENTO&lt;&gt;"manual",$M19&lt;&gt;$A$15)),
        IF(Import.TipoArredondamento&lt;&gt;"TransfereGOV",
              ROUND(OFFSET($P19,0,AQ$13),15-13*ORÇAMENTO!$AF$7)/$H19*OFFSET(ORÇAMENTO!$X$15,ROW(AQ19)-ROW(AQ$15),0),
              ROUND(ROUND(OFFSET($P19,0,AQ$13),15-13*ORÇAMENTO!$AF$7)*OFFSET(ORÇAMENTO!$W$15,ROW(AQ19)-ROW(AQ$15),0),15-13*ORÇAMENTO!$AF$11)),
         0)</f>
        <v>0</v>
      </c>
      <c r="AR19" s="453">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0</v>
      </c>
      <c r="AS19" s="453">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453">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0</v>
      </c>
      <c r="AU19" s="453">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453">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453">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453">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453">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453">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453">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C19" s="171">
        <f ca="1">IF(OR($D19&lt;&gt;"Serviço",AND(AUTOEVENTO="Manual",$M19=$A$15)),0,
         IF(OFFSET(CRONOPLE!$F$15,$M19-$A$15,BC$13)=0,10^12,OFFSET(CRONOPLE!$F$15,$M19-$A$15,BC$13)))</f>
        <v>1</v>
      </c>
      <c r="BD19" s="171">
        <f ca="1">IF(OR($D19&lt;&gt;"Serviço",AND(AUTOEVENTO="Manual",$M19=$A$15)),0,
         IF(OFFSET(CRONOPLE!$F$15,$M19-$A$15,BD$13)=0,10^12,OFFSET(CRONOPLE!$F$15,$M19-$A$15,BD$13)))</f>
        <v>1000000000000</v>
      </c>
      <c r="BE19" s="171">
        <f ca="1">IF(OR($D19&lt;&gt;"Serviço",AND(AUTOEVENTO="Manual",$M19=$A$15)),0,
         IF(OFFSET(CRONOPLE!$F$15,$M19-$A$15,BE$13)=0,10^12,OFFSET(CRONOPLE!$F$15,$M19-$A$15,BE$13)))</f>
        <v>1000000000000</v>
      </c>
      <c r="BF19" s="171">
        <f ca="1">IF(OR($D19&lt;&gt;"Serviço",AND(AUTOEVENTO="Manual",$M19=$A$15)),0,
         IF(OFFSET(CRONOPLE!$F$15,$M19-$A$15,BF$13)=0,10^12,OFFSET(CRONOPLE!$F$15,$M19-$A$15,BF$13)))</f>
        <v>1000000000000</v>
      </c>
      <c r="BG19" s="171">
        <f ca="1">IF(OR($D19&lt;&gt;"Serviço",AND(AUTOEVENTO="Manual",$M19=$A$15)),0,
         IF(OFFSET(CRONOPLE!$F$15,$M19-$A$15,BG$13)=0,10^12,OFFSET(CRONOPLE!$F$15,$M19-$A$15,BG$13)))</f>
        <v>1000000000000</v>
      </c>
      <c r="BH19" s="171">
        <f ca="1">IF(OR($D19&lt;&gt;"Serviço",AND(AUTOEVENTO="Manual",$M19=$A$15)),0,
         IF(OFFSET(CRONOPLE!$F$15,$M19-$A$15,BH$13)=0,10^12,OFFSET(CRONOPLE!$F$15,$M19-$A$15,BH$13)))</f>
        <v>1000000000000</v>
      </c>
      <c r="BI19" s="171">
        <f ca="1">IF(OR($D19&lt;&gt;"Serviço",AND(AUTOEVENTO="Manual",$M19=$A$15)),0,
         IF(OFFSET(CRONOPLE!$F$15,$M19-$A$15,BI$13)=0,10^12,OFFSET(CRONOPLE!$F$15,$M19-$A$15,BI$13)))</f>
        <v>1000000000000</v>
      </c>
      <c r="BJ19" s="171">
        <f ca="1">IF(OR($D19&lt;&gt;"Serviço",AND(AUTOEVENTO="Manual",$M19=$A$15)),0,
         IF(OFFSET(CRONOPLE!$F$15,$M19-$A$15,BJ$13)=0,10^12,OFFSET(CRONOPLE!$F$15,$M19-$A$15,BJ$13)))</f>
        <v>1000000000000</v>
      </c>
      <c r="BK19" s="171">
        <f ca="1">IF(OR($D19&lt;&gt;"Serviço",AND(AUTOEVENTO="Manual",$M19=$A$15)),0,
         IF(OFFSET(CRONOPLE!$F$15,$M19-$A$15,BK$13)=0,10^12,OFFSET(CRONOPLE!$F$15,$M19-$A$15,BK$13)))</f>
        <v>1000000000000</v>
      </c>
      <c r="BL19" s="171">
        <f ca="1">IF(OR($D19&lt;&gt;"Serviço",AND(AUTOEVENTO="Manual",$M19=$A$15)),0,
         IF(OFFSET(CRONOPLE!$F$15,$M19-$A$15,BL$13)=0,10^12,OFFSET(CRONOPLE!$F$15,$M19-$A$15,BL$13)))</f>
        <v>1000000000000</v>
      </c>
      <c r="BM19" s="171">
        <f ca="1">IF(OR($D19&lt;&gt;"Serviço",AND(AUTOEVENTO="Manual",$M19=$A$15)),0,
         IF(OFFSET(CRONOPLE!$F$15,$M19-$A$15,BM$13)=0,10^12,OFFSET(CRONOPLE!$F$15,$M19-$A$15,BM$13)))</f>
        <v>1000000000000</v>
      </c>
      <c r="BN19" s="171">
        <f ca="1">IF(OR($D19&lt;&gt;"Serviço",AND(AUTOEVENTO="Manual",$M19=$A$15)),0,
         IF(OFFSET(CRONOPLE!$F$15,$M19-$A$15,BN$13)=0,10^12,OFFSET(CRONOPLE!$F$15,$M19-$A$15,BN$13)))</f>
        <v>1000000000000</v>
      </c>
      <c r="BO19" s="171">
        <f ca="1">IF(OR($D19&lt;&gt;"Serviço",AND(AUTOEVENTO="Manual",$M19=$A$15)),0,
         IF(OFFSET(CRONOPLE!$F$15,$M19-$A$15,BO$13)=0,10^12,OFFSET(CRONOPLE!$F$15,$M19-$A$15,BO$13)))</f>
        <v>1000000000000</v>
      </c>
      <c r="BP19" s="171">
        <f ca="1">IF(OR($D19&lt;&gt;"Serviço",AND(AUTOEVENTO="Manual",$M19=$A$15)),0,
         IF(OFFSET(CRONOPLE!$F$15,$M19-$A$15,BP$13)=0,10^12,OFFSET(CRONOPLE!$F$15,$M19-$A$15,BP$13)))</f>
        <v>1000000000000</v>
      </c>
      <c r="BQ19" s="171">
        <f ca="1">IF(OR($D19&lt;&gt;"Serviço",AND(AUTOEVENTO="Manual",$M19=$A$15)),0,
         IF(OFFSET(CRONOPLE!$F$15,$M19-$A$15,BQ$13)=0,10^12,OFFSET(CRONOPLE!$F$15,$M19-$A$15,BQ$13)))</f>
        <v>1000000000000</v>
      </c>
      <c r="BR19" s="171">
        <f ca="1">IF(OR($D19&lt;&gt;"Serviço",AND(AUTOEVENTO="Manual",$M19=$A$15)),0,
         IF(OFFSET(CRONOPLE!$F$15,$M19-$A$15,BR$13)=0,10^12,OFFSET(CRONOPLE!$F$15,$M19-$A$15,BR$13)))</f>
        <v>1000000000000</v>
      </c>
      <c r="BS19" s="171">
        <f ca="1">IF(OR($D19&lt;&gt;"Serviço",AND(AUTOEVENTO="Manual",$M19=$A$15)),0,
         IF(OFFSET(CRONOPLE!$F$15,$M19-$A$15,BS$13)=0,10^12,OFFSET(CRONOPLE!$F$15,$M19-$A$15,BS$13)))</f>
        <v>1000000000000</v>
      </c>
      <c r="BT19" s="171">
        <f ca="1">IF(OR($D19&lt;&gt;"Serviço",AND(AUTOEVENTO="Manual",$M19=$A$15)),0,
         IF(OFFSET(CRONOPLE!$F$15,$M19-$A$15,BT$13)=0,10^12,OFFSET(CRONOPLE!$F$15,$M19-$A$15,BT$13)))</f>
        <v>1000000000000</v>
      </c>
      <c r="BV19" s="172">
        <f ca="1">IF(OR($D19&lt;&gt;"Serviço",AND(AUTOEVENTO="Manual",$M19=$A$15),$M19&gt;(ROW(PLE.lastrow)-ROW(PLE.firstrow))),0,
           IF(OFFSET(PLE!$G$15,$M19-$A$15,BV$13)="",10^12,OFFSET(PLE!$G$15,$M19-$A$15,BV$13)))</f>
        <v>1000000000000</v>
      </c>
      <c r="BW19" s="172">
        <f ca="1">IF(OR($D19&lt;&gt;"Serviço",AND(AUTOEVENTO="Manual",$M19=$A$15),$M19&gt;(ROW(PLE.lastrow)-ROW(PLE.firstrow))),0,
           IF(OFFSET(PLE!$G$15,$M19-$A$15,BW$13)="",10^12,OFFSET(PLE!$G$15,$M19-$A$15,BW$13)))</f>
        <v>1000000000000</v>
      </c>
      <c r="BX19" s="172">
        <f ca="1">IF(OR($D19&lt;&gt;"Serviço",AND(AUTOEVENTO="Manual",$M19=$A$15),$M19&gt;(ROW(PLE.lastrow)-ROW(PLE.firstrow))),0,
           IF(OFFSET(PLE!$G$15,$M19-$A$15,BX$13)="",10^12,OFFSET(PLE!$G$15,$M19-$A$15,BX$13)))</f>
        <v>1000000000000</v>
      </c>
      <c r="BY19" s="172">
        <f ca="1">IF(OR($D19&lt;&gt;"Serviço",AND(AUTOEVENTO="Manual",$M19=$A$15),$M19&gt;(ROW(PLE.lastrow)-ROW(PLE.firstrow))),0,
           IF(OFFSET(PLE!$G$15,$M19-$A$15,BY$13)="",10^12,OFFSET(PLE!$G$15,$M19-$A$15,BY$13)))</f>
        <v>1000000000000</v>
      </c>
      <c r="BZ19" s="172">
        <f ca="1">IF(OR($D19&lt;&gt;"Serviço",AND(AUTOEVENTO="Manual",$M19=$A$15),$M19&gt;(ROW(PLE.lastrow)-ROW(PLE.firstrow))),0,
           IF(OFFSET(PLE!$G$15,$M19-$A$15,BZ$13)="",10^12,OFFSET(PLE!$G$15,$M19-$A$15,BZ$13)))</f>
        <v>1000000000000</v>
      </c>
      <c r="CA19" s="172">
        <f ca="1">IF(OR($D19&lt;&gt;"Serviço",AND(AUTOEVENTO="Manual",$M19=$A$15),$M19&gt;(ROW(PLE.lastrow)-ROW(PLE.firstrow))),0,
           IF(OFFSET(PLE!$G$15,$M19-$A$15,CA$13)="",10^12,OFFSET(PLE!$G$15,$M19-$A$15,CA$13)))</f>
        <v>1000000000000</v>
      </c>
      <c r="CB19" s="172">
        <f ca="1">IF(OR($D19&lt;&gt;"Serviço",AND(AUTOEVENTO="Manual",$M19=$A$15),$M19&gt;(ROW(PLE.lastrow)-ROW(PLE.firstrow))),0,
           IF(OFFSET(PLE!$G$15,$M19-$A$15,CB$13)="",10^12,OFFSET(PLE!$G$15,$M19-$A$15,CB$13)))</f>
        <v>1000000000000</v>
      </c>
      <c r="CC19" s="172">
        <f ca="1">IF(OR($D19&lt;&gt;"Serviço",AND(AUTOEVENTO="Manual",$M19=$A$15),$M19&gt;(ROW(PLE.lastrow)-ROW(PLE.firstrow))),0,
           IF(OFFSET(PLE!$G$15,$M19-$A$15,CC$13)="",10^12,OFFSET(PLE!$G$15,$M19-$A$15,CC$13)))</f>
        <v>1000000000000</v>
      </c>
      <c r="CD19" s="172">
        <f ca="1">IF(OR($D19&lt;&gt;"Serviço",AND(AUTOEVENTO="Manual",$M19=$A$15),$M19&gt;(ROW(PLE.lastrow)-ROW(PLE.firstrow))),0,
           IF(OFFSET(PLE!$G$15,$M19-$A$15,CD$13)="",10^12,OFFSET(PLE!$G$15,$M19-$A$15,CD$13)))</f>
        <v>1000000000000</v>
      </c>
      <c r="CE19" s="172">
        <f ca="1">IF(OR($D19&lt;&gt;"Serviço",AND(AUTOEVENTO="Manual",$M19=$A$15),$M19&gt;(ROW(PLE.lastrow)-ROW(PLE.firstrow))),0,
           IF(OFFSET(PLE!$G$15,$M19-$A$15,CE$13)="",10^12,OFFSET(PLE!$G$15,$M19-$A$15,CE$13)))</f>
        <v>1000000000000</v>
      </c>
      <c r="CF19" s="172">
        <f ca="1">IF(OR($D19&lt;&gt;"Serviço",AND(AUTOEVENTO="Manual",$M19=$A$15),$M19&gt;(ROW(PLE.lastrow)-ROW(PLE.firstrow))),0,
           IF(OFFSET(PLE!$G$15,$M19-$A$15,CF$13)="",10^12,OFFSET(PLE!$G$15,$M19-$A$15,CF$13)))</f>
        <v>1000000000000</v>
      </c>
      <c r="CG19" s="172">
        <f ca="1">IF(OR($D19&lt;&gt;"Serviço",AND(AUTOEVENTO="Manual",$M19=$A$15),$M19&gt;(ROW(PLE.lastrow)-ROW(PLE.firstrow))),0,
           IF(OFFSET(PLE!$G$15,$M19-$A$15,CG$13)="",10^12,OFFSET(PLE!$G$15,$M19-$A$15,CG$13)))</f>
        <v>1000000000000</v>
      </c>
      <c r="CH19" s="172">
        <f ca="1">IF(OR($D19&lt;&gt;"Serviço",AND(AUTOEVENTO="Manual",$M19=$A$15),$M19&gt;(ROW(PLE.lastrow)-ROW(PLE.firstrow))),0,
           IF(OFFSET(PLE!$G$15,$M19-$A$15,CH$13)="",10^12,OFFSET(PLE!$G$15,$M19-$A$15,CH$13)))</f>
        <v>1000000000000</v>
      </c>
      <c r="CI19" s="172">
        <f ca="1">IF(OR($D19&lt;&gt;"Serviço",AND(AUTOEVENTO="Manual",$M19=$A$15),$M19&gt;(ROW(PLE.lastrow)-ROW(PLE.firstrow))),0,
           IF(OFFSET(PLE!$G$15,$M19-$A$15,CI$13)="",10^12,OFFSET(PLE!$G$15,$M19-$A$15,CI$13)))</f>
        <v>1000000000000</v>
      </c>
      <c r="CJ19" s="172">
        <f ca="1">IF(OR($D19&lt;&gt;"Serviço",AND(AUTOEVENTO="Manual",$M19=$A$15),$M19&gt;(ROW(PLE.lastrow)-ROW(PLE.firstrow))),0,
           IF(OFFSET(PLE!$G$15,$M19-$A$15,CJ$13)="",10^12,OFFSET(PLE!$G$15,$M19-$A$15,CJ$13)))</f>
        <v>1000000000000</v>
      </c>
      <c r="CK19" s="172">
        <f ca="1">IF(OR($D19&lt;&gt;"Serviço",AND(AUTOEVENTO="Manual",$M19=$A$15),$M19&gt;(ROW(PLE.lastrow)-ROW(PLE.firstrow))),0,
           IF(OFFSET(PLE!$G$15,$M19-$A$15,CK$13)="",10^12,OFFSET(PLE!$G$15,$M19-$A$15,CK$13)))</f>
        <v>1000000000000</v>
      </c>
      <c r="CL19" s="172">
        <f ca="1">IF(OR($D19&lt;&gt;"Serviço",AND(AUTOEVENTO="Manual",$M19=$A$15),$M19&gt;(ROW(PLE.lastrow)-ROW(PLE.firstrow))),0,
           IF(OFFSET(PLE!$G$15,$M19-$A$15,CL$13)="",10^12,OFFSET(PLE!$G$15,$M19-$A$15,CL$13)))</f>
        <v>1000000000000</v>
      </c>
      <c r="CM19" s="172">
        <f ca="1">IF(OR($D19&lt;&gt;"Serviço",AND(AUTOEVENTO="Manual",$M19=$A$15),$M19&gt;(ROW(PLE.lastrow)-ROW(PLE.firstrow))),0,
           IF(OFFSET(PLE!$G$15,$M19-$A$15,CM$13)="",10^12,OFFSET(PLE!$G$15,$M19-$A$15,CM$13)))</f>
        <v>1000000000000</v>
      </c>
    </row>
    <row r="20" spans="1:91" ht="13.2" x14ac:dyDescent="0.25">
      <c r="A20" s="7" t="str">
        <f t="shared" ca="1" si="11"/>
        <v>2</v>
      </c>
      <c r="B20" s="7" t="str">
        <f ca="1">OFFSET(ORÇAMENTO!C$15,ROW(B20)-ROW(B$15),0)</f>
        <v>S</v>
      </c>
      <c r="C20" s="7" t="str">
        <f ca="1">OFFSET(ORÇAMENTO!L$15,ROW(C20)-ROW(C$15),0)</f>
        <v>F</v>
      </c>
      <c r="D20" s="116" t="str">
        <f ca="1">OFFSET(ORÇAMENTO!N$15,ROW(D20)-ROW(D$15),0)</f>
        <v>Serviço</v>
      </c>
      <c r="E20" s="117" t="str">
        <f ca="1">OFFSET(ORÇAMENTO!O$15,ROW(E20)-ROW(E$15),0)</f>
        <v>1.1.3.</v>
      </c>
      <c r="F20" s="163" t="str">
        <f ca="1">OFFSET(ORÇAMENTO!R$15,ROW(F20)-ROW(F$15),0)</f>
        <v xml:space="preserve">BARRACÃO PROVISÓRIO DE OBRA EM MADEIRA 10M² COM BANEHIRO </v>
      </c>
      <c r="G20" s="164" t="str">
        <f ca="1">IF($D20&lt;&gt;"Serviço","",OFFSET(ORÇAMENTO!S$15,ROW(G20)-ROW(G$15),0))</f>
        <v>UN</v>
      </c>
      <c r="H20" s="122" cm="1">
        <f t="array" aca="1" ref="H20" ca="1">IF($D20&lt;&gt;"Serviço",0,IF(ACOMPANHAMENTO="BM",ROUND(OFFSET(ORÇAMENTO!AJ$15,ROW(H20)-ROW(H$15),0),15-13*ORÇAMENTO!$AF$7),SUMPRODUCT(($Q$1:$AI$1=1)*ROUND($Q20:$AI20,15-13*ORÇAMENTO!$AF$7))))</f>
        <v>1</v>
      </c>
      <c r="I20" s="468"/>
      <c r="J20" s="651" t="e" cm="1">
        <f t="array" aca="1" ref="J20" ca="1">IF(OR(B20&lt;&gt;"S",CÁLCULO.FrentesPreenchidas=0),"",IF(AND(ACOMPANHAMENTO="PLE",AUTOEVENTO="Manual",OR(H20&gt;0,ORÇAMENTO!AC20="QUANT."),OR(K20="",M20=0,N20="")),"►E",IF(AND(ACOMPANHAMENTO="PLE",ORÇAMENTO!AC20="QUANT."),"►Q",IF(AND(ACOMPANHAMENTO="PLE",H20&lt;&gt;SUMPRODUCT(($Q$1:$AI$1=1)*ROUND(Q20:AI20,15))),"►S",IF(AND(COUNTIF($P$11:$AI$11,"▼")=0,H20&gt;0,I20=""),"◄M","")))))</f>
        <v>#NAME?</v>
      </c>
      <c r="K20" s="652"/>
      <c r="L20" s="165" t="s">
        <v>764</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INICIAIS</v>
      </c>
      <c r="O20" s="168"/>
      <c r="Q20" s="168">
        <v>1</v>
      </c>
      <c r="R20" s="169"/>
      <c r="S20" s="169"/>
      <c r="T20" s="169"/>
      <c r="U20" s="169"/>
      <c r="V20" s="169"/>
      <c r="W20" s="169"/>
      <c r="X20" s="169"/>
      <c r="Y20" s="169"/>
      <c r="Z20" s="170"/>
      <c r="AA20" s="169"/>
      <c r="AB20" s="169"/>
      <c r="AC20" s="169"/>
      <c r="AD20" s="169"/>
      <c r="AE20" s="169"/>
      <c r="AF20" s="169"/>
      <c r="AG20" s="169"/>
      <c r="AH20" s="170"/>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12797.19</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L20" s="453">
        <f ca="1">IF(AND($D20="Serviço",AL$12&lt;&gt;0,$H20&gt;0,OR(AUTOEVENTO&lt;&gt;"manual",$M20&lt;&gt;$A$15)),
        IF(Import.TipoArredondamento&lt;&gt;"TransfereGOV",
              ROUND(OFFSET($P20,0,AL$13),15-13*ORÇAMENTO!$AF$7)/$H20*OFFSET(ORÇAMENTO!$X$15,ROW(AL20)-ROW(AL$15),0),
              ROUND(ROUND(OFFSET($P20,0,AL$13),15-13*ORÇAMENTO!$AF$7)*OFFSET(ORÇAMENTO!$W$15,ROW(AL20)-ROW(AL$15),0),15-13*ORÇAMENTO!$AF$11)),
         0)</f>
        <v>0</v>
      </c>
      <c r="AM20" s="453">
        <f ca="1">IF(AND($D20="Serviço",AM$12&lt;&gt;0,$H20&gt;0,OR(AUTOEVENTO&lt;&gt;"manual",$M20&lt;&gt;$A$15)),
        IF(Import.TipoArredondamento&lt;&gt;"TransfereGOV",
              ROUND(OFFSET($P20,0,AM$13),15-13*ORÇAMENTO!$AF$7)/$H20*OFFSET(ORÇAMENTO!$X$15,ROW(AM20)-ROW(AM$15),0),
              ROUND(ROUND(OFFSET($P20,0,AM$13),15-13*ORÇAMENTO!$AF$7)*OFFSET(ORÇAMENTO!$W$15,ROW(AM20)-ROW(AM$15),0),15-13*ORÇAMENTO!$AF$11)),
         0)</f>
        <v>0</v>
      </c>
      <c r="AN20" s="453">
        <f ca="1">IF(AND($D20="Serviço",AN$12&lt;&gt;0,$H20&gt;0,OR(AUTOEVENTO&lt;&gt;"manual",$M20&lt;&gt;$A$15)),
        IF(Import.TipoArredondamento&lt;&gt;"TransfereGOV",
              ROUND(OFFSET($P20,0,AN$13),15-13*ORÇAMENTO!$AF$7)/$H20*OFFSET(ORÇAMENTO!$X$15,ROW(AN20)-ROW(AN$15),0),
              ROUND(ROUND(OFFSET($P20,0,AN$13),15-13*ORÇAMENTO!$AF$7)*OFFSET(ORÇAMENTO!$W$15,ROW(AN20)-ROW(AN$15),0),15-13*ORÇAMENTO!$AF$11)),
         0)</f>
        <v>0</v>
      </c>
      <c r="AO20" s="453">
        <f ca="1">IF(AND($D20="Serviço",AO$12&lt;&gt;0,$H20&gt;0,OR(AUTOEVENTO&lt;&gt;"manual",$M20&lt;&gt;$A$15)),
        IF(Import.TipoArredondamento&lt;&gt;"TransfereGOV",
              ROUND(OFFSET($P20,0,AO$13),15-13*ORÇAMENTO!$AF$7)/$H20*OFFSET(ORÇAMENTO!$X$15,ROW(AO20)-ROW(AO$15),0),
              ROUND(ROUND(OFFSET($P20,0,AO$13),15-13*ORÇAMENTO!$AF$7)*OFFSET(ORÇAMENTO!$W$15,ROW(AO20)-ROW(AO$15),0),15-13*ORÇAMENTO!$AF$11)),
         0)</f>
        <v>0</v>
      </c>
      <c r="AP20" s="453">
        <f ca="1">IF(AND($D20="Serviço",AP$12&lt;&gt;0,$H20&gt;0,OR(AUTOEVENTO&lt;&gt;"manual",$M20&lt;&gt;$A$15)),
        IF(Import.TipoArredondamento&lt;&gt;"TransfereGOV",
              ROUND(OFFSET($P20,0,AP$13),15-13*ORÇAMENTO!$AF$7)/$H20*OFFSET(ORÇAMENTO!$X$15,ROW(AP20)-ROW(AP$15),0),
              ROUND(ROUND(OFFSET($P20,0,AP$13),15-13*ORÇAMENTO!$AF$7)*OFFSET(ORÇAMENTO!$W$15,ROW(AP20)-ROW(AP$15),0),15-13*ORÇAMENTO!$AF$11)),
         0)</f>
        <v>0</v>
      </c>
      <c r="AQ20" s="453">
        <f ca="1">IF(AND($D20="Serviço",AQ$12&lt;&gt;0,$H20&gt;0,OR(AUTOEVENTO&lt;&gt;"manual",$M20&lt;&gt;$A$15)),
        IF(Import.TipoArredondamento&lt;&gt;"TransfereGOV",
              ROUND(OFFSET($P20,0,AQ$13),15-13*ORÇAMENTO!$AF$7)/$H20*OFFSET(ORÇAMENTO!$X$15,ROW(AQ20)-ROW(AQ$15),0),
              ROUND(ROUND(OFFSET($P20,0,AQ$13),15-13*ORÇAMENTO!$AF$7)*OFFSET(ORÇAMENTO!$W$15,ROW(AQ20)-ROW(AQ$15),0),15-13*ORÇAMENTO!$AF$11)),
         0)</f>
        <v>0</v>
      </c>
      <c r="AR20" s="453">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0</v>
      </c>
      <c r="AS20" s="453">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453">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0</v>
      </c>
      <c r="AU20" s="453">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453">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453">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453">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453">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453">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453">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C20" s="171">
        <f ca="1">IF(OR($D20&lt;&gt;"Serviço",AND(AUTOEVENTO="Manual",$M20=$A$15)),0,
         IF(OFFSET(CRONOPLE!$F$15,$M20-$A$15,BC$13)=0,10^12,OFFSET(CRONOPLE!$F$15,$M20-$A$15,BC$13)))</f>
        <v>1</v>
      </c>
      <c r="BD20" s="171">
        <f ca="1">IF(OR($D20&lt;&gt;"Serviço",AND(AUTOEVENTO="Manual",$M20=$A$15)),0,
         IF(OFFSET(CRONOPLE!$F$15,$M20-$A$15,BD$13)=0,10^12,OFFSET(CRONOPLE!$F$15,$M20-$A$15,BD$13)))</f>
        <v>1000000000000</v>
      </c>
      <c r="BE20" s="171">
        <f ca="1">IF(OR($D20&lt;&gt;"Serviço",AND(AUTOEVENTO="Manual",$M20=$A$15)),0,
         IF(OFFSET(CRONOPLE!$F$15,$M20-$A$15,BE$13)=0,10^12,OFFSET(CRONOPLE!$F$15,$M20-$A$15,BE$13)))</f>
        <v>1000000000000</v>
      </c>
      <c r="BF20" s="171">
        <f ca="1">IF(OR($D20&lt;&gt;"Serviço",AND(AUTOEVENTO="Manual",$M20=$A$15)),0,
         IF(OFFSET(CRONOPLE!$F$15,$M20-$A$15,BF$13)=0,10^12,OFFSET(CRONOPLE!$F$15,$M20-$A$15,BF$13)))</f>
        <v>1000000000000</v>
      </c>
      <c r="BG20" s="171">
        <f ca="1">IF(OR($D20&lt;&gt;"Serviço",AND(AUTOEVENTO="Manual",$M20=$A$15)),0,
         IF(OFFSET(CRONOPLE!$F$15,$M20-$A$15,BG$13)=0,10^12,OFFSET(CRONOPLE!$F$15,$M20-$A$15,BG$13)))</f>
        <v>1000000000000</v>
      </c>
      <c r="BH20" s="171">
        <f ca="1">IF(OR($D20&lt;&gt;"Serviço",AND(AUTOEVENTO="Manual",$M20=$A$15)),0,
         IF(OFFSET(CRONOPLE!$F$15,$M20-$A$15,BH$13)=0,10^12,OFFSET(CRONOPLE!$F$15,$M20-$A$15,BH$13)))</f>
        <v>1000000000000</v>
      </c>
      <c r="BI20" s="171">
        <f ca="1">IF(OR($D20&lt;&gt;"Serviço",AND(AUTOEVENTO="Manual",$M20=$A$15)),0,
         IF(OFFSET(CRONOPLE!$F$15,$M20-$A$15,BI$13)=0,10^12,OFFSET(CRONOPLE!$F$15,$M20-$A$15,BI$13)))</f>
        <v>1000000000000</v>
      </c>
      <c r="BJ20" s="171">
        <f ca="1">IF(OR($D20&lt;&gt;"Serviço",AND(AUTOEVENTO="Manual",$M20=$A$15)),0,
         IF(OFFSET(CRONOPLE!$F$15,$M20-$A$15,BJ$13)=0,10^12,OFFSET(CRONOPLE!$F$15,$M20-$A$15,BJ$13)))</f>
        <v>1000000000000</v>
      </c>
      <c r="BK20" s="171">
        <f ca="1">IF(OR($D20&lt;&gt;"Serviço",AND(AUTOEVENTO="Manual",$M20=$A$15)),0,
         IF(OFFSET(CRONOPLE!$F$15,$M20-$A$15,BK$13)=0,10^12,OFFSET(CRONOPLE!$F$15,$M20-$A$15,BK$13)))</f>
        <v>1000000000000</v>
      </c>
      <c r="BL20" s="171">
        <f ca="1">IF(OR($D20&lt;&gt;"Serviço",AND(AUTOEVENTO="Manual",$M20=$A$15)),0,
         IF(OFFSET(CRONOPLE!$F$15,$M20-$A$15,BL$13)=0,10^12,OFFSET(CRONOPLE!$F$15,$M20-$A$15,BL$13)))</f>
        <v>1000000000000</v>
      </c>
      <c r="BM20" s="171">
        <f ca="1">IF(OR($D20&lt;&gt;"Serviço",AND(AUTOEVENTO="Manual",$M20=$A$15)),0,
         IF(OFFSET(CRONOPLE!$F$15,$M20-$A$15,BM$13)=0,10^12,OFFSET(CRONOPLE!$F$15,$M20-$A$15,BM$13)))</f>
        <v>1000000000000</v>
      </c>
      <c r="BN20" s="171">
        <f ca="1">IF(OR($D20&lt;&gt;"Serviço",AND(AUTOEVENTO="Manual",$M20=$A$15)),0,
         IF(OFFSET(CRONOPLE!$F$15,$M20-$A$15,BN$13)=0,10^12,OFFSET(CRONOPLE!$F$15,$M20-$A$15,BN$13)))</f>
        <v>1000000000000</v>
      </c>
      <c r="BO20" s="171">
        <f ca="1">IF(OR($D20&lt;&gt;"Serviço",AND(AUTOEVENTO="Manual",$M20=$A$15)),0,
         IF(OFFSET(CRONOPLE!$F$15,$M20-$A$15,BO$13)=0,10^12,OFFSET(CRONOPLE!$F$15,$M20-$A$15,BO$13)))</f>
        <v>1000000000000</v>
      </c>
      <c r="BP20" s="171">
        <f ca="1">IF(OR($D20&lt;&gt;"Serviço",AND(AUTOEVENTO="Manual",$M20=$A$15)),0,
         IF(OFFSET(CRONOPLE!$F$15,$M20-$A$15,BP$13)=0,10^12,OFFSET(CRONOPLE!$F$15,$M20-$A$15,BP$13)))</f>
        <v>1000000000000</v>
      </c>
      <c r="BQ20" s="171">
        <f ca="1">IF(OR($D20&lt;&gt;"Serviço",AND(AUTOEVENTO="Manual",$M20=$A$15)),0,
         IF(OFFSET(CRONOPLE!$F$15,$M20-$A$15,BQ$13)=0,10^12,OFFSET(CRONOPLE!$F$15,$M20-$A$15,BQ$13)))</f>
        <v>1000000000000</v>
      </c>
      <c r="BR20" s="171">
        <f ca="1">IF(OR($D20&lt;&gt;"Serviço",AND(AUTOEVENTO="Manual",$M20=$A$15)),0,
         IF(OFFSET(CRONOPLE!$F$15,$M20-$A$15,BR$13)=0,10^12,OFFSET(CRONOPLE!$F$15,$M20-$A$15,BR$13)))</f>
        <v>1000000000000</v>
      </c>
      <c r="BS20" s="171">
        <f ca="1">IF(OR($D20&lt;&gt;"Serviço",AND(AUTOEVENTO="Manual",$M20=$A$15)),0,
         IF(OFFSET(CRONOPLE!$F$15,$M20-$A$15,BS$13)=0,10^12,OFFSET(CRONOPLE!$F$15,$M20-$A$15,BS$13)))</f>
        <v>1000000000000</v>
      </c>
      <c r="BT20" s="171">
        <f ca="1">IF(OR($D20&lt;&gt;"Serviço",AND(AUTOEVENTO="Manual",$M20=$A$15)),0,
         IF(OFFSET(CRONOPLE!$F$15,$M20-$A$15,BT$13)=0,10^12,OFFSET(CRONOPLE!$F$15,$M20-$A$15,BT$13)))</f>
        <v>1000000000000</v>
      </c>
      <c r="BV20" s="172">
        <f ca="1">IF(OR($D20&lt;&gt;"Serviço",AND(AUTOEVENTO="Manual",$M20=$A$15),$M20&gt;(ROW(PLE.lastrow)-ROW(PLE.firstrow))),0,
           IF(OFFSET(PLE!$G$15,$M20-$A$15,BV$13)="",10^12,OFFSET(PLE!$G$15,$M20-$A$15,BV$13)))</f>
        <v>1000000000000</v>
      </c>
      <c r="BW20" s="172">
        <f ca="1">IF(OR($D20&lt;&gt;"Serviço",AND(AUTOEVENTO="Manual",$M20=$A$15),$M20&gt;(ROW(PLE.lastrow)-ROW(PLE.firstrow))),0,
           IF(OFFSET(PLE!$G$15,$M20-$A$15,BW$13)="",10^12,OFFSET(PLE!$G$15,$M20-$A$15,BW$13)))</f>
        <v>1000000000000</v>
      </c>
      <c r="BX20" s="172">
        <f ca="1">IF(OR($D20&lt;&gt;"Serviço",AND(AUTOEVENTO="Manual",$M20=$A$15),$M20&gt;(ROW(PLE.lastrow)-ROW(PLE.firstrow))),0,
           IF(OFFSET(PLE!$G$15,$M20-$A$15,BX$13)="",10^12,OFFSET(PLE!$G$15,$M20-$A$15,BX$13)))</f>
        <v>1000000000000</v>
      </c>
      <c r="BY20" s="172">
        <f ca="1">IF(OR($D20&lt;&gt;"Serviço",AND(AUTOEVENTO="Manual",$M20=$A$15),$M20&gt;(ROW(PLE.lastrow)-ROW(PLE.firstrow))),0,
           IF(OFFSET(PLE!$G$15,$M20-$A$15,BY$13)="",10^12,OFFSET(PLE!$G$15,$M20-$A$15,BY$13)))</f>
        <v>1000000000000</v>
      </c>
      <c r="BZ20" s="172">
        <f ca="1">IF(OR($D20&lt;&gt;"Serviço",AND(AUTOEVENTO="Manual",$M20=$A$15),$M20&gt;(ROW(PLE.lastrow)-ROW(PLE.firstrow))),0,
           IF(OFFSET(PLE!$G$15,$M20-$A$15,BZ$13)="",10^12,OFFSET(PLE!$G$15,$M20-$A$15,BZ$13)))</f>
        <v>1000000000000</v>
      </c>
      <c r="CA20" s="172">
        <f ca="1">IF(OR($D20&lt;&gt;"Serviço",AND(AUTOEVENTO="Manual",$M20=$A$15),$M20&gt;(ROW(PLE.lastrow)-ROW(PLE.firstrow))),0,
           IF(OFFSET(PLE!$G$15,$M20-$A$15,CA$13)="",10^12,OFFSET(PLE!$G$15,$M20-$A$15,CA$13)))</f>
        <v>1000000000000</v>
      </c>
      <c r="CB20" s="172">
        <f ca="1">IF(OR($D20&lt;&gt;"Serviço",AND(AUTOEVENTO="Manual",$M20=$A$15),$M20&gt;(ROW(PLE.lastrow)-ROW(PLE.firstrow))),0,
           IF(OFFSET(PLE!$G$15,$M20-$A$15,CB$13)="",10^12,OFFSET(PLE!$G$15,$M20-$A$15,CB$13)))</f>
        <v>1000000000000</v>
      </c>
      <c r="CC20" s="172">
        <f ca="1">IF(OR($D20&lt;&gt;"Serviço",AND(AUTOEVENTO="Manual",$M20=$A$15),$M20&gt;(ROW(PLE.lastrow)-ROW(PLE.firstrow))),0,
           IF(OFFSET(PLE!$G$15,$M20-$A$15,CC$13)="",10^12,OFFSET(PLE!$G$15,$M20-$A$15,CC$13)))</f>
        <v>1000000000000</v>
      </c>
      <c r="CD20" s="172">
        <f ca="1">IF(OR($D20&lt;&gt;"Serviço",AND(AUTOEVENTO="Manual",$M20=$A$15),$M20&gt;(ROW(PLE.lastrow)-ROW(PLE.firstrow))),0,
           IF(OFFSET(PLE!$G$15,$M20-$A$15,CD$13)="",10^12,OFFSET(PLE!$G$15,$M20-$A$15,CD$13)))</f>
        <v>1000000000000</v>
      </c>
      <c r="CE20" s="172">
        <f ca="1">IF(OR($D20&lt;&gt;"Serviço",AND(AUTOEVENTO="Manual",$M20=$A$15),$M20&gt;(ROW(PLE.lastrow)-ROW(PLE.firstrow))),0,
           IF(OFFSET(PLE!$G$15,$M20-$A$15,CE$13)="",10^12,OFFSET(PLE!$G$15,$M20-$A$15,CE$13)))</f>
        <v>1000000000000</v>
      </c>
      <c r="CF20" s="172">
        <f ca="1">IF(OR($D20&lt;&gt;"Serviço",AND(AUTOEVENTO="Manual",$M20=$A$15),$M20&gt;(ROW(PLE.lastrow)-ROW(PLE.firstrow))),0,
           IF(OFFSET(PLE!$G$15,$M20-$A$15,CF$13)="",10^12,OFFSET(PLE!$G$15,$M20-$A$15,CF$13)))</f>
        <v>1000000000000</v>
      </c>
      <c r="CG20" s="172">
        <f ca="1">IF(OR($D20&lt;&gt;"Serviço",AND(AUTOEVENTO="Manual",$M20=$A$15),$M20&gt;(ROW(PLE.lastrow)-ROW(PLE.firstrow))),0,
           IF(OFFSET(PLE!$G$15,$M20-$A$15,CG$13)="",10^12,OFFSET(PLE!$G$15,$M20-$A$15,CG$13)))</f>
        <v>1000000000000</v>
      </c>
      <c r="CH20" s="172">
        <f ca="1">IF(OR($D20&lt;&gt;"Serviço",AND(AUTOEVENTO="Manual",$M20=$A$15),$M20&gt;(ROW(PLE.lastrow)-ROW(PLE.firstrow))),0,
           IF(OFFSET(PLE!$G$15,$M20-$A$15,CH$13)="",10^12,OFFSET(PLE!$G$15,$M20-$A$15,CH$13)))</f>
        <v>1000000000000</v>
      </c>
      <c r="CI20" s="172">
        <f ca="1">IF(OR($D20&lt;&gt;"Serviço",AND(AUTOEVENTO="Manual",$M20=$A$15),$M20&gt;(ROW(PLE.lastrow)-ROW(PLE.firstrow))),0,
           IF(OFFSET(PLE!$G$15,$M20-$A$15,CI$13)="",10^12,OFFSET(PLE!$G$15,$M20-$A$15,CI$13)))</f>
        <v>1000000000000</v>
      </c>
      <c r="CJ20" s="172">
        <f ca="1">IF(OR($D20&lt;&gt;"Serviço",AND(AUTOEVENTO="Manual",$M20=$A$15),$M20&gt;(ROW(PLE.lastrow)-ROW(PLE.firstrow))),0,
           IF(OFFSET(PLE!$G$15,$M20-$A$15,CJ$13)="",10^12,OFFSET(PLE!$G$15,$M20-$A$15,CJ$13)))</f>
        <v>1000000000000</v>
      </c>
      <c r="CK20" s="172">
        <f ca="1">IF(OR($D20&lt;&gt;"Serviço",AND(AUTOEVENTO="Manual",$M20=$A$15),$M20&gt;(ROW(PLE.lastrow)-ROW(PLE.firstrow))),0,
           IF(OFFSET(PLE!$G$15,$M20-$A$15,CK$13)="",10^12,OFFSET(PLE!$G$15,$M20-$A$15,CK$13)))</f>
        <v>1000000000000</v>
      </c>
      <c r="CL20" s="172">
        <f ca="1">IF(OR($D20&lt;&gt;"Serviço",AND(AUTOEVENTO="Manual",$M20=$A$15),$M20&gt;(ROW(PLE.lastrow)-ROW(PLE.firstrow))),0,
           IF(OFFSET(PLE!$G$15,$M20-$A$15,CL$13)="",10^12,OFFSET(PLE!$G$15,$M20-$A$15,CL$13)))</f>
        <v>1000000000000</v>
      </c>
      <c r="CM20" s="172">
        <f ca="1">IF(OR($D20&lt;&gt;"Serviço",AND(AUTOEVENTO="Manual",$M20=$A$15),$M20&gt;(ROW(PLE.lastrow)-ROW(PLE.firstrow))),0,
           IF(OFFSET(PLE!$G$15,$M20-$A$15,CM$13)="",10^12,OFFSET(PLE!$G$15,$M20-$A$15,CM$13)))</f>
        <v>1000000000000</v>
      </c>
    </row>
    <row r="21" spans="1:91" ht="13.2" x14ac:dyDescent="0.25">
      <c r="A21" s="7" t="str">
        <f t="shared" ca="1" si="11"/>
        <v>6.</v>
      </c>
      <c r="B21" s="7">
        <f ca="1">OFFSET(ORÇAMENTO!C$15,ROW(B21)-ROW(B$15),0)</f>
        <v>2</v>
      </c>
      <c r="C21" s="7" t="str">
        <f ca="1">OFFSET(ORÇAMENTO!L$15,ROW(C21)-ROW(C$15),0)</f>
        <v>F</v>
      </c>
      <c r="D21" s="116" t="str">
        <f ca="1">OFFSET(ORÇAMENTO!N$15,ROW(D21)-ROW(D$15),0)</f>
        <v>Nível 2</v>
      </c>
      <c r="E21" s="117" t="str">
        <f ca="1">OFFSET(ORÇAMENTO!O$15,ROW(E21)-ROW(E$15),0)</f>
        <v>1.2.</v>
      </c>
      <c r="F21" s="163" t="str">
        <f ca="1">OFFSET(ORÇAMENTO!R$15,ROW(F21)-ROW(F$15),0)</f>
        <v>ADMINISTRAÇÃO LOCAL DA OBRA</v>
      </c>
      <c r="G21" s="164" t="str">
        <f ca="1">IF($D21&lt;&gt;"Serviço","",OFFSET(ORÇAMENTO!S$15,ROW(G21)-ROW(G$15),0))</f>
        <v/>
      </c>
      <c r="H21" s="122" cm="1">
        <f t="array" aca="1" ref="H21" ca="1">IF($D21&lt;&gt;"Serviço",0,IF(ACOMPANHAMENTO="BM",ROUND(OFFSET(ORÇAMENTO!AJ$15,ROW(H21)-ROW(H$15),0),15-13*ORÇAMENTO!$AF$7),SUMPRODUCT(($Q$1:$AI$1=1)*ROUND($Q21:$AI21,15-13*ORÇAMENTO!$AF$7))))</f>
        <v>0</v>
      </c>
      <c r="I21" s="468"/>
      <c r="J21" s="651" t="str" cm="1">
        <f t="array" aca="1" ref="J21" ca="1">IF(OR(B21&lt;&gt;"S",CÁLCULO.FrentesPreenchidas=0),"",IF(AND(ACOMPANHAMENTO="PLE",AUTOEVENTO="Manual",OR(H21&gt;0,ORÇAMENTO!AC21="QUANT."),OR(K21="",M21=0,N21="")),"►E",IF(AND(ACOMPANHAMENTO="PLE",ORÇAMENTO!AC21="QUANT."),"►Q",IF(AND(ACOMPANHAMENTO="PLE",H21&lt;&gt;SUMPRODUCT(($Q$1:$AI$1=1)*ROUND(Q21:AI21,15))),"►S",IF(AND(COUNTIF($P$11:$AI$11,"▼")=0,H21&gt;0,I21=""),"◄M","")))))</f>
        <v/>
      </c>
      <c r="K21" s="652"/>
      <c r="L21" s="165" t="s">
        <v>764</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A21" s="169"/>
      <c r="AB21" s="169"/>
      <c r="AC21" s="169"/>
      <c r="AD21" s="169"/>
      <c r="AE21" s="169"/>
      <c r="AF21" s="169"/>
      <c r="AG21" s="169"/>
      <c r="AH21" s="170"/>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L21" s="453">
        <f ca="1">IF(AND($D21="Serviço",AL$12&lt;&gt;0,$H21&gt;0,OR(AUTOEVENTO&lt;&gt;"manual",$M21&lt;&gt;$A$15)),
        IF(Import.TipoArredondamento&lt;&gt;"TransfereGOV",
              ROUND(OFFSET($P21,0,AL$13),15-13*ORÇAMENTO!$AF$7)/$H21*OFFSET(ORÇAMENTO!$X$15,ROW(AL21)-ROW(AL$15),0),
              ROUND(ROUND(OFFSET($P21,0,AL$13),15-13*ORÇAMENTO!$AF$7)*OFFSET(ORÇAMENTO!$W$15,ROW(AL21)-ROW(AL$15),0),15-13*ORÇAMENTO!$AF$11)),
         0)</f>
        <v>0</v>
      </c>
      <c r="AM21" s="453">
        <f ca="1">IF(AND($D21="Serviço",AM$12&lt;&gt;0,$H21&gt;0,OR(AUTOEVENTO&lt;&gt;"manual",$M21&lt;&gt;$A$15)),
        IF(Import.TipoArredondamento&lt;&gt;"TransfereGOV",
              ROUND(OFFSET($P21,0,AM$13),15-13*ORÇAMENTO!$AF$7)/$H21*OFFSET(ORÇAMENTO!$X$15,ROW(AM21)-ROW(AM$15),0),
              ROUND(ROUND(OFFSET($P21,0,AM$13),15-13*ORÇAMENTO!$AF$7)*OFFSET(ORÇAMENTO!$W$15,ROW(AM21)-ROW(AM$15),0),15-13*ORÇAMENTO!$AF$11)),
         0)</f>
        <v>0</v>
      </c>
      <c r="AN21" s="453">
        <f ca="1">IF(AND($D21="Serviço",AN$12&lt;&gt;0,$H21&gt;0,OR(AUTOEVENTO&lt;&gt;"manual",$M21&lt;&gt;$A$15)),
        IF(Import.TipoArredondamento&lt;&gt;"TransfereGOV",
              ROUND(OFFSET($P21,0,AN$13),15-13*ORÇAMENTO!$AF$7)/$H21*OFFSET(ORÇAMENTO!$X$15,ROW(AN21)-ROW(AN$15),0),
              ROUND(ROUND(OFFSET($P21,0,AN$13),15-13*ORÇAMENTO!$AF$7)*OFFSET(ORÇAMENTO!$W$15,ROW(AN21)-ROW(AN$15),0),15-13*ORÇAMENTO!$AF$11)),
         0)</f>
        <v>0</v>
      </c>
      <c r="AO21" s="453">
        <f ca="1">IF(AND($D21="Serviço",AO$12&lt;&gt;0,$H21&gt;0,OR(AUTOEVENTO&lt;&gt;"manual",$M21&lt;&gt;$A$15)),
        IF(Import.TipoArredondamento&lt;&gt;"TransfereGOV",
              ROUND(OFFSET($P21,0,AO$13),15-13*ORÇAMENTO!$AF$7)/$H21*OFFSET(ORÇAMENTO!$X$15,ROW(AO21)-ROW(AO$15),0),
              ROUND(ROUND(OFFSET($P21,0,AO$13),15-13*ORÇAMENTO!$AF$7)*OFFSET(ORÇAMENTO!$W$15,ROW(AO21)-ROW(AO$15),0),15-13*ORÇAMENTO!$AF$11)),
         0)</f>
        <v>0</v>
      </c>
      <c r="AP21" s="453">
        <f ca="1">IF(AND($D21="Serviço",AP$12&lt;&gt;0,$H21&gt;0,OR(AUTOEVENTO&lt;&gt;"manual",$M21&lt;&gt;$A$15)),
        IF(Import.TipoArredondamento&lt;&gt;"TransfereGOV",
              ROUND(OFFSET($P21,0,AP$13),15-13*ORÇAMENTO!$AF$7)/$H21*OFFSET(ORÇAMENTO!$X$15,ROW(AP21)-ROW(AP$15),0),
              ROUND(ROUND(OFFSET($P21,0,AP$13),15-13*ORÇAMENTO!$AF$7)*OFFSET(ORÇAMENTO!$W$15,ROW(AP21)-ROW(AP$15),0),15-13*ORÇAMENTO!$AF$11)),
         0)</f>
        <v>0</v>
      </c>
      <c r="AQ21" s="453">
        <f ca="1">IF(AND($D21="Serviço",AQ$12&lt;&gt;0,$H21&gt;0,OR(AUTOEVENTO&lt;&gt;"manual",$M21&lt;&gt;$A$15)),
        IF(Import.TipoArredondamento&lt;&gt;"TransfereGOV",
              ROUND(OFFSET($P21,0,AQ$13),15-13*ORÇAMENTO!$AF$7)/$H21*OFFSET(ORÇAMENTO!$X$15,ROW(AQ21)-ROW(AQ$15),0),
              ROUND(ROUND(OFFSET($P21,0,AQ$13),15-13*ORÇAMENTO!$AF$7)*OFFSET(ORÇAMENTO!$W$15,ROW(AQ21)-ROW(AQ$15),0),15-13*ORÇAMENTO!$AF$11)),
         0)</f>
        <v>0</v>
      </c>
      <c r="AR21" s="453">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0</v>
      </c>
      <c r="AS21" s="453">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453">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453">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453">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453">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453">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453">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453">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453">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C21" s="171">
        <f ca="1">IF(OR($D21&lt;&gt;"Serviço",AND(AUTOEVENTO="Manual",$M21=$A$15)),0,
         IF(OFFSET(CRONOPLE!$F$15,$M21-$A$15,BC$13)=0,10^12,OFFSET(CRONOPLE!$F$15,$M21-$A$15,BC$13)))</f>
        <v>0</v>
      </c>
      <c r="BD21" s="171">
        <f ca="1">IF(OR($D21&lt;&gt;"Serviço",AND(AUTOEVENTO="Manual",$M21=$A$15)),0,
         IF(OFFSET(CRONOPLE!$F$15,$M21-$A$15,BD$13)=0,10^12,OFFSET(CRONOPLE!$F$15,$M21-$A$15,BD$13)))</f>
        <v>0</v>
      </c>
      <c r="BE21" s="171">
        <f ca="1">IF(OR($D21&lt;&gt;"Serviço",AND(AUTOEVENTO="Manual",$M21=$A$15)),0,
         IF(OFFSET(CRONOPLE!$F$15,$M21-$A$15,BE$13)=0,10^12,OFFSET(CRONOPLE!$F$15,$M21-$A$15,BE$13)))</f>
        <v>0</v>
      </c>
      <c r="BF21" s="171">
        <f ca="1">IF(OR($D21&lt;&gt;"Serviço",AND(AUTOEVENTO="Manual",$M21=$A$15)),0,
         IF(OFFSET(CRONOPLE!$F$15,$M21-$A$15,BF$13)=0,10^12,OFFSET(CRONOPLE!$F$15,$M21-$A$15,BF$13)))</f>
        <v>0</v>
      </c>
      <c r="BG21" s="171">
        <f ca="1">IF(OR($D21&lt;&gt;"Serviço",AND(AUTOEVENTO="Manual",$M21=$A$15)),0,
         IF(OFFSET(CRONOPLE!$F$15,$M21-$A$15,BG$13)=0,10^12,OFFSET(CRONOPLE!$F$15,$M21-$A$15,BG$13)))</f>
        <v>0</v>
      </c>
      <c r="BH21" s="171">
        <f ca="1">IF(OR($D21&lt;&gt;"Serviço",AND(AUTOEVENTO="Manual",$M21=$A$15)),0,
         IF(OFFSET(CRONOPLE!$F$15,$M21-$A$15,BH$13)=0,10^12,OFFSET(CRONOPLE!$F$15,$M21-$A$15,BH$13)))</f>
        <v>0</v>
      </c>
      <c r="BI21" s="171">
        <f ca="1">IF(OR($D21&lt;&gt;"Serviço",AND(AUTOEVENTO="Manual",$M21=$A$15)),0,
         IF(OFFSET(CRONOPLE!$F$15,$M21-$A$15,BI$13)=0,10^12,OFFSET(CRONOPLE!$F$15,$M21-$A$15,BI$13)))</f>
        <v>0</v>
      </c>
      <c r="BJ21" s="171">
        <f ca="1">IF(OR($D21&lt;&gt;"Serviço",AND(AUTOEVENTO="Manual",$M21=$A$15)),0,
         IF(OFFSET(CRONOPLE!$F$15,$M21-$A$15,BJ$13)=0,10^12,OFFSET(CRONOPLE!$F$15,$M21-$A$15,BJ$13)))</f>
        <v>0</v>
      </c>
      <c r="BK21" s="171">
        <f ca="1">IF(OR($D21&lt;&gt;"Serviço",AND(AUTOEVENTO="Manual",$M21=$A$15)),0,
         IF(OFFSET(CRONOPLE!$F$15,$M21-$A$15,BK$13)=0,10^12,OFFSET(CRONOPLE!$F$15,$M21-$A$15,BK$13)))</f>
        <v>0</v>
      </c>
      <c r="BL21" s="171">
        <f ca="1">IF(OR($D21&lt;&gt;"Serviço",AND(AUTOEVENTO="Manual",$M21=$A$15)),0,
         IF(OFFSET(CRONOPLE!$F$15,$M21-$A$15,BL$13)=0,10^12,OFFSET(CRONOPLE!$F$15,$M21-$A$15,BL$13)))</f>
        <v>0</v>
      </c>
      <c r="BM21" s="171">
        <f ca="1">IF(OR($D21&lt;&gt;"Serviço",AND(AUTOEVENTO="Manual",$M21=$A$15)),0,
         IF(OFFSET(CRONOPLE!$F$15,$M21-$A$15,BM$13)=0,10^12,OFFSET(CRONOPLE!$F$15,$M21-$A$15,BM$13)))</f>
        <v>0</v>
      </c>
      <c r="BN21" s="171">
        <f ca="1">IF(OR($D21&lt;&gt;"Serviço",AND(AUTOEVENTO="Manual",$M21=$A$15)),0,
         IF(OFFSET(CRONOPLE!$F$15,$M21-$A$15,BN$13)=0,10^12,OFFSET(CRONOPLE!$F$15,$M21-$A$15,BN$13)))</f>
        <v>0</v>
      </c>
      <c r="BO21" s="171">
        <f ca="1">IF(OR($D21&lt;&gt;"Serviço",AND(AUTOEVENTO="Manual",$M21=$A$15)),0,
         IF(OFFSET(CRONOPLE!$F$15,$M21-$A$15,BO$13)=0,10^12,OFFSET(CRONOPLE!$F$15,$M21-$A$15,BO$13)))</f>
        <v>0</v>
      </c>
      <c r="BP21" s="171">
        <f ca="1">IF(OR($D21&lt;&gt;"Serviço",AND(AUTOEVENTO="Manual",$M21=$A$15)),0,
         IF(OFFSET(CRONOPLE!$F$15,$M21-$A$15,BP$13)=0,10^12,OFFSET(CRONOPLE!$F$15,$M21-$A$15,BP$13)))</f>
        <v>0</v>
      </c>
      <c r="BQ21" s="171">
        <f ca="1">IF(OR($D21&lt;&gt;"Serviço",AND(AUTOEVENTO="Manual",$M21=$A$15)),0,
         IF(OFFSET(CRONOPLE!$F$15,$M21-$A$15,BQ$13)=0,10^12,OFFSET(CRONOPLE!$F$15,$M21-$A$15,BQ$13)))</f>
        <v>0</v>
      </c>
      <c r="BR21" s="171">
        <f ca="1">IF(OR($D21&lt;&gt;"Serviço",AND(AUTOEVENTO="Manual",$M21=$A$15)),0,
         IF(OFFSET(CRONOPLE!$F$15,$M21-$A$15,BR$13)=0,10^12,OFFSET(CRONOPLE!$F$15,$M21-$A$15,BR$13)))</f>
        <v>0</v>
      </c>
      <c r="BS21" s="171">
        <f ca="1">IF(OR($D21&lt;&gt;"Serviço",AND(AUTOEVENTO="Manual",$M21=$A$15)),0,
         IF(OFFSET(CRONOPLE!$F$15,$M21-$A$15,BS$13)=0,10^12,OFFSET(CRONOPLE!$F$15,$M21-$A$15,BS$13)))</f>
        <v>0</v>
      </c>
      <c r="BT21" s="171">
        <f ca="1">IF(OR($D21&lt;&gt;"Serviço",AND(AUTOEVENTO="Manual",$M21=$A$15)),0,
         IF(OFFSET(CRONOPLE!$F$15,$M21-$A$15,BT$13)=0,10^12,OFFSET(CRONOPLE!$F$15,$M21-$A$15,BT$13)))</f>
        <v>0</v>
      </c>
      <c r="BV21" s="172">
        <f ca="1">IF(OR($D21&lt;&gt;"Serviço",AND(AUTOEVENTO="Manual",$M21=$A$15),$M21&gt;(ROW(PLE.lastrow)-ROW(PLE.firstrow))),0,
           IF(OFFSET(PLE!$G$15,$M21-$A$15,BV$13)="",10^12,OFFSET(PLE!$G$15,$M21-$A$15,BV$13)))</f>
        <v>0</v>
      </c>
      <c r="BW21" s="172">
        <f ca="1">IF(OR($D21&lt;&gt;"Serviço",AND(AUTOEVENTO="Manual",$M21=$A$15),$M21&gt;(ROW(PLE.lastrow)-ROW(PLE.firstrow))),0,
           IF(OFFSET(PLE!$G$15,$M21-$A$15,BW$13)="",10^12,OFFSET(PLE!$G$15,$M21-$A$15,BW$13)))</f>
        <v>0</v>
      </c>
      <c r="BX21" s="172">
        <f ca="1">IF(OR($D21&lt;&gt;"Serviço",AND(AUTOEVENTO="Manual",$M21=$A$15),$M21&gt;(ROW(PLE.lastrow)-ROW(PLE.firstrow))),0,
           IF(OFFSET(PLE!$G$15,$M21-$A$15,BX$13)="",10^12,OFFSET(PLE!$G$15,$M21-$A$15,BX$13)))</f>
        <v>0</v>
      </c>
      <c r="BY21" s="172">
        <f ca="1">IF(OR($D21&lt;&gt;"Serviço",AND(AUTOEVENTO="Manual",$M21=$A$15),$M21&gt;(ROW(PLE.lastrow)-ROW(PLE.firstrow))),0,
           IF(OFFSET(PLE!$G$15,$M21-$A$15,BY$13)="",10^12,OFFSET(PLE!$G$15,$M21-$A$15,BY$13)))</f>
        <v>0</v>
      </c>
      <c r="BZ21" s="172">
        <f ca="1">IF(OR($D21&lt;&gt;"Serviço",AND(AUTOEVENTO="Manual",$M21=$A$15),$M21&gt;(ROW(PLE.lastrow)-ROW(PLE.firstrow))),0,
           IF(OFFSET(PLE!$G$15,$M21-$A$15,BZ$13)="",10^12,OFFSET(PLE!$G$15,$M21-$A$15,BZ$13)))</f>
        <v>0</v>
      </c>
      <c r="CA21" s="172">
        <f ca="1">IF(OR($D21&lt;&gt;"Serviço",AND(AUTOEVENTO="Manual",$M21=$A$15),$M21&gt;(ROW(PLE.lastrow)-ROW(PLE.firstrow))),0,
           IF(OFFSET(PLE!$G$15,$M21-$A$15,CA$13)="",10^12,OFFSET(PLE!$G$15,$M21-$A$15,CA$13)))</f>
        <v>0</v>
      </c>
      <c r="CB21" s="172">
        <f ca="1">IF(OR($D21&lt;&gt;"Serviço",AND(AUTOEVENTO="Manual",$M21=$A$15),$M21&gt;(ROW(PLE.lastrow)-ROW(PLE.firstrow))),0,
           IF(OFFSET(PLE!$G$15,$M21-$A$15,CB$13)="",10^12,OFFSET(PLE!$G$15,$M21-$A$15,CB$13)))</f>
        <v>0</v>
      </c>
      <c r="CC21" s="172">
        <f ca="1">IF(OR($D21&lt;&gt;"Serviço",AND(AUTOEVENTO="Manual",$M21=$A$15),$M21&gt;(ROW(PLE.lastrow)-ROW(PLE.firstrow))),0,
           IF(OFFSET(PLE!$G$15,$M21-$A$15,CC$13)="",10^12,OFFSET(PLE!$G$15,$M21-$A$15,CC$13)))</f>
        <v>0</v>
      </c>
      <c r="CD21" s="172">
        <f ca="1">IF(OR($D21&lt;&gt;"Serviço",AND(AUTOEVENTO="Manual",$M21=$A$15),$M21&gt;(ROW(PLE.lastrow)-ROW(PLE.firstrow))),0,
           IF(OFFSET(PLE!$G$15,$M21-$A$15,CD$13)="",10^12,OFFSET(PLE!$G$15,$M21-$A$15,CD$13)))</f>
        <v>0</v>
      </c>
      <c r="CE21" s="172">
        <f ca="1">IF(OR($D21&lt;&gt;"Serviço",AND(AUTOEVENTO="Manual",$M21=$A$15),$M21&gt;(ROW(PLE.lastrow)-ROW(PLE.firstrow))),0,
           IF(OFFSET(PLE!$G$15,$M21-$A$15,CE$13)="",10^12,OFFSET(PLE!$G$15,$M21-$A$15,CE$13)))</f>
        <v>0</v>
      </c>
      <c r="CF21" s="172">
        <f ca="1">IF(OR($D21&lt;&gt;"Serviço",AND(AUTOEVENTO="Manual",$M21=$A$15),$M21&gt;(ROW(PLE.lastrow)-ROW(PLE.firstrow))),0,
           IF(OFFSET(PLE!$G$15,$M21-$A$15,CF$13)="",10^12,OFFSET(PLE!$G$15,$M21-$A$15,CF$13)))</f>
        <v>0</v>
      </c>
      <c r="CG21" s="172">
        <f ca="1">IF(OR($D21&lt;&gt;"Serviço",AND(AUTOEVENTO="Manual",$M21=$A$15),$M21&gt;(ROW(PLE.lastrow)-ROW(PLE.firstrow))),0,
           IF(OFFSET(PLE!$G$15,$M21-$A$15,CG$13)="",10^12,OFFSET(PLE!$G$15,$M21-$A$15,CG$13)))</f>
        <v>0</v>
      </c>
      <c r="CH21" s="172">
        <f ca="1">IF(OR($D21&lt;&gt;"Serviço",AND(AUTOEVENTO="Manual",$M21=$A$15),$M21&gt;(ROW(PLE.lastrow)-ROW(PLE.firstrow))),0,
           IF(OFFSET(PLE!$G$15,$M21-$A$15,CH$13)="",10^12,OFFSET(PLE!$G$15,$M21-$A$15,CH$13)))</f>
        <v>0</v>
      </c>
      <c r="CI21" s="172">
        <f ca="1">IF(OR($D21&lt;&gt;"Serviço",AND(AUTOEVENTO="Manual",$M21=$A$15),$M21&gt;(ROW(PLE.lastrow)-ROW(PLE.firstrow))),0,
           IF(OFFSET(PLE!$G$15,$M21-$A$15,CI$13)="",10^12,OFFSET(PLE!$G$15,$M21-$A$15,CI$13)))</f>
        <v>0</v>
      </c>
      <c r="CJ21" s="172">
        <f ca="1">IF(OR($D21&lt;&gt;"Serviço",AND(AUTOEVENTO="Manual",$M21=$A$15),$M21&gt;(ROW(PLE.lastrow)-ROW(PLE.firstrow))),0,
           IF(OFFSET(PLE!$G$15,$M21-$A$15,CJ$13)="",10^12,OFFSET(PLE!$G$15,$M21-$A$15,CJ$13)))</f>
        <v>0</v>
      </c>
      <c r="CK21" s="172">
        <f ca="1">IF(OR($D21&lt;&gt;"Serviço",AND(AUTOEVENTO="Manual",$M21=$A$15),$M21&gt;(ROW(PLE.lastrow)-ROW(PLE.firstrow))),0,
           IF(OFFSET(PLE!$G$15,$M21-$A$15,CK$13)="",10^12,OFFSET(PLE!$G$15,$M21-$A$15,CK$13)))</f>
        <v>0</v>
      </c>
      <c r="CL21" s="172">
        <f ca="1">IF(OR($D21&lt;&gt;"Serviço",AND(AUTOEVENTO="Manual",$M21=$A$15),$M21&gt;(ROW(PLE.lastrow)-ROW(PLE.firstrow))),0,
           IF(OFFSET(PLE!$G$15,$M21-$A$15,CL$13)="",10^12,OFFSET(PLE!$G$15,$M21-$A$15,CL$13)))</f>
        <v>0</v>
      </c>
      <c r="CM21" s="172">
        <f ca="1">IF(OR($D21&lt;&gt;"Serviço",AND(AUTOEVENTO="Manual",$M21=$A$15),$M21&gt;(ROW(PLE.lastrow)-ROW(PLE.firstrow))),0,
           IF(OFFSET(PLE!$G$15,$M21-$A$15,CM$13)="",10^12,OFFSET(PLE!$G$15,$M21-$A$15,CM$13)))</f>
        <v>0</v>
      </c>
    </row>
    <row r="22" spans="1:91" ht="26.4" x14ac:dyDescent="0.25">
      <c r="A22" s="7" t="str">
        <f t="shared" ca="1" si="11"/>
        <v>6</v>
      </c>
      <c r="B22" s="7" t="str">
        <f ca="1">OFFSET(ORÇAMENTO!C$15,ROW(B22)-ROW(B$15),0)</f>
        <v>S</v>
      </c>
      <c r="C22" s="7" t="str">
        <f ca="1">OFFSET(ORÇAMENTO!L$15,ROW(C22)-ROW(C$15),0)</f>
        <v>F</v>
      </c>
      <c r="D22" s="116" t="str">
        <f ca="1">OFFSET(ORÇAMENTO!N$15,ROW(D22)-ROW(D$15),0)</f>
        <v>Serviço</v>
      </c>
      <c r="E22" s="117" t="str">
        <f ca="1">OFFSET(ORÇAMENTO!O$15,ROW(E22)-ROW(E$15),0)</f>
        <v>1.2.1.</v>
      </c>
      <c r="F22" s="163" t="str">
        <f ca="1">OFFSET(ORÇAMENTO!R$15,ROW(F22)-ROW(F$15),0)</f>
        <v>ADMINISTRAÇÃO LOCAL DA OBRA MENSAL</v>
      </c>
      <c r="G22" s="164" t="str">
        <f ca="1">IF($D22&lt;&gt;"Serviço","",OFFSET(ORÇAMENTO!S$15,ROW(G22)-ROW(G$15),0))</f>
        <v>MES</v>
      </c>
      <c r="H22" s="122" cm="1">
        <f t="array" aca="1" ref="H22" ca="1">IF($D22&lt;&gt;"Serviço",0,IF(ACOMPANHAMENTO="BM",ROUND(OFFSET(ORÇAMENTO!AJ$15,ROW(H22)-ROW(H$15),0),15-13*ORÇAMENTO!$AF$7),SUMPRODUCT(($Q$1:$AI$1=1)*ROUND($Q22:$AI22,15-13*ORÇAMENTO!$AF$7))))</f>
        <v>6</v>
      </c>
      <c r="I22" s="468"/>
      <c r="J22" s="651" t="e" cm="1">
        <f t="array" aca="1" ref="J22" ca="1">IF(OR(B22&lt;&gt;"S",CÁLCULO.FrentesPreenchidas=0),"",IF(AND(ACOMPANHAMENTO="PLE",AUTOEVENTO="Manual",OR(H22&gt;0,ORÇAMENTO!AC22="QUANT."),OR(K22="",M22=0,N22="")),"►E",IF(AND(ACOMPANHAMENTO="PLE",ORÇAMENTO!AC22="QUANT."),"►Q",IF(AND(ACOMPANHAMENTO="PLE",H22&lt;&gt;SUMPRODUCT(($Q$1:$AI$1=1)*ROUND(Q22:AI22,15))),"►S",IF(AND(COUNTIF($P$11:$AI$11,"▼")=0,H22&gt;0,I22=""),"◄M","")))))</f>
        <v>#NAME?</v>
      </c>
      <c r="K22" s="652"/>
      <c r="L22" s="165" t="s">
        <v>764</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ADMINISTRAÇÃO LOCAL DA OBRA</v>
      </c>
      <c r="O22" s="168"/>
      <c r="Q22" s="168"/>
      <c r="R22" s="169"/>
      <c r="S22" s="169">
        <v>1.5</v>
      </c>
      <c r="T22" s="169">
        <v>1.5</v>
      </c>
      <c r="U22" s="169">
        <v>1.5</v>
      </c>
      <c r="V22" s="169">
        <v>1.5</v>
      </c>
      <c r="W22" s="169"/>
      <c r="X22" s="169"/>
      <c r="Y22" s="169"/>
      <c r="Z22" s="170"/>
      <c r="AA22" s="169"/>
      <c r="AB22" s="169"/>
      <c r="AC22" s="169"/>
      <c r="AD22" s="169"/>
      <c r="AE22" s="169"/>
      <c r="AF22" s="169"/>
      <c r="AG22" s="169"/>
      <c r="AH22" s="170"/>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L22" s="453">
        <f ca="1">IF(AND($D22="Serviço",AL$12&lt;&gt;0,$H22&gt;0,OR(AUTOEVENTO&lt;&gt;"manual",$M22&lt;&gt;$A$15)),
        IF(Import.TipoArredondamento&lt;&gt;"TransfereGOV",
              ROUND(OFFSET($P22,0,AL$13),15-13*ORÇAMENTO!$AF$7)/$H22*OFFSET(ORÇAMENTO!$X$15,ROW(AL22)-ROW(AL$15),0),
              ROUND(ROUND(OFFSET($P22,0,AL$13),15-13*ORÇAMENTO!$AF$7)*OFFSET(ORÇAMENTO!$W$15,ROW(AL22)-ROW(AL$15),0),15-13*ORÇAMENTO!$AF$11)),
         0)</f>
        <v>9307.56</v>
      </c>
      <c r="AM22" s="453">
        <f ca="1">IF(AND($D22="Serviço",AM$12&lt;&gt;0,$H22&gt;0,OR(AUTOEVENTO&lt;&gt;"manual",$M22&lt;&gt;$A$15)),
        IF(Import.TipoArredondamento&lt;&gt;"TransfereGOV",
              ROUND(OFFSET($P22,0,AM$13),15-13*ORÇAMENTO!$AF$7)/$H22*OFFSET(ORÇAMENTO!$X$15,ROW(AM22)-ROW(AM$15),0),
              ROUND(ROUND(OFFSET($P22,0,AM$13),15-13*ORÇAMENTO!$AF$7)*OFFSET(ORÇAMENTO!$W$15,ROW(AM22)-ROW(AM$15),0),15-13*ORÇAMENTO!$AF$11)),
         0)</f>
        <v>9307.56</v>
      </c>
      <c r="AN22" s="453">
        <f ca="1">IF(AND($D22="Serviço",AN$12&lt;&gt;0,$H22&gt;0,OR(AUTOEVENTO&lt;&gt;"manual",$M22&lt;&gt;$A$15)),
        IF(Import.TipoArredondamento&lt;&gt;"TransfereGOV",
              ROUND(OFFSET($P22,0,AN$13),15-13*ORÇAMENTO!$AF$7)/$H22*OFFSET(ORÇAMENTO!$X$15,ROW(AN22)-ROW(AN$15),0),
              ROUND(ROUND(OFFSET($P22,0,AN$13),15-13*ORÇAMENTO!$AF$7)*OFFSET(ORÇAMENTO!$W$15,ROW(AN22)-ROW(AN$15),0),15-13*ORÇAMENTO!$AF$11)),
         0)</f>
        <v>9307.56</v>
      </c>
      <c r="AO22" s="453">
        <f ca="1">IF(AND($D22="Serviço",AO$12&lt;&gt;0,$H22&gt;0,OR(AUTOEVENTO&lt;&gt;"manual",$M22&lt;&gt;$A$15)),
        IF(Import.TipoArredondamento&lt;&gt;"TransfereGOV",
              ROUND(OFFSET($P22,0,AO$13),15-13*ORÇAMENTO!$AF$7)/$H22*OFFSET(ORÇAMENTO!$X$15,ROW(AO22)-ROW(AO$15),0),
              ROUND(ROUND(OFFSET($P22,0,AO$13),15-13*ORÇAMENTO!$AF$7)*OFFSET(ORÇAMENTO!$W$15,ROW(AO22)-ROW(AO$15),0),15-13*ORÇAMENTO!$AF$11)),
         0)</f>
        <v>9307.56</v>
      </c>
      <c r="AP22" s="453">
        <f ca="1">IF(AND($D22="Serviço",AP$12&lt;&gt;0,$H22&gt;0,OR(AUTOEVENTO&lt;&gt;"manual",$M22&lt;&gt;$A$15)),
        IF(Import.TipoArredondamento&lt;&gt;"TransfereGOV",
              ROUND(OFFSET($P22,0,AP$13),15-13*ORÇAMENTO!$AF$7)/$H22*OFFSET(ORÇAMENTO!$X$15,ROW(AP22)-ROW(AP$15),0),
              ROUND(ROUND(OFFSET($P22,0,AP$13),15-13*ORÇAMENTO!$AF$7)*OFFSET(ORÇAMENTO!$W$15,ROW(AP22)-ROW(AP$15),0),15-13*ORÇAMENTO!$AF$11)),
         0)</f>
        <v>0</v>
      </c>
      <c r="AQ22" s="453">
        <f ca="1">IF(AND($D22="Serviço",AQ$12&lt;&gt;0,$H22&gt;0,OR(AUTOEVENTO&lt;&gt;"manual",$M22&lt;&gt;$A$15)),
        IF(Import.TipoArredondamento&lt;&gt;"TransfereGOV",
              ROUND(OFFSET($P22,0,AQ$13),15-13*ORÇAMENTO!$AF$7)/$H22*OFFSET(ORÇAMENTO!$X$15,ROW(AQ22)-ROW(AQ$15),0),
              ROUND(ROUND(OFFSET($P22,0,AQ$13),15-13*ORÇAMENTO!$AF$7)*OFFSET(ORÇAMENTO!$W$15,ROW(AQ22)-ROW(AQ$15),0),15-13*ORÇAMENTO!$AF$11)),
         0)</f>
        <v>0</v>
      </c>
      <c r="AR22" s="453">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453">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453">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0</v>
      </c>
      <c r="AU22" s="453">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453">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453">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453">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453">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453">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453">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C22" s="171">
        <f ca="1">IF(OR($D22&lt;&gt;"Serviço",AND(AUTOEVENTO="Manual",$M22=$A$15)),0,
         IF(OFFSET(CRONOPLE!$F$15,$M22-$A$15,BC$13)=0,10^12,OFFSET(CRONOPLE!$F$15,$M22-$A$15,BC$13)))</f>
        <v>1000000000000</v>
      </c>
      <c r="BD22" s="171">
        <f ca="1">IF(OR($D22&lt;&gt;"Serviço",AND(AUTOEVENTO="Manual",$M22=$A$15)),0,
         IF(OFFSET(CRONOPLE!$F$15,$M22-$A$15,BD$13)=0,10^12,OFFSET(CRONOPLE!$F$15,$M22-$A$15,BD$13)))</f>
        <v>1</v>
      </c>
      <c r="BE22" s="171">
        <f ca="1">IF(OR($D22&lt;&gt;"Serviço",AND(AUTOEVENTO="Manual",$M22=$A$15)),0,
         IF(OFFSET(CRONOPLE!$F$15,$M22-$A$15,BE$13)=0,10^12,OFFSET(CRONOPLE!$F$15,$M22-$A$15,BE$13)))</f>
        <v>2</v>
      </c>
      <c r="BF22" s="171">
        <f ca="1">IF(OR($D22&lt;&gt;"Serviço",AND(AUTOEVENTO="Manual",$M22=$A$15)),0,
         IF(OFFSET(CRONOPLE!$F$15,$M22-$A$15,BF$13)=0,10^12,OFFSET(CRONOPLE!$F$15,$M22-$A$15,BF$13)))</f>
        <v>3</v>
      </c>
      <c r="BG22" s="171">
        <f ca="1">IF(OR($D22&lt;&gt;"Serviço",AND(AUTOEVENTO="Manual",$M22=$A$15)),0,
         IF(OFFSET(CRONOPLE!$F$15,$M22-$A$15,BG$13)=0,10^12,OFFSET(CRONOPLE!$F$15,$M22-$A$15,BG$13)))</f>
        <v>5</v>
      </c>
      <c r="BH22" s="171">
        <f ca="1">IF(OR($D22&lt;&gt;"Serviço",AND(AUTOEVENTO="Manual",$M22=$A$15)),0,
         IF(OFFSET(CRONOPLE!$F$15,$M22-$A$15,BH$13)=0,10^12,OFFSET(CRONOPLE!$F$15,$M22-$A$15,BH$13)))</f>
        <v>6</v>
      </c>
      <c r="BI22" s="171">
        <f ca="1">IF(OR($D22&lt;&gt;"Serviço",AND(AUTOEVENTO="Manual",$M22=$A$15)),0,
         IF(OFFSET(CRONOPLE!$F$15,$M22-$A$15,BI$13)=0,10^12,OFFSET(CRONOPLE!$F$15,$M22-$A$15,BI$13)))</f>
        <v>1000000000000</v>
      </c>
      <c r="BJ22" s="171">
        <f ca="1">IF(OR($D22&lt;&gt;"Serviço",AND(AUTOEVENTO="Manual",$M22=$A$15)),0,
         IF(OFFSET(CRONOPLE!$F$15,$M22-$A$15,BJ$13)=0,10^12,OFFSET(CRONOPLE!$F$15,$M22-$A$15,BJ$13)))</f>
        <v>1000000000000</v>
      </c>
      <c r="BK22" s="171">
        <f ca="1">IF(OR($D22&lt;&gt;"Serviço",AND(AUTOEVENTO="Manual",$M22=$A$15)),0,
         IF(OFFSET(CRONOPLE!$F$15,$M22-$A$15,BK$13)=0,10^12,OFFSET(CRONOPLE!$F$15,$M22-$A$15,BK$13)))</f>
        <v>2</v>
      </c>
      <c r="BL22" s="171">
        <f ca="1">IF(OR($D22&lt;&gt;"Serviço",AND(AUTOEVENTO="Manual",$M22=$A$15)),0,
         IF(OFFSET(CRONOPLE!$F$15,$M22-$A$15,BL$13)=0,10^12,OFFSET(CRONOPLE!$F$15,$M22-$A$15,BL$13)))</f>
        <v>1000000000000</v>
      </c>
      <c r="BM22" s="171">
        <f ca="1">IF(OR($D22&lt;&gt;"Serviço",AND(AUTOEVENTO="Manual",$M22=$A$15)),0,
         IF(OFFSET(CRONOPLE!$F$15,$M22-$A$15,BM$13)=0,10^12,OFFSET(CRONOPLE!$F$15,$M22-$A$15,BM$13)))</f>
        <v>3</v>
      </c>
      <c r="BN22" s="171">
        <f ca="1">IF(OR($D22&lt;&gt;"Serviço",AND(AUTOEVENTO="Manual",$M22=$A$15)),0,
         IF(OFFSET(CRONOPLE!$F$15,$M22-$A$15,BN$13)=0,10^12,OFFSET(CRONOPLE!$F$15,$M22-$A$15,BN$13)))</f>
        <v>4</v>
      </c>
      <c r="BO22" s="171">
        <f ca="1">IF(OR($D22&lt;&gt;"Serviço",AND(AUTOEVENTO="Manual",$M22=$A$15)),0,
         IF(OFFSET(CRONOPLE!$F$15,$M22-$A$15,BO$13)=0,10^12,OFFSET(CRONOPLE!$F$15,$M22-$A$15,BO$13)))</f>
        <v>1000000000000</v>
      </c>
      <c r="BP22" s="171">
        <f ca="1">IF(OR($D22&lt;&gt;"Serviço",AND(AUTOEVENTO="Manual",$M22=$A$15)),0,
         IF(OFFSET(CRONOPLE!$F$15,$M22-$A$15,BP$13)=0,10^12,OFFSET(CRONOPLE!$F$15,$M22-$A$15,BP$13)))</f>
        <v>1000000000000</v>
      </c>
      <c r="BQ22" s="171">
        <f ca="1">IF(OR($D22&lt;&gt;"Serviço",AND(AUTOEVENTO="Manual",$M22=$A$15)),0,
         IF(OFFSET(CRONOPLE!$F$15,$M22-$A$15,BQ$13)=0,10^12,OFFSET(CRONOPLE!$F$15,$M22-$A$15,BQ$13)))</f>
        <v>1000000000000</v>
      </c>
      <c r="BR22" s="171">
        <f ca="1">IF(OR($D22&lt;&gt;"Serviço",AND(AUTOEVENTO="Manual",$M22=$A$15)),0,
         IF(OFFSET(CRONOPLE!$F$15,$M22-$A$15,BR$13)=0,10^12,OFFSET(CRONOPLE!$F$15,$M22-$A$15,BR$13)))</f>
        <v>1000000000000</v>
      </c>
      <c r="BS22" s="171">
        <f ca="1">IF(OR($D22&lt;&gt;"Serviço",AND(AUTOEVENTO="Manual",$M22=$A$15)),0,
         IF(OFFSET(CRONOPLE!$F$15,$M22-$A$15,BS$13)=0,10^12,OFFSET(CRONOPLE!$F$15,$M22-$A$15,BS$13)))</f>
        <v>1000000000000</v>
      </c>
      <c r="BT22" s="171">
        <f ca="1">IF(OR($D22&lt;&gt;"Serviço",AND(AUTOEVENTO="Manual",$M22=$A$15)),0,
         IF(OFFSET(CRONOPLE!$F$15,$M22-$A$15,BT$13)=0,10^12,OFFSET(CRONOPLE!$F$15,$M22-$A$15,BT$13)))</f>
        <v>1000000000000</v>
      </c>
      <c r="BV22" s="172">
        <f ca="1">IF(OR($D22&lt;&gt;"Serviço",AND(AUTOEVENTO="Manual",$M22=$A$15),$M22&gt;(ROW(PLE.lastrow)-ROW(PLE.firstrow))),0,
           IF(OFFSET(PLE!$G$15,$M22-$A$15,BV$13)="",10^12,OFFSET(PLE!$G$15,$M22-$A$15,BV$13)))</f>
        <v>1000000000000</v>
      </c>
      <c r="BW22" s="172">
        <f ca="1">IF(OR($D22&lt;&gt;"Serviço",AND(AUTOEVENTO="Manual",$M22=$A$15),$M22&gt;(ROW(PLE.lastrow)-ROW(PLE.firstrow))),0,
           IF(OFFSET(PLE!$G$15,$M22-$A$15,BW$13)="",10^12,OFFSET(PLE!$G$15,$M22-$A$15,BW$13)))</f>
        <v>1000000000000</v>
      </c>
      <c r="BX22" s="172">
        <f ca="1">IF(OR($D22&lt;&gt;"Serviço",AND(AUTOEVENTO="Manual",$M22=$A$15),$M22&gt;(ROW(PLE.lastrow)-ROW(PLE.firstrow))),0,
           IF(OFFSET(PLE!$G$15,$M22-$A$15,BX$13)="",10^12,OFFSET(PLE!$G$15,$M22-$A$15,BX$13)))</f>
        <v>1000000000000</v>
      </c>
      <c r="BY22" s="172">
        <f ca="1">IF(OR($D22&lt;&gt;"Serviço",AND(AUTOEVENTO="Manual",$M22=$A$15),$M22&gt;(ROW(PLE.lastrow)-ROW(PLE.firstrow))),0,
           IF(OFFSET(PLE!$G$15,$M22-$A$15,BY$13)="",10^12,OFFSET(PLE!$G$15,$M22-$A$15,BY$13)))</f>
        <v>1000000000000</v>
      </c>
      <c r="BZ22" s="172">
        <f ca="1">IF(OR($D22&lt;&gt;"Serviço",AND(AUTOEVENTO="Manual",$M22=$A$15),$M22&gt;(ROW(PLE.lastrow)-ROW(PLE.firstrow))),0,
           IF(OFFSET(PLE!$G$15,$M22-$A$15,BZ$13)="",10^12,OFFSET(PLE!$G$15,$M22-$A$15,BZ$13)))</f>
        <v>1000000000000</v>
      </c>
      <c r="CA22" s="172">
        <f ca="1">IF(OR($D22&lt;&gt;"Serviço",AND(AUTOEVENTO="Manual",$M22=$A$15),$M22&gt;(ROW(PLE.lastrow)-ROW(PLE.firstrow))),0,
           IF(OFFSET(PLE!$G$15,$M22-$A$15,CA$13)="",10^12,OFFSET(PLE!$G$15,$M22-$A$15,CA$13)))</f>
        <v>1000000000000</v>
      </c>
      <c r="CB22" s="172">
        <f ca="1">IF(OR($D22&lt;&gt;"Serviço",AND(AUTOEVENTO="Manual",$M22=$A$15),$M22&gt;(ROW(PLE.lastrow)-ROW(PLE.firstrow))),0,
           IF(OFFSET(PLE!$G$15,$M22-$A$15,CB$13)="",10^12,OFFSET(PLE!$G$15,$M22-$A$15,CB$13)))</f>
        <v>1000000000000</v>
      </c>
      <c r="CC22" s="172">
        <f ca="1">IF(OR($D22&lt;&gt;"Serviço",AND(AUTOEVENTO="Manual",$M22=$A$15),$M22&gt;(ROW(PLE.lastrow)-ROW(PLE.firstrow))),0,
           IF(OFFSET(PLE!$G$15,$M22-$A$15,CC$13)="",10^12,OFFSET(PLE!$G$15,$M22-$A$15,CC$13)))</f>
        <v>1000000000000</v>
      </c>
      <c r="CD22" s="172">
        <f ca="1">IF(OR($D22&lt;&gt;"Serviço",AND(AUTOEVENTO="Manual",$M22=$A$15),$M22&gt;(ROW(PLE.lastrow)-ROW(PLE.firstrow))),0,
           IF(OFFSET(PLE!$G$15,$M22-$A$15,CD$13)="",10^12,OFFSET(PLE!$G$15,$M22-$A$15,CD$13)))</f>
        <v>1000000000000</v>
      </c>
      <c r="CE22" s="172">
        <f ca="1">IF(OR($D22&lt;&gt;"Serviço",AND(AUTOEVENTO="Manual",$M22=$A$15),$M22&gt;(ROW(PLE.lastrow)-ROW(PLE.firstrow))),0,
           IF(OFFSET(PLE!$G$15,$M22-$A$15,CE$13)="",10^12,OFFSET(PLE!$G$15,$M22-$A$15,CE$13)))</f>
        <v>1000000000000</v>
      </c>
      <c r="CF22" s="172">
        <f ca="1">IF(OR($D22&lt;&gt;"Serviço",AND(AUTOEVENTO="Manual",$M22=$A$15),$M22&gt;(ROW(PLE.lastrow)-ROW(PLE.firstrow))),0,
           IF(OFFSET(PLE!$G$15,$M22-$A$15,CF$13)="",10^12,OFFSET(PLE!$G$15,$M22-$A$15,CF$13)))</f>
        <v>1000000000000</v>
      </c>
      <c r="CG22" s="172">
        <f ca="1">IF(OR($D22&lt;&gt;"Serviço",AND(AUTOEVENTO="Manual",$M22=$A$15),$M22&gt;(ROW(PLE.lastrow)-ROW(PLE.firstrow))),0,
           IF(OFFSET(PLE!$G$15,$M22-$A$15,CG$13)="",10^12,OFFSET(PLE!$G$15,$M22-$A$15,CG$13)))</f>
        <v>1000000000000</v>
      </c>
      <c r="CH22" s="172">
        <f ca="1">IF(OR($D22&lt;&gt;"Serviço",AND(AUTOEVENTO="Manual",$M22=$A$15),$M22&gt;(ROW(PLE.lastrow)-ROW(PLE.firstrow))),0,
           IF(OFFSET(PLE!$G$15,$M22-$A$15,CH$13)="",10^12,OFFSET(PLE!$G$15,$M22-$A$15,CH$13)))</f>
        <v>1000000000000</v>
      </c>
      <c r="CI22" s="172">
        <f ca="1">IF(OR($D22&lt;&gt;"Serviço",AND(AUTOEVENTO="Manual",$M22=$A$15),$M22&gt;(ROW(PLE.lastrow)-ROW(PLE.firstrow))),0,
           IF(OFFSET(PLE!$G$15,$M22-$A$15,CI$13)="",10^12,OFFSET(PLE!$G$15,$M22-$A$15,CI$13)))</f>
        <v>1000000000000</v>
      </c>
      <c r="CJ22" s="172">
        <f ca="1">IF(OR($D22&lt;&gt;"Serviço",AND(AUTOEVENTO="Manual",$M22=$A$15),$M22&gt;(ROW(PLE.lastrow)-ROW(PLE.firstrow))),0,
           IF(OFFSET(PLE!$G$15,$M22-$A$15,CJ$13)="",10^12,OFFSET(PLE!$G$15,$M22-$A$15,CJ$13)))</f>
        <v>1000000000000</v>
      </c>
      <c r="CK22" s="172">
        <f ca="1">IF(OR($D22&lt;&gt;"Serviço",AND(AUTOEVENTO="Manual",$M22=$A$15),$M22&gt;(ROW(PLE.lastrow)-ROW(PLE.firstrow))),0,
           IF(OFFSET(PLE!$G$15,$M22-$A$15,CK$13)="",10^12,OFFSET(PLE!$G$15,$M22-$A$15,CK$13)))</f>
        <v>1000000000000</v>
      </c>
      <c r="CL22" s="172">
        <f ca="1">IF(OR($D22&lt;&gt;"Serviço",AND(AUTOEVENTO="Manual",$M22=$A$15),$M22&gt;(ROW(PLE.lastrow)-ROW(PLE.firstrow))),0,
           IF(OFFSET(PLE!$G$15,$M22-$A$15,CL$13)="",10^12,OFFSET(PLE!$G$15,$M22-$A$15,CL$13)))</f>
        <v>1000000000000</v>
      </c>
      <c r="CM22" s="172">
        <f ca="1">IF(OR($D22&lt;&gt;"Serviço",AND(AUTOEVENTO="Manual",$M22=$A$15),$M22&gt;(ROW(PLE.lastrow)-ROW(PLE.firstrow))),0,
           IF(OFFSET(PLE!$G$15,$M22-$A$15,CM$13)="",10^12,OFFSET(PLE!$G$15,$M22-$A$15,CM$13)))</f>
        <v>1000000000000</v>
      </c>
    </row>
    <row r="23" spans="1:91" ht="13.2" x14ac:dyDescent="0.25">
      <c r="A23" s="7" t="str">
        <f t="shared" ca="1" si="11"/>
        <v>8.</v>
      </c>
      <c r="B23" s="7">
        <f ca="1">OFFSET(ORÇAMENTO!C$15,ROW(B23)-ROW(B$15),0)</f>
        <v>2</v>
      </c>
      <c r="C23" s="7" t="str">
        <f ca="1">OFFSET(ORÇAMENTO!L$15,ROW(C23)-ROW(C$15),0)</f>
        <v>F</v>
      </c>
      <c r="D23" s="116" t="str">
        <f ca="1">OFFSET(ORÇAMENTO!N$15,ROW(D23)-ROW(D$15),0)</f>
        <v>Nível 2</v>
      </c>
      <c r="E23" s="117" t="str">
        <f ca="1">OFFSET(ORÇAMENTO!O$15,ROW(E23)-ROW(E$15),0)</f>
        <v>1.3.</v>
      </c>
      <c r="F23" s="163" t="str">
        <f ca="1">OFFSET(ORÇAMENTO!R$15,ROW(F23)-ROW(F$15),0)</f>
        <v>DRENAGEM</v>
      </c>
      <c r="G23" s="164" t="str">
        <f ca="1">IF($D23&lt;&gt;"Serviço","",OFFSET(ORÇAMENTO!S$15,ROW(G23)-ROW(G$15),0))</f>
        <v/>
      </c>
      <c r="H23" s="122" cm="1">
        <f t="array" aca="1" ref="H23" ca="1">IF($D23&lt;&gt;"Serviço",0,IF(ACOMPANHAMENTO="BM",ROUND(OFFSET(ORÇAMENTO!AJ$15,ROW(H23)-ROW(H$15),0),15-13*ORÇAMENTO!$AF$7),SUMPRODUCT(($Q$1:$AI$1=1)*ROUND($Q23:$AI23,15-13*ORÇAMENTO!$AF$7))))</f>
        <v>0</v>
      </c>
      <c r="I23" s="468"/>
      <c r="J23" s="651" t="str" cm="1">
        <f t="array" aca="1" ref="J23" ca="1">IF(OR(B23&lt;&gt;"S",CÁLCULO.FrentesPreenchidas=0),"",IF(AND(ACOMPANHAMENTO="PLE",AUTOEVENTO="Manual",OR(H23&gt;0,ORÇAMENTO!AC23="QUANT."),OR(K23="",M23=0,N23="")),"►E",IF(AND(ACOMPANHAMENTO="PLE",ORÇAMENTO!AC23="QUANT."),"►Q",IF(AND(ACOMPANHAMENTO="PLE",H23&lt;&gt;SUMPRODUCT(($Q$1:$AI$1=1)*ROUND(Q23:AI23,15))),"►S",IF(AND(COUNTIF($P$11:$AI$11,"▼")=0,H23&gt;0,I23=""),"◄M","")))))</f>
        <v/>
      </c>
      <c r="K23" s="652"/>
      <c r="L23" s="165" t="s">
        <v>764</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A23" s="169"/>
      <c r="AB23" s="169"/>
      <c r="AC23" s="169"/>
      <c r="AD23" s="169"/>
      <c r="AE23" s="169"/>
      <c r="AF23" s="169"/>
      <c r="AG23" s="169"/>
      <c r="AH23" s="170"/>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L23" s="453">
        <f ca="1">IF(AND($D23="Serviço",AL$12&lt;&gt;0,$H23&gt;0,OR(AUTOEVENTO&lt;&gt;"manual",$M23&lt;&gt;$A$15)),
        IF(Import.TipoArredondamento&lt;&gt;"TransfereGOV",
              ROUND(OFFSET($P23,0,AL$13),15-13*ORÇAMENTO!$AF$7)/$H23*OFFSET(ORÇAMENTO!$X$15,ROW(AL23)-ROW(AL$15),0),
              ROUND(ROUND(OFFSET($P23,0,AL$13),15-13*ORÇAMENTO!$AF$7)*OFFSET(ORÇAMENTO!$W$15,ROW(AL23)-ROW(AL$15),0),15-13*ORÇAMENTO!$AF$11)),
         0)</f>
        <v>0</v>
      </c>
      <c r="AM23" s="453">
        <f ca="1">IF(AND($D23="Serviço",AM$12&lt;&gt;0,$H23&gt;0,OR(AUTOEVENTO&lt;&gt;"manual",$M23&lt;&gt;$A$15)),
        IF(Import.TipoArredondamento&lt;&gt;"TransfereGOV",
              ROUND(OFFSET($P23,0,AM$13),15-13*ORÇAMENTO!$AF$7)/$H23*OFFSET(ORÇAMENTO!$X$15,ROW(AM23)-ROW(AM$15),0),
              ROUND(ROUND(OFFSET($P23,0,AM$13),15-13*ORÇAMENTO!$AF$7)*OFFSET(ORÇAMENTO!$W$15,ROW(AM23)-ROW(AM$15),0),15-13*ORÇAMENTO!$AF$11)),
         0)</f>
        <v>0</v>
      </c>
      <c r="AN23" s="453">
        <f ca="1">IF(AND($D23="Serviço",AN$12&lt;&gt;0,$H23&gt;0,OR(AUTOEVENTO&lt;&gt;"manual",$M23&lt;&gt;$A$15)),
        IF(Import.TipoArredondamento&lt;&gt;"TransfereGOV",
              ROUND(OFFSET($P23,0,AN$13),15-13*ORÇAMENTO!$AF$7)/$H23*OFFSET(ORÇAMENTO!$X$15,ROW(AN23)-ROW(AN$15),0),
              ROUND(ROUND(OFFSET($P23,0,AN$13),15-13*ORÇAMENTO!$AF$7)*OFFSET(ORÇAMENTO!$W$15,ROW(AN23)-ROW(AN$15),0),15-13*ORÇAMENTO!$AF$11)),
         0)</f>
        <v>0</v>
      </c>
      <c r="AO23" s="453">
        <f ca="1">IF(AND($D23="Serviço",AO$12&lt;&gt;0,$H23&gt;0,OR(AUTOEVENTO&lt;&gt;"manual",$M23&lt;&gt;$A$15)),
        IF(Import.TipoArredondamento&lt;&gt;"TransfereGOV",
              ROUND(OFFSET($P23,0,AO$13),15-13*ORÇAMENTO!$AF$7)/$H23*OFFSET(ORÇAMENTO!$X$15,ROW(AO23)-ROW(AO$15),0),
              ROUND(ROUND(OFFSET($P23,0,AO$13),15-13*ORÇAMENTO!$AF$7)*OFFSET(ORÇAMENTO!$W$15,ROW(AO23)-ROW(AO$15),0),15-13*ORÇAMENTO!$AF$11)),
         0)</f>
        <v>0</v>
      </c>
      <c r="AP23" s="453">
        <f ca="1">IF(AND($D23="Serviço",AP$12&lt;&gt;0,$H23&gt;0,OR(AUTOEVENTO&lt;&gt;"manual",$M23&lt;&gt;$A$15)),
        IF(Import.TipoArredondamento&lt;&gt;"TransfereGOV",
              ROUND(OFFSET($P23,0,AP$13),15-13*ORÇAMENTO!$AF$7)/$H23*OFFSET(ORÇAMENTO!$X$15,ROW(AP23)-ROW(AP$15),0),
              ROUND(ROUND(OFFSET($P23,0,AP$13),15-13*ORÇAMENTO!$AF$7)*OFFSET(ORÇAMENTO!$W$15,ROW(AP23)-ROW(AP$15),0),15-13*ORÇAMENTO!$AF$11)),
         0)</f>
        <v>0</v>
      </c>
      <c r="AQ23" s="453">
        <f ca="1">IF(AND($D23="Serviço",AQ$12&lt;&gt;0,$H23&gt;0,OR(AUTOEVENTO&lt;&gt;"manual",$M23&lt;&gt;$A$15)),
        IF(Import.TipoArredondamento&lt;&gt;"TransfereGOV",
              ROUND(OFFSET($P23,0,AQ$13),15-13*ORÇAMENTO!$AF$7)/$H23*OFFSET(ORÇAMENTO!$X$15,ROW(AQ23)-ROW(AQ$15),0),
              ROUND(ROUND(OFFSET($P23,0,AQ$13),15-13*ORÇAMENTO!$AF$7)*OFFSET(ORÇAMENTO!$W$15,ROW(AQ23)-ROW(AQ$15),0),15-13*ORÇAMENTO!$AF$11)),
         0)</f>
        <v>0</v>
      </c>
      <c r="AR23" s="453">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453">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453">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0</v>
      </c>
      <c r="AU23" s="453">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453">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453">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453">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453">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453">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453">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C23" s="171">
        <f ca="1">IF(OR($D23&lt;&gt;"Serviço",AND(AUTOEVENTO="Manual",$M23=$A$15)),0,
         IF(OFFSET(CRONOPLE!$F$15,$M23-$A$15,BC$13)=0,10^12,OFFSET(CRONOPLE!$F$15,$M23-$A$15,BC$13)))</f>
        <v>0</v>
      </c>
      <c r="BD23" s="171">
        <f ca="1">IF(OR($D23&lt;&gt;"Serviço",AND(AUTOEVENTO="Manual",$M23=$A$15)),0,
         IF(OFFSET(CRONOPLE!$F$15,$M23-$A$15,BD$13)=0,10^12,OFFSET(CRONOPLE!$F$15,$M23-$A$15,BD$13)))</f>
        <v>0</v>
      </c>
      <c r="BE23" s="171">
        <f ca="1">IF(OR($D23&lt;&gt;"Serviço",AND(AUTOEVENTO="Manual",$M23=$A$15)),0,
         IF(OFFSET(CRONOPLE!$F$15,$M23-$A$15,BE$13)=0,10^12,OFFSET(CRONOPLE!$F$15,$M23-$A$15,BE$13)))</f>
        <v>0</v>
      </c>
      <c r="BF23" s="171">
        <f ca="1">IF(OR($D23&lt;&gt;"Serviço",AND(AUTOEVENTO="Manual",$M23=$A$15)),0,
         IF(OFFSET(CRONOPLE!$F$15,$M23-$A$15,BF$13)=0,10^12,OFFSET(CRONOPLE!$F$15,$M23-$A$15,BF$13)))</f>
        <v>0</v>
      </c>
      <c r="BG23" s="171">
        <f ca="1">IF(OR($D23&lt;&gt;"Serviço",AND(AUTOEVENTO="Manual",$M23=$A$15)),0,
         IF(OFFSET(CRONOPLE!$F$15,$M23-$A$15,BG$13)=0,10^12,OFFSET(CRONOPLE!$F$15,$M23-$A$15,BG$13)))</f>
        <v>0</v>
      </c>
      <c r="BH23" s="171">
        <f ca="1">IF(OR($D23&lt;&gt;"Serviço",AND(AUTOEVENTO="Manual",$M23=$A$15)),0,
         IF(OFFSET(CRONOPLE!$F$15,$M23-$A$15,BH$13)=0,10^12,OFFSET(CRONOPLE!$F$15,$M23-$A$15,BH$13)))</f>
        <v>0</v>
      </c>
      <c r="BI23" s="171">
        <f ca="1">IF(OR($D23&lt;&gt;"Serviço",AND(AUTOEVENTO="Manual",$M23=$A$15)),0,
         IF(OFFSET(CRONOPLE!$F$15,$M23-$A$15,BI$13)=0,10^12,OFFSET(CRONOPLE!$F$15,$M23-$A$15,BI$13)))</f>
        <v>0</v>
      </c>
      <c r="BJ23" s="171">
        <f ca="1">IF(OR($D23&lt;&gt;"Serviço",AND(AUTOEVENTO="Manual",$M23=$A$15)),0,
         IF(OFFSET(CRONOPLE!$F$15,$M23-$A$15,BJ$13)=0,10^12,OFFSET(CRONOPLE!$F$15,$M23-$A$15,BJ$13)))</f>
        <v>0</v>
      </c>
      <c r="BK23" s="171">
        <f ca="1">IF(OR($D23&lt;&gt;"Serviço",AND(AUTOEVENTO="Manual",$M23=$A$15)),0,
         IF(OFFSET(CRONOPLE!$F$15,$M23-$A$15,BK$13)=0,10^12,OFFSET(CRONOPLE!$F$15,$M23-$A$15,BK$13)))</f>
        <v>0</v>
      </c>
      <c r="BL23" s="171">
        <f ca="1">IF(OR($D23&lt;&gt;"Serviço",AND(AUTOEVENTO="Manual",$M23=$A$15)),0,
         IF(OFFSET(CRONOPLE!$F$15,$M23-$A$15,BL$13)=0,10^12,OFFSET(CRONOPLE!$F$15,$M23-$A$15,BL$13)))</f>
        <v>0</v>
      </c>
      <c r="BM23" s="171">
        <f ca="1">IF(OR($D23&lt;&gt;"Serviço",AND(AUTOEVENTO="Manual",$M23=$A$15)),0,
         IF(OFFSET(CRONOPLE!$F$15,$M23-$A$15,BM$13)=0,10^12,OFFSET(CRONOPLE!$F$15,$M23-$A$15,BM$13)))</f>
        <v>0</v>
      </c>
      <c r="BN23" s="171">
        <f ca="1">IF(OR($D23&lt;&gt;"Serviço",AND(AUTOEVENTO="Manual",$M23=$A$15)),0,
         IF(OFFSET(CRONOPLE!$F$15,$M23-$A$15,BN$13)=0,10^12,OFFSET(CRONOPLE!$F$15,$M23-$A$15,BN$13)))</f>
        <v>0</v>
      </c>
      <c r="BO23" s="171">
        <f ca="1">IF(OR($D23&lt;&gt;"Serviço",AND(AUTOEVENTO="Manual",$M23=$A$15)),0,
         IF(OFFSET(CRONOPLE!$F$15,$M23-$A$15,BO$13)=0,10^12,OFFSET(CRONOPLE!$F$15,$M23-$A$15,BO$13)))</f>
        <v>0</v>
      </c>
      <c r="BP23" s="171">
        <f ca="1">IF(OR($D23&lt;&gt;"Serviço",AND(AUTOEVENTO="Manual",$M23=$A$15)),0,
         IF(OFFSET(CRONOPLE!$F$15,$M23-$A$15,BP$13)=0,10^12,OFFSET(CRONOPLE!$F$15,$M23-$A$15,BP$13)))</f>
        <v>0</v>
      </c>
      <c r="BQ23" s="171">
        <f ca="1">IF(OR($D23&lt;&gt;"Serviço",AND(AUTOEVENTO="Manual",$M23=$A$15)),0,
         IF(OFFSET(CRONOPLE!$F$15,$M23-$A$15,BQ$13)=0,10^12,OFFSET(CRONOPLE!$F$15,$M23-$A$15,BQ$13)))</f>
        <v>0</v>
      </c>
      <c r="BR23" s="171">
        <f ca="1">IF(OR($D23&lt;&gt;"Serviço",AND(AUTOEVENTO="Manual",$M23=$A$15)),0,
         IF(OFFSET(CRONOPLE!$F$15,$M23-$A$15,BR$13)=0,10^12,OFFSET(CRONOPLE!$F$15,$M23-$A$15,BR$13)))</f>
        <v>0</v>
      </c>
      <c r="BS23" s="171">
        <f ca="1">IF(OR($D23&lt;&gt;"Serviço",AND(AUTOEVENTO="Manual",$M23=$A$15)),0,
         IF(OFFSET(CRONOPLE!$F$15,$M23-$A$15,BS$13)=0,10^12,OFFSET(CRONOPLE!$F$15,$M23-$A$15,BS$13)))</f>
        <v>0</v>
      </c>
      <c r="BT23" s="171">
        <f ca="1">IF(OR($D23&lt;&gt;"Serviço",AND(AUTOEVENTO="Manual",$M23=$A$15)),0,
         IF(OFFSET(CRONOPLE!$F$15,$M23-$A$15,BT$13)=0,10^12,OFFSET(CRONOPLE!$F$15,$M23-$A$15,BT$13)))</f>
        <v>0</v>
      </c>
      <c r="BV23" s="172">
        <f ca="1">IF(OR($D23&lt;&gt;"Serviço",AND(AUTOEVENTO="Manual",$M23=$A$15),$M23&gt;(ROW(PLE.lastrow)-ROW(PLE.firstrow))),0,
           IF(OFFSET(PLE!$G$15,$M23-$A$15,BV$13)="",10^12,OFFSET(PLE!$G$15,$M23-$A$15,BV$13)))</f>
        <v>0</v>
      </c>
      <c r="BW23" s="172">
        <f ca="1">IF(OR($D23&lt;&gt;"Serviço",AND(AUTOEVENTO="Manual",$M23=$A$15),$M23&gt;(ROW(PLE.lastrow)-ROW(PLE.firstrow))),0,
           IF(OFFSET(PLE!$G$15,$M23-$A$15,BW$13)="",10^12,OFFSET(PLE!$G$15,$M23-$A$15,BW$13)))</f>
        <v>0</v>
      </c>
      <c r="BX23" s="172">
        <f ca="1">IF(OR($D23&lt;&gt;"Serviço",AND(AUTOEVENTO="Manual",$M23=$A$15),$M23&gt;(ROW(PLE.lastrow)-ROW(PLE.firstrow))),0,
           IF(OFFSET(PLE!$G$15,$M23-$A$15,BX$13)="",10^12,OFFSET(PLE!$G$15,$M23-$A$15,BX$13)))</f>
        <v>0</v>
      </c>
      <c r="BY23" s="172">
        <f ca="1">IF(OR($D23&lt;&gt;"Serviço",AND(AUTOEVENTO="Manual",$M23=$A$15),$M23&gt;(ROW(PLE.lastrow)-ROW(PLE.firstrow))),0,
           IF(OFFSET(PLE!$G$15,$M23-$A$15,BY$13)="",10^12,OFFSET(PLE!$G$15,$M23-$A$15,BY$13)))</f>
        <v>0</v>
      </c>
      <c r="BZ23" s="172">
        <f ca="1">IF(OR($D23&lt;&gt;"Serviço",AND(AUTOEVENTO="Manual",$M23=$A$15),$M23&gt;(ROW(PLE.lastrow)-ROW(PLE.firstrow))),0,
           IF(OFFSET(PLE!$G$15,$M23-$A$15,BZ$13)="",10^12,OFFSET(PLE!$G$15,$M23-$A$15,BZ$13)))</f>
        <v>0</v>
      </c>
      <c r="CA23" s="172">
        <f ca="1">IF(OR($D23&lt;&gt;"Serviço",AND(AUTOEVENTO="Manual",$M23=$A$15),$M23&gt;(ROW(PLE.lastrow)-ROW(PLE.firstrow))),0,
           IF(OFFSET(PLE!$G$15,$M23-$A$15,CA$13)="",10^12,OFFSET(PLE!$G$15,$M23-$A$15,CA$13)))</f>
        <v>0</v>
      </c>
      <c r="CB23" s="172">
        <f ca="1">IF(OR($D23&lt;&gt;"Serviço",AND(AUTOEVENTO="Manual",$M23=$A$15),$M23&gt;(ROW(PLE.lastrow)-ROW(PLE.firstrow))),0,
           IF(OFFSET(PLE!$G$15,$M23-$A$15,CB$13)="",10^12,OFFSET(PLE!$G$15,$M23-$A$15,CB$13)))</f>
        <v>0</v>
      </c>
      <c r="CC23" s="172">
        <f ca="1">IF(OR($D23&lt;&gt;"Serviço",AND(AUTOEVENTO="Manual",$M23=$A$15),$M23&gt;(ROW(PLE.lastrow)-ROW(PLE.firstrow))),0,
           IF(OFFSET(PLE!$G$15,$M23-$A$15,CC$13)="",10^12,OFFSET(PLE!$G$15,$M23-$A$15,CC$13)))</f>
        <v>0</v>
      </c>
      <c r="CD23" s="172">
        <f ca="1">IF(OR($D23&lt;&gt;"Serviço",AND(AUTOEVENTO="Manual",$M23=$A$15),$M23&gt;(ROW(PLE.lastrow)-ROW(PLE.firstrow))),0,
           IF(OFFSET(PLE!$G$15,$M23-$A$15,CD$13)="",10^12,OFFSET(PLE!$G$15,$M23-$A$15,CD$13)))</f>
        <v>0</v>
      </c>
      <c r="CE23" s="172">
        <f ca="1">IF(OR($D23&lt;&gt;"Serviço",AND(AUTOEVENTO="Manual",$M23=$A$15),$M23&gt;(ROW(PLE.lastrow)-ROW(PLE.firstrow))),0,
           IF(OFFSET(PLE!$G$15,$M23-$A$15,CE$13)="",10^12,OFFSET(PLE!$G$15,$M23-$A$15,CE$13)))</f>
        <v>0</v>
      </c>
      <c r="CF23" s="172">
        <f ca="1">IF(OR($D23&lt;&gt;"Serviço",AND(AUTOEVENTO="Manual",$M23=$A$15),$M23&gt;(ROW(PLE.lastrow)-ROW(PLE.firstrow))),0,
           IF(OFFSET(PLE!$G$15,$M23-$A$15,CF$13)="",10^12,OFFSET(PLE!$G$15,$M23-$A$15,CF$13)))</f>
        <v>0</v>
      </c>
      <c r="CG23" s="172">
        <f ca="1">IF(OR($D23&lt;&gt;"Serviço",AND(AUTOEVENTO="Manual",$M23=$A$15),$M23&gt;(ROW(PLE.lastrow)-ROW(PLE.firstrow))),0,
           IF(OFFSET(PLE!$G$15,$M23-$A$15,CG$13)="",10^12,OFFSET(PLE!$G$15,$M23-$A$15,CG$13)))</f>
        <v>0</v>
      </c>
      <c r="CH23" s="172">
        <f ca="1">IF(OR($D23&lt;&gt;"Serviço",AND(AUTOEVENTO="Manual",$M23=$A$15),$M23&gt;(ROW(PLE.lastrow)-ROW(PLE.firstrow))),0,
           IF(OFFSET(PLE!$G$15,$M23-$A$15,CH$13)="",10^12,OFFSET(PLE!$G$15,$M23-$A$15,CH$13)))</f>
        <v>0</v>
      </c>
      <c r="CI23" s="172">
        <f ca="1">IF(OR($D23&lt;&gt;"Serviço",AND(AUTOEVENTO="Manual",$M23=$A$15),$M23&gt;(ROW(PLE.lastrow)-ROW(PLE.firstrow))),0,
           IF(OFFSET(PLE!$G$15,$M23-$A$15,CI$13)="",10^12,OFFSET(PLE!$G$15,$M23-$A$15,CI$13)))</f>
        <v>0</v>
      </c>
      <c r="CJ23" s="172">
        <f ca="1">IF(OR($D23&lt;&gt;"Serviço",AND(AUTOEVENTO="Manual",$M23=$A$15),$M23&gt;(ROW(PLE.lastrow)-ROW(PLE.firstrow))),0,
           IF(OFFSET(PLE!$G$15,$M23-$A$15,CJ$13)="",10^12,OFFSET(PLE!$G$15,$M23-$A$15,CJ$13)))</f>
        <v>0</v>
      </c>
      <c r="CK23" s="172">
        <f ca="1">IF(OR($D23&lt;&gt;"Serviço",AND(AUTOEVENTO="Manual",$M23=$A$15),$M23&gt;(ROW(PLE.lastrow)-ROW(PLE.firstrow))),0,
           IF(OFFSET(PLE!$G$15,$M23-$A$15,CK$13)="",10^12,OFFSET(PLE!$G$15,$M23-$A$15,CK$13)))</f>
        <v>0</v>
      </c>
      <c r="CL23" s="172">
        <f ca="1">IF(OR($D23&lt;&gt;"Serviço",AND(AUTOEVENTO="Manual",$M23=$A$15),$M23&gt;(ROW(PLE.lastrow)-ROW(PLE.firstrow))),0,
           IF(OFFSET(PLE!$G$15,$M23-$A$15,CL$13)="",10^12,OFFSET(PLE!$G$15,$M23-$A$15,CL$13)))</f>
        <v>0</v>
      </c>
      <c r="CM23" s="172">
        <f ca="1">IF(OR($D23&lt;&gt;"Serviço",AND(AUTOEVENTO="Manual",$M23=$A$15),$M23&gt;(ROW(PLE.lastrow)-ROW(PLE.firstrow))),0,
           IF(OFFSET(PLE!$G$15,$M23-$A$15,CM$13)="",10^12,OFFSET(PLE!$G$15,$M23-$A$15,CM$13)))</f>
        <v>0</v>
      </c>
    </row>
    <row r="24" spans="1:91" ht="13.2" x14ac:dyDescent="0.25">
      <c r="A24" s="7" t="str">
        <f t="shared" ca="1" si="11"/>
        <v>8</v>
      </c>
      <c r="B24" s="7" t="str">
        <f ca="1">OFFSET(ORÇAMENTO!C$15,ROW(B24)-ROW(B$15),0)</f>
        <v>S</v>
      </c>
      <c r="C24" s="7" t="str">
        <f ca="1">OFFSET(ORÇAMENTO!L$15,ROW(C24)-ROW(C$15),0)</f>
        <v>F</v>
      </c>
      <c r="D24" s="116" t="str">
        <f ca="1">OFFSET(ORÇAMENTO!N$15,ROW(D24)-ROW(D$15),0)</f>
        <v>Serviço</v>
      </c>
      <c r="E24" s="117" t="str">
        <f ca="1">OFFSET(ORÇAMENTO!O$15,ROW(E24)-ROW(E$15),0)</f>
        <v>1.3.1.</v>
      </c>
      <c r="F24" s="163" t="str">
        <f ca="1">OFFSET(ORÇAMENTO!R$15,ROW(F24)-ROW(F$15),0)</f>
        <v>Escavação mecânica com retroescavadeira em material de 1ª categoria</v>
      </c>
      <c r="G24" s="164" t="str">
        <f ca="1">IF($D24&lt;&gt;"Serviço","",OFFSET(ORÇAMENTO!S$15,ROW(G24)-ROW(G$15),0))</f>
        <v>m³</v>
      </c>
      <c r="H24" s="122" cm="1">
        <f t="array" aca="1" ref="H24" ca="1">IF($D24&lt;&gt;"Serviço",0,IF(ACOMPANHAMENTO="BM",ROUND(OFFSET(ORÇAMENTO!AJ$15,ROW(H24)-ROW(H$15),0),15-13*ORÇAMENTO!$AF$7),SUMPRODUCT(($Q$1:$AI$1=1)*ROUND($Q24:$AI24,15-13*ORÇAMENTO!$AF$7))))</f>
        <v>20.8</v>
      </c>
      <c r="I24" s="468"/>
      <c r="J24" s="651" t="e" cm="1">
        <f t="array" aca="1" ref="J24" ca="1">IF(OR(B24&lt;&gt;"S",CÁLCULO.FrentesPreenchidas=0),"",IF(AND(ACOMPANHAMENTO="PLE",AUTOEVENTO="Manual",OR(H24&gt;0,ORÇAMENTO!AC24="QUANT."),OR(K24="",M24=0,N24="")),"►E",IF(AND(ACOMPANHAMENTO="PLE",ORÇAMENTO!AC24="QUANT."),"►Q",IF(AND(ACOMPANHAMENTO="PLE",H24&lt;&gt;SUMPRODUCT(($Q$1:$AI$1=1)*ROUND(Q24:AI24,15))),"►S",IF(AND(COUNTIF($P$11:$AI$11,"▼")=0,H24&gt;0,I24=""),"◄M","")))))</f>
        <v>#NAME?</v>
      </c>
      <c r="K24" s="652"/>
      <c r="L24" s="165" t="s">
        <v>764</v>
      </c>
      <c r="M24" s="166">
        <f ca="1">IF($D24&lt;&gt;"Serviço","",
          IF(AUTOEVENTO="manual",$A24,
                IF(ISERROR(MATCH($A24,$A$15:OFFSET($A24,-1,0),0)),MAX($M$15:OFFSET(M24,-1,0))+1,
                      INDEX($M$15:OFFSET(M24,-1,0),MATCH($A24,$A$15:OFFSET($A24,-1,0),0)))))</f>
        <v>3</v>
      </c>
      <c r="N24" s="167" t="str">
        <f ca="1">IF($D24&lt;&gt;"Serviço","",
         IF(AUTOEVENTO="Manual",
                IF($A24=0,"&lt;-- defina o número do agrupador",
                       OFFSET(EVENTOS!$D$15,$A24-$A$15,0)),
                OFFSET($F$15,$A24,0)))</f>
        <v>DRENAGEM</v>
      </c>
      <c r="O24" s="168"/>
      <c r="Q24" s="168"/>
      <c r="R24" s="169"/>
      <c r="S24" s="169">
        <f>(24*0.8*1)+(2*0.8*1)</f>
        <v>20.800000000000004</v>
      </c>
      <c r="T24" s="169"/>
      <c r="U24" s="169"/>
      <c r="V24" s="169"/>
      <c r="W24" s="169"/>
      <c r="X24" s="169"/>
      <c r="Y24" s="169"/>
      <c r="Z24" s="170"/>
      <c r="AA24" s="169"/>
      <c r="AB24" s="169"/>
      <c r="AC24" s="169"/>
      <c r="AD24" s="169"/>
      <c r="AE24" s="169"/>
      <c r="AF24" s="169"/>
      <c r="AG24" s="169"/>
      <c r="AH24" s="170"/>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L24" s="453">
        <f ca="1">IF(AND($D24="Serviço",AL$12&lt;&gt;0,$H24&gt;0,OR(AUTOEVENTO&lt;&gt;"manual",$M24&lt;&gt;$A$15)),
        IF(Import.TipoArredondamento&lt;&gt;"TransfereGOV",
              ROUND(OFFSET($P24,0,AL$13),15-13*ORÇAMENTO!$AF$7)/$H24*OFFSET(ORÇAMENTO!$X$15,ROW(AL24)-ROW(AL$15),0),
              ROUND(ROUND(OFFSET($P24,0,AL$13),15-13*ORÇAMENTO!$AF$7)*OFFSET(ORÇAMENTO!$W$15,ROW(AL24)-ROW(AL$15),0),15-13*ORÇAMENTO!$AF$11)),
         0)</f>
        <v>188.45</v>
      </c>
      <c r="AM24" s="453">
        <f ca="1">IF(AND($D24="Serviço",AM$12&lt;&gt;0,$H24&gt;0,OR(AUTOEVENTO&lt;&gt;"manual",$M24&lt;&gt;$A$15)),
        IF(Import.TipoArredondamento&lt;&gt;"TransfereGOV",
              ROUND(OFFSET($P24,0,AM$13),15-13*ORÇAMENTO!$AF$7)/$H24*OFFSET(ORÇAMENTO!$X$15,ROW(AM24)-ROW(AM$15),0),
              ROUND(ROUND(OFFSET($P24,0,AM$13),15-13*ORÇAMENTO!$AF$7)*OFFSET(ORÇAMENTO!$W$15,ROW(AM24)-ROW(AM$15),0),15-13*ORÇAMENTO!$AF$11)),
         0)</f>
        <v>0</v>
      </c>
      <c r="AN24" s="453">
        <f ca="1">IF(AND($D24="Serviço",AN$12&lt;&gt;0,$H24&gt;0,OR(AUTOEVENTO&lt;&gt;"manual",$M24&lt;&gt;$A$15)),
        IF(Import.TipoArredondamento&lt;&gt;"TransfereGOV",
              ROUND(OFFSET($P24,0,AN$13),15-13*ORÇAMENTO!$AF$7)/$H24*OFFSET(ORÇAMENTO!$X$15,ROW(AN24)-ROW(AN$15),0),
              ROUND(ROUND(OFFSET($P24,0,AN$13),15-13*ORÇAMENTO!$AF$7)*OFFSET(ORÇAMENTO!$W$15,ROW(AN24)-ROW(AN$15),0),15-13*ORÇAMENTO!$AF$11)),
         0)</f>
        <v>0</v>
      </c>
      <c r="AO24" s="453">
        <f ca="1">IF(AND($D24="Serviço",AO$12&lt;&gt;0,$H24&gt;0,OR(AUTOEVENTO&lt;&gt;"manual",$M24&lt;&gt;$A$15)),
        IF(Import.TipoArredondamento&lt;&gt;"TransfereGOV",
              ROUND(OFFSET($P24,0,AO$13),15-13*ORÇAMENTO!$AF$7)/$H24*OFFSET(ORÇAMENTO!$X$15,ROW(AO24)-ROW(AO$15),0),
              ROUND(ROUND(OFFSET($P24,0,AO$13),15-13*ORÇAMENTO!$AF$7)*OFFSET(ORÇAMENTO!$W$15,ROW(AO24)-ROW(AO$15),0),15-13*ORÇAMENTO!$AF$11)),
         0)</f>
        <v>0</v>
      </c>
      <c r="AP24" s="453">
        <f ca="1">IF(AND($D24="Serviço",AP$12&lt;&gt;0,$H24&gt;0,OR(AUTOEVENTO&lt;&gt;"manual",$M24&lt;&gt;$A$15)),
        IF(Import.TipoArredondamento&lt;&gt;"TransfereGOV",
              ROUND(OFFSET($P24,0,AP$13),15-13*ORÇAMENTO!$AF$7)/$H24*OFFSET(ORÇAMENTO!$X$15,ROW(AP24)-ROW(AP$15),0),
              ROUND(ROUND(OFFSET($P24,0,AP$13),15-13*ORÇAMENTO!$AF$7)*OFFSET(ORÇAMENTO!$W$15,ROW(AP24)-ROW(AP$15),0),15-13*ORÇAMENTO!$AF$11)),
         0)</f>
        <v>0</v>
      </c>
      <c r="AQ24" s="453">
        <f ca="1">IF(AND($D24="Serviço",AQ$12&lt;&gt;0,$H24&gt;0,OR(AUTOEVENTO&lt;&gt;"manual",$M24&lt;&gt;$A$15)),
        IF(Import.TipoArredondamento&lt;&gt;"TransfereGOV",
              ROUND(OFFSET($P24,0,AQ$13),15-13*ORÇAMENTO!$AF$7)/$H24*OFFSET(ORÇAMENTO!$X$15,ROW(AQ24)-ROW(AQ$15),0),
              ROUND(ROUND(OFFSET($P24,0,AQ$13),15-13*ORÇAMENTO!$AF$7)*OFFSET(ORÇAMENTO!$W$15,ROW(AQ24)-ROW(AQ$15),0),15-13*ORÇAMENTO!$AF$11)),
         0)</f>
        <v>0</v>
      </c>
      <c r="AR24" s="453">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453">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453">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0</v>
      </c>
      <c r="AU24" s="453">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453">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453">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453">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453">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453">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453">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C24" s="171">
        <f ca="1">IF(OR($D24&lt;&gt;"Serviço",AND(AUTOEVENTO="Manual",$M24=$A$15)),0,
         IF(OFFSET(CRONOPLE!$F$15,$M24-$A$15,BC$13)=0,10^12,OFFSET(CRONOPLE!$F$15,$M24-$A$15,BC$13)))</f>
        <v>1000000000000</v>
      </c>
      <c r="BD24" s="171">
        <f ca="1">IF(OR($D24&lt;&gt;"Serviço",AND(AUTOEVENTO="Manual",$M24=$A$15)),0,
         IF(OFFSET(CRONOPLE!$F$15,$M24-$A$15,BD$13)=0,10^12,OFFSET(CRONOPLE!$F$15,$M24-$A$15,BD$13)))</f>
        <v>1000000000000</v>
      </c>
      <c r="BE24" s="171">
        <f ca="1">IF(OR($D24&lt;&gt;"Serviço",AND(AUTOEVENTO="Manual",$M24=$A$15)),0,
         IF(OFFSET(CRONOPLE!$F$15,$M24-$A$15,BE$13)=0,10^12,OFFSET(CRONOPLE!$F$15,$M24-$A$15,BE$13)))</f>
        <v>1</v>
      </c>
      <c r="BF24" s="171">
        <f ca="1">IF(OR($D24&lt;&gt;"Serviço",AND(AUTOEVENTO="Manual",$M24=$A$15)),0,
         IF(OFFSET(CRONOPLE!$F$15,$M24-$A$15,BF$13)=0,10^12,OFFSET(CRONOPLE!$F$15,$M24-$A$15,BF$13)))</f>
        <v>1000000000000</v>
      </c>
      <c r="BG24" s="171">
        <f ca="1">IF(OR($D24&lt;&gt;"Serviço",AND(AUTOEVENTO="Manual",$M24=$A$15)),0,
         IF(OFFSET(CRONOPLE!$F$15,$M24-$A$15,BG$13)=0,10^12,OFFSET(CRONOPLE!$F$15,$M24-$A$15,BG$13)))</f>
        <v>1000000000000</v>
      </c>
      <c r="BH24" s="171">
        <f ca="1">IF(OR($D24&lt;&gt;"Serviço",AND(AUTOEVENTO="Manual",$M24=$A$15)),0,
         IF(OFFSET(CRONOPLE!$F$15,$M24-$A$15,BH$13)=0,10^12,OFFSET(CRONOPLE!$F$15,$M24-$A$15,BH$13)))</f>
        <v>1000000000000</v>
      </c>
      <c r="BI24" s="171">
        <f ca="1">IF(OR($D24&lt;&gt;"Serviço",AND(AUTOEVENTO="Manual",$M24=$A$15)),0,
         IF(OFFSET(CRONOPLE!$F$15,$M24-$A$15,BI$13)=0,10^12,OFFSET(CRONOPLE!$F$15,$M24-$A$15,BI$13)))</f>
        <v>1000000000000</v>
      </c>
      <c r="BJ24" s="171">
        <f ca="1">IF(OR($D24&lt;&gt;"Serviço",AND(AUTOEVENTO="Manual",$M24=$A$15)),0,
         IF(OFFSET(CRONOPLE!$F$15,$M24-$A$15,BJ$13)=0,10^12,OFFSET(CRONOPLE!$F$15,$M24-$A$15,BJ$13)))</f>
        <v>1000000000000</v>
      </c>
      <c r="BK24" s="171">
        <f ca="1">IF(OR($D24&lt;&gt;"Serviço",AND(AUTOEVENTO="Manual",$M24=$A$15)),0,
         IF(OFFSET(CRONOPLE!$F$15,$M24-$A$15,BK$13)=0,10^12,OFFSET(CRONOPLE!$F$15,$M24-$A$15,BK$13)))</f>
        <v>1000000000000</v>
      </c>
      <c r="BL24" s="171">
        <f ca="1">IF(OR($D24&lt;&gt;"Serviço",AND(AUTOEVENTO="Manual",$M24=$A$15)),0,
         IF(OFFSET(CRONOPLE!$F$15,$M24-$A$15,BL$13)=0,10^12,OFFSET(CRONOPLE!$F$15,$M24-$A$15,BL$13)))</f>
        <v>1000000000000</v>
      </c>
      <c r="BM24" s="171">
        <f ca="1">IF(OR($D24&lt;&gt;"Serviço",AND(AUTOEVENTO="Manual",$M24=$A$15)),0,
         IF(OFFSET(CRONOPLE!$F$15,$M24-$A$15,BM$13)=0,10^12,OFFSET(CRONOPLE!$F$15,$M24-$A$15,BM$13)))</f>
        <v>1000000000000</v>
      </c>
      <c r="BN24" s="171">
        <f ca="1">IF(OR($D24&lt;&gt;"Serviço",AND(AUTOEVENTO="Manual",$M24=$A$15)),0,
         IF(OFFSET(CRONOPLE!$F$15,$M24-$A$15,BN$13)=0,10^12,OFFSET(CRONOPLE!$F$15,$M24-$A$15,BN$13)))</f>
        <v>1000000000000</v>
      </c>
      <c r="BO24" s="171">
        <f ca="1">IF(OR($D24&lt;&gt;"Serviço",AND(AUTOEVENTO="Manual",$M24=$A$15)),0,
         IF(OFFSET(CRONOPLE!$F$15,$M24-$A$15,BO$13)=0,10^12,OFFSET(CRONOPLE!$F$15,$M24-$A$15,BO$13)))</f>
        <v>1000000000000</v>
      </c>
      <c r="BP24" s="171">
        <f ca="1">IF(OR($D24&lt;&gt;"Serviço",AND(AUTOEVENTO="Manual",$M24=$A$15)),0,
         IF(OFFSET(CRONOPLE!$F$15,$M24-$A$15,BP$13)=0,10^12,OFFSET(CRONOPLE!$F$15,$M24-$A$15,BP$13)))</f>
        <v>1000000000000</v>
      </c>
      <c r="BQ24" s="171">
        <f ca="1">IF(OR($D24&lt;&gt;"Serviço",AND(AUTOEVENTO="Manual",$M24=$A$15)),0,
         IF(OFFSET(CRONOPLE!$F$15,$M24-$A$15,BQ$13)=0,10^12,OFFSET(CRONOPLE!$F$15,$M24-$A$15,BQ$13)))</f>
        <v>1000000000000</v>
      </c>
      <c r="BR24" s="171">
        <f ca="1">IF(OR($D24&lt;&gt;"Serviço",AND(AUTOEVENTO="Manual",$M24=$A$15)),0,
         IF(OFFSET(CRONOPLE!$F$15,$M24-$A$15,BR$13)=0,10^12,OFFSET(CRONOPLE!$F$15,$M24-$A$15,BR$13)))</f>
        <v>1000000000000</v>
      </c>
      <c r="BS24" s="171">
        <f ca="1">IF(OR($D24&lt;&gt;"Serviço",AND(AUTOEVENTO="Manual",$M24=$A$15)),0,
         IF(OFFSET(CRONOPLE!$F$15,$M24-$A$15,BS$13)=0,10^12,OFFSET(CRONOPLE!$F$15,$M24-$A$15,BS$13)))</f>
        <v>1000000000000</v>
      </c>
      <c r="BT24" s="171">
        <f ca="1">IF(OR($D24&lt;&gt;"Serviço",AND(AUTOEVENTO="Manual",$M24=$A$15)),0,
         IF(OFFSET(CRONOPLE!$F$15,$M24-$A$15,BT$13)=0,10^12,OFFSET(CRONOPLE!$F$15,$M24-$A$15,BT$13)))</f>
        <v>1000000000000</v>
      </c>
      <c r="BV24" s="172">
        <f ca="1">IF(OR($D24&lt;&gt;"Serviço",AND(AUTOEVENTO="Manual",$M24=$A$15),$M24&gt;(ROW(PLE.lastrow)-ROW(PLE.firstrow))),0,
           IF(OFFSET(PLE!$G$15,$M24-$A$15,BV$13)="",10^12,OFFSET(PLE!$G$15,$M24-$A$15,BV$13)))</f>
        <v>1000000000000</v>
      </c>
      <c r="BW24" s="172">
        <f ca="1">IF(OR($D24&lt;&gt;"Serviço",AND(AUTOEVENTO="Manual",$M24=$A$15),$M24&gt;(ROW(PLE.lastrow)-ROW(PLE.firstrow))),0,
           IF(OFFSET(PLE!$G$15,$M24-$A$15,BW$13)="",10^12,OFFSET(PLE!$G$15,$M24-$A$15,BW$13)))</f>
        <v>1000000000000</v>
      </c>
      <c r="BX24" s="172">
        <f ca="1">IF(OR($D24&lt;&gt;"Serviço",AND(AUTOEVENTO="Manual",$M24=$A$15),$M24&gt;(ROW(PLE.lastrow)-ROW(PLE.firstrow))),0,
           IF(OFFSET(PLE!$G$15,$M24-$A$15,BX$13)="",10^12,OFFSET(PLE!$G$15,$M24-$A$15,BX$13)))</f>
        <v>1000000000000</v>
      </c>
      <c r="BY24" s="172">
        <f ca="1">IF(OR($D24&lt;&gt;"Serviço",AND(AUTOEVENTO="Manual",$M24=$A$15),$M24&gt;(ROW(PLE.lastrow)-ROW(PLE.firstrow))),0,
           IF(OFFSET(PLE!$G$15,$M24-$A$15,BY$13)="",10^12,OFFSET(PLE!$G$15,$M24-$A$15,BY$13)))</f>
        <v>1000000000000</v>
      </c>
      <c r="BZ24" s="172">
        <f ca="1">IF(OR($D24&lt;&gt;"Serviço",AND(AUTOEVENTO="Manual",$M24=$A$15),$M24&gt;(ROW(PLE.lastrow)-ROW(PLE.firstrow))),0,
           IF(OFFSET(PLE!$G$15,$M24-$A$15,BZ$13)="",10^12,OFFSET(PLE!$G$15,$M24-$A$15,BZ$13)))</f>
        <v>1000000000000</v>
      </c>
      <c r="CA24" s="172">
        <f ca="1">IF(OR($D24&lt;&gt;"Serviço",AND(AUTOEVENTO="Manual",$M24=$A$15),$M24&gt;(ROW(PLE.lastrow)-ROW(PLE.firstrow))),0,
           IF(OFFSET(PLE!$G$15,$M24-$A$15,CA$13)="",10^12,OFFSET(PLE!$G$15,$M24-$A$15,CA$13)))</f>
        <v>1000000000000</v>
      </c>
      <c r="CB24" s="172">
        <f ca="1">IF(OR($D24&lt;&gt;"Serviço",AND(AUTOEVENTO="Manual",$M24=$A$15),$M24&gt;(ROW(PLE.lastrow)-ROW(PLE.firstrow))),0,
           IF(OFFSET(PLE!$G$15,$M24-$A$15,CB$13)="",10^12,OFFSET(PLE!$G$15,$M24-$A$15,CB$13)))</f>
        <v>1000000000000</v>
      </c>
      <c r="CC24" s="172">
        <f ca="1">IF(OR($D24&lt;&gt;"Serviço",AND(AUTOEVENTO="Manual",$M24=$A$15),$M24&gt;(ROW(PLE.lastrow)-ROW(PLE.firstrow))),0,
           IF(OFFSET(PLE!$G$15,$M24-$A$15,CC$13)="",10^12,OFFSET(PLE!$G$15,$M24-$A$15,CC$13)))</f>
        <v>1000000000000</v>
      </c>
      <c r="CD24" s="172">
        <f ca="1">IF(OR($D24&lt;&gt;"Serviço",AND(AUTOEVENTO="Manual",$M24=$A$15),$M24&gt;(ROW(PLE.lastrow)-ROW(PLE.firstrow))),0,
           IF(OFFSET(PLE!$G$15,$M24-$A$15,CD$13)="",10^12,OFFSET(PLE!$G$15,$M24-$A$15,CD$13)))</f>
        <v>1000000000000</v>
      </c>
      <c r="CE24" s="172">
        <f ca="1">IF(OR($D24&lt;&gt;"Serviço",AND(AUTOEVENTO="Manual",$M24=$A$15),$M24&gt;(ROW(PLE.lastrow)-ROW(PLE.firstrow))),0,
           IF(OFFSET(PLE!$G$15,$M24-$A$15,CE$13)="",10^12,OFFSET(PLE!$G$15,$M24-$A$15,CE$13)))</f>
        <v>1000000000000</v>
      </c>
      <c r="CF24" s="172">
        <f ca="1">IF(OR($D24&lt;&gt;"Serviço",AND(AUTOEVENTO="Manual",$M24=$A$15),$M24&gt;(ROW(PLE.lastrow)-ROW(PLE.firstrow))),0,
           IF(OFFSET(PLE!$G$15,$M24-$A$15,CF$13)="",10^12,OFFSET(PLE!$G$15,$M24-$A$15,CF$13)))</f>
        <v>1000000000000</v>
      </c>
      <c r="CG24" s="172">
        <f ca="1">IF(OR($D24&lt;&gt;"Serviço",AND(AUTOEVENTO="Manual",$M24=$A$15),$M24&gt;(ROW(PLE.lastrow)-ROW(PLE.firstrow))),0,
           IF(OFFSET(PLE!$G$15,$M24-$A$15,CG$13)="",10^12,OFFSET(PLE!$G$15,$M24-$A$15,CG$13)))</f>
        <v>1000000000000</v>
      </c>
      <c r="CH24" s="172">
        <f ca="1">IF(OR($D24&lt;&gt;"Serviço",AND(AUTOEVENTO="Manual",$M24=$A$15),$M24&gt;(ROW(PLE.lastrow)-ROW(PLE.firstrow))),0,
           IF(OFFSET(PLE!$G$15,$M24-$A$15,CH$13)="",10^12,OFFSET(PLE!$G$15,$M24-$A$15,CH$13)))</f>
        <v>1000000000000</v>
      </c>
      <c r="CI24" s="172">
        <f ca="1">IF(OR($D24&lt;&gt;"Serviço",AND(AUTOEVENTO="Manual",$M24=$A$15),$M24&gt;(ROW(PLE.lastrow)-ROW(PLE.firstrow))),0,
           IF(OFFSET(PLE!$G$15,$M24-$A$15,CI$13)="",10^12,OFFSET(PLE!$G$15,$M24-$A$15,CI$13)))</f>
        <v>1000000000000</v>
      </c>
      <c r="CJ24" s="172">
        <f ca="1">IF(OR($D24&lt;&gt;"Serviço",AND(AUTOEVENTO="Manual",$M24=$A$15),$M24&gt;(ROW(PLE.lastrow)-ROW(PLE.firstrow))),0,
           IF(OFFSET(PLE!$G$15,$M24-$A$15,CJ$13)="",10^12,OFFSET(PLE!$G$15,$M24-$A$15,CJ$13)))</f>
        <v>1000000000000</v>
      </c>
      <c r="CK24" s="172">
        <f ca="1">IF(OR($D24&lt;&gt;"Serviço",AND(AUTOEVENTO="Manual",$M24=$A$15),$M24&gt;(ROW(PLE.lastrow)-ROW(PLE.firstrow))),0,
           IF(OFFSET(PLE!$G$15,$M24-$A$15,CK$13)="",10^12,OFFSET(PLE!$G$15,$M24-$A$15,CK$13)))</f>
        <v>1000000000000</v>
      </c>
      <c r="CL24" s="172">
        <f ca="1">IF(OR($D24&lt;&gt;"Serviço",AND(AUTOEVENTO="Manual",$M24=$A$15),$M24&gt;(ROW(PLE.lastrow)-ROW(PLE.firstrow))),0,
           IF(OFFSET(PLE!$G$15,$M24-$A$15,CL$13)="",10^12,OFFSET(PLE!$G$15,$M24-$A$15,CL$13)))</f>
        <v>1000000000000</v>
      </c>
      <c r="CM24" s="172">
        <f ca="1">IF(OR($D24&lt;&gt;"Serviço",AND(AUTOEVENTO="Manual",$M24=$A$15),$M24&gt;(ROW(PLE.lastrow)-ROW(PLE.firstrow))),0,
           IF(OFFSET(PLE!$G$15,$M24-$A$15,CM$13)="",10^12,OFFSET(PLE!$G$15,$M24-$A$15,CM$13)))</f>
        <v>1000000000000</v>
      </c>
    </row>
    <row r="25" spans="1:91" ht="26.4" x14ac:dyDescent="0.25">
      <c r="A25" s="7" t="str">
        <f t="shared" ca="1" si="11"/>
        <v>8</v>
      </c>
      <c r="B25" s="7" t="str">
        <f ca="1">OFFSET(ORÇAMENTO!C$15,ROW(B25)-ROW(B$15),0)</f>
        <v>S</v>
      </c>
      <c r="C25" s="7" t="str">
        <f ca="1">OFFSET(ORÇAMENTO!L$15,ROW(C25)-ROW(C$15),0)</f>
        <v>F</v>
      </c>
      <c r="D25" s="116" t="str">
        <f ca="1">OFFSET(ORÇAMENTO!N$15,ROW(D25)-ROW(D$15),0)</f>
        <v>Serviço</v>
      </c>
      <c r="E25" s="117" t="str">
        <f ca="1">OFFSET(ORÇAMENTO!O$15,ROW(E25)-ROW(E$15),0)</f>
        <v>1.3.2.</v>
      </c>
      <c r="F25" s="163" t="str">
        <f ca="1">OFFSET(ORÇAMENTO!R$15,ROW(F25)-ROW(F$15),0)</f>
        <v>Tubo de concreto PA1 comercial para drenagem - D = 0,50 m - fornecimento e instalação</v>
      </c>
      <c r="G25" s="164" t="str">
        <f ca="1">IF($D25&lt;&gt;"Serviço","",OFFSET(ORÇAMENTO!S$15,ROW(G25)-ROW(G$15),0))</f>
        <v>m</v>
      </c>
      <c r="H25" s="122" cm="1">
        <f t="array" aca="1" ref="H25" ca="1">IF($D25&lt;&gt;"Serviço",0,IF(ACOMPANHAMENTO="BM",ROUND(OFFSET(ORÇAMENTO!AJ$15,ROW(H25)-ROW(H$15),0),15-13*ORÇAMENTO!$AF$7),SUMPRODUCT(($Q$1:$AI$1=1)*ROUND($Q25:$AI25,15-13*ORÇAMENTO!$AF$7))))</f>
        <v>24</v>
      </c>
      <c r="I25" s="468"/>
      <c r="J25" s="651" t="e" cm="1">
        <f t="array" aca="1" ref="J25" ca="1">IF(OR(B25&lt;&gt;"S",CÁLCULO.FrentesPreenchidas=0),"",IF(AND(ACOMPANHAMENTO="PLE",AUTOEVENTO="Manual",OR(H25&gt;0,ORÇAMENTO!AC25="QUANT."),OR(K25="",M25=0,N25="")),"►E",IF(AND(ACOMPANHAMENTO="PLE",ORÇAMENTO!AC25="QUANT."),"►Q",IF(AND(ACOMPANHAMENTO="PLE",H25&lt;&gt;SUMPRODUCT(($Q$1:$AI$1=1)*ROUND(Q25:AI25,15))),"►S",IF(AND(COUNTIF($P$11:$AI$11,"▼")=0,H25&gt;0,I25=""),"◄M","")))))</f>
        <v>#NAME?</v>
      </c>
      <c r="K25" s="652"/>
      <c r="L25" s="165" t="s">
        <v>764</v>
      </c>
      <c r="M25" s="166">
        <f ca="1">IF($D25&lt;&gt;"Serviço","",
          IF(AUTOEVENTO="manual",$A25,
                IF(ISERROR(MATCH($A25,$A$15:OFFSET($A25,-1,0),0)),MAX($M$15:OFFSET(M25,-1,0))+1,
                      INDEX($M$15:OFFSET(M25,-1,0),MATCH($A25,$A$15:OFFSET($A25,-1,0),0)))))</f>
        <v>3</v>
      </c>
      <c r="N25" s="167" t="str">
        <f ca="1">IF($D25&lt;&gt;"Serviço","",
         IF(AUTOEVENTO="Manual",
                IF($A25=0,"&lt;-- defina o número do agrupador",
                       OFFSET(EVENTOS!$D$15,$A25-$A$15,0)),
                OFFSET($F$15,$A25,0)))</f>
        <v>DRENAGEM</v>
      </c>
      <c r="O25" s="168"/>
      <c r="Q25" s="168"/>
      <c r="R25" s="169"/>
      <c r="S25" s="169">
        <v>24</v>
      </c>
      <c r="T25" s="169"/>
      <c r="U25" s="169"/>
      <c r="V25" s="169"/>
      <c r="W25" s="169"/>
      <c r="X25" s="169"/>
      <c r="Y25" s="169"/>
      <c r="Z25" s="170"/>
      <c r="AA25" s="169"/>
      <c r="AB25" s="169"/>
      <c r="AC25" s="169"/>
      <c r="AD25" s="169"/>
      <c r="AE25" s="169"/>
      <c r="AF25" s="169"/>
      <c r="AG25" s="169"/>
      <c r="AH25" s="170"/>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L25" s="453">
        <f ca="1">IF(AND($D25="Serviço",AL$12&lt;&gt;0,$H25&gt;0,OR(AUTOEVENTO&lt;&gt;"manual",$M25&lt;&gt;$A$15)),
        IF(Import.TipoArredondamento&lt;&gt;"TransfereGOV",
              ROUND(OFFSET($P25,0,AL$13),15-13*ORÇAMENTO!$AF$7)/$H25*OFFSET(ORÇAMENTO!$X$15,ROW(AL25)-ROW(AL$15),0),
              ROUND(ROUND(OFFSET($P25,0,AL$13),15-13*ORÇAMENTO!$AF$7)*OFFSET(ORÇAMENTO!$W$15,ROW(AL25)-ROW(AL$15),0),15-13*ORÇAMENTO!$AF$11)),
         0)</f>
        <v>6951.12</v>
      </c>
      <c r="AM25" s="453">
        <f ca="1">IF(AND($D25="Serviço",AM$12&lt;&gt;0,$H25&gt;0,OR(AUTOEVENTO&lt;&gt;"manual",$M25&lt;&gt;$A$15)),
        IF(Import.TipoArredondamento&lt;&gt;"TransfereGOV",
              ROUND(OFFSET($P25,0,AM$13),15-13*ORÇAMENTO!$AF$7)/$H25*OFFSET(ORÇAMENTO!$X$15,ROW(AM25)-ROW(AM$15),0),
              ROUND(ROUND(OFFSET($P25,0,AM$13),15-13*ORÇAMENTO!$AF$7)*OFFSET(ORÇAMENTO!$W$15,ROW(AM25)-ROW(AM$15),0),15-13*ORÇAMENTO!$AF$11)),
         0)</f>
        <v>0</v>
      </c>
      <c r="AN25" s="453">
        <f ca="1">IF(AND($D25="Serviço",AN$12&lt;&gt;0,$H25&gt;0,OR(AUTOEVENTO&lt;&gt;"manual",$M25&lt;&gt;$A$15)),
        IF(Import.TipoArredondamento&lt;&gt;"TransfereGOV",
              ROUND(OFFSET($P25,0,AN$13),15-13*ORÇAMENTO!$AF$7)/$H25*OFFSET(ORÇAMENTO!$X$15,ROW(AN25)-ROW(AN$15),0),
              ROUND(ROUND(OFFSET($P25,0,AN$13),15-13*ORÇAMENTO!$AF$7)*OFFSET(ORÇAMENTO!$W$15,ROW(AN25)-ROW(AN$15),0),15-13*ORÇAMENTO!$AF$11)),
         0)</f>
        <v>0</v>
      </c>
      <c r="AO25" s="453">
        <f ca="1">IF(AND($D25="Serviço",AO$12&lt;&gt;0,$H25&gt;0,OR(AUTOEVENTO&lt;&gt;"manual",$M25&lt;&gt;$A$15)),
        IF(Import.TipoArredondamento&lt;&gt;"TransfereGOV",
              ROUND(OFFSET($P25,0,AO$13),15-13*ORÇAMENTO!$AF$7)/$H25*OFFSET(ORÇAMENTO!$X$15,ROW(AO25)-ROW(AO$15),0),
              ROUND(ROUND(OFFSET($P25,0,AO$13),15-13*ORÇAMENTO!$AF$7)*OFFSET(ORÇAMENTO!$W$15,ROW(AO25)-ROW(AO$15),0),15-13*ORÇAMENTO!$AF$11)),
         0)</f>
        <v>0</v>
      </c>
      <c r="AP25" s="453">
        <f ca="1">IF(AND($D25="Serviço",AP$12&lt;&gt;0,$H25&gt;0,OR(AUTOEVENTO&lt;&gt;"manual",$M25&lt;&gt;$A$15)),
        IF(Import.TipoArredondamento&lt;&gt;"TransfereGOV",
              ROUND(OFFSET($P25,0,AP$13),15-13*ORÇAMENTO!$AF$7)/$H25*OFFSET(ORÇAMENTO!$X$15,ROW(AP25)-ROW(AP$15),0),
              ROUND(ROUND(OFFSET($P25,0,AP$13),15-13*ORÇAMENTO!$AF$7)*OFFSET(ORÇAMENTO!$W$15,ROW(AP25)-ROW(AP$15),0),15-13*ORÇAMENTO!$AF$11)),
         0)</f>
        <v>0</v>
      </c>
      <c r="AQ25" s="453">
        <f ca="1">IF(AND($D25="Serviço",AQ$12&lt;&gt;0,$H25&gt;0,OR(AUTOEVENTO&lt;&gt;"manual",$M25&lt;&gt;$A$15)),
        IF(Import.TipoArredondamento&lt;&gt;"TransfereGOV",
              ROUND(OFFSET($P25,0,AQ$13),15-13*ORÇAMENTO!$AF$7)/$H25*OFFSET(ORÇAMENTO!$X$15,ROW(AQ25)-ROW(AQ$15),0),
              ROUND(ROUND(OFFSET($P25,0,AQ$13),15-13*ORÇAMENTO!$AF$7)*OFFSET(ORÇAMENTO!$W$15,ROW(AQ25)-ROW(AQ$15),0),15-13*ORÇAMENTO!$AF$11)),
         0)</f>
        <v>0</v>
      </c>
      <c r="AR25" s="453">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453">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453">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0</v>
      </c>
      <c r="AU25" s="453">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453">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453">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453">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453">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453">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453">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C25" s="171">
        <f ca="1">IF(OR($D25&lt;&gt;"Serviço",AND(AUTOEVENTO="Manual",$M25=$A$15)),0,
         IF(OFFSET(CRONOPLE!$F$15,$M25-$A$15,BC$13)=0,10^12,OFFSET(CRONOPLE!$F$15,$M25-$A$15,BC$13)))</f>
        <v>1000000000000</v>
      </c>
      <c r="BD25" s="171">
        <f ca="1">IF(OR($D25&lt;&gt;"Serviço",AND(AUTOEVENTO="Manual",$M25=$A$15)),0,
         IF(OFFSET(CRONOPLE!$F$15,$M25-$A$15,BD$13)=0,10^12,OFFSET(CRONOPLE!$F$15,$M25-$A$15,BD$13)))</f>
        <v>1000000000000</v>
      </c>
      <c r="BE25" s="171">
        <f ca="1">IF(OR($D25&lt;&gt;"Serviço",AND(AUTOEVENTO="Manual",$M25=$A$15)),0,
         IF(OFFSET(CRONOPLE!$F$15,$M25-$A$15,BE$13)=0,10^12,OFFSET(CRONOPLE!$F$15,$M25-$A$15,BE$13)))</f>
        <v>1</v>
      </c>
      <c r="BF25" s="171">
        <f ca="1">IF(OR($D25&lt;&gt;"Serviço",AND(AUTOEVENTO="Manual",$M25=$A$15)),0,
         IF(OFFSET(CRONOPLE!$F$15,$M25-$A$15,BF$13)=0,10^12,OFFSET(CRONOPLE!$F$15,$M25-$A$15,BF$13)))</f>
        <v>1000000000000</v>
      </c>
      <c r="BG25" s="171">
        <f ca="1">IF(OR($D25&lt;&gt;"Serviço",AND(AUTOEVENTO="Manual",$M25=$A$15)),0,
         IF(OFFSET(CRONOPLE!$F$15,$M25-$A$15,BG$13)=0,10^12,OFFSET(CRONOPLE!$F$15,$M25-$A$15,BG$13)))</f>
        <v>1000000000000</v>
      </c>
      <c r="BH25" s="171">
        <f ca="1">IF(OR($D25&lt;&gt;"Serviço",AND(AUTOEVENTO="Manual",$M25=$A$15)),0,
         IF(OFFSET(CRONOPLE!$F$15,$M25-$A$15,BH$13)=0,10^12,OFFSET(CRONOPLE!$F$15,$M25-$A$15,BH$13)))</f>
        <v>1000000000000</v>
      </c>
      <c r="BI25" s="171">
        <f ca="1">IF(OR($D25&lt;&gt;"Serviço",AND(AUTOEVENTO="Manual",$M25=$A$15)),0,
         IF(OFFSET(CRONOPLE!$F$15,$M25-$A$15,BI$13)=0,10^12,OFFSET(CRONOPLE!$F$15,$M25-$A$15,BI$13)))</f>
        <v>1000000000000</v>
      </c>
      <c r="BJ25" s="171">
        <f ca="1">IF(OR($D25&lt;&gt;"Serviço",AND(AUTOEVENTO="Manual",$M25=$A$15)),0,
         IF(OFFSET(CRONOPLE!$F$15,$M25-$A$15,BJ$13)=0,10^12,OFFSET(CRONOPLE!$F$15,$M25-$A$15,BJ$13)))</f>
        <v>1000000000000</v>
      </c>
      <c r="BK25" s="171">
        <f ca="1">IF(OR($D25&lt;&gt;"Serviço",AND(AUTOEVENTO="Manual",$M25=$A$15)),0,
         IF(OFFSET(CRONOPLE!$F$15,$M25-$A$15,BK$13)=0,10^12,OFFSET(CRONOPLE!$F$15,$M25-$A$15,BK$13)))</f>
        <v>1000000000000</v>
      </c>
      <c r="BL25" s="171">
        <f ca="1">IF(OR($D25&lt;&gt;"Serviço",AND(AUTOEVENTO="Manual",$M25=$A$15)),0,
         IF(OFFSET(CRONOPLE!$F$15,$M25-$A$15,BL$13)=0,10^12,OFFSET(CRONOPLE!$F$15,$M25-$A$15,BL$13)))</f>
        <v>1000000000000</v>
      </c>
      <c r="BM25" s="171">
        <f ca="1">IF(OR($D25&lt;&gt;"Serviço",AND(AUTOEVENTO="Manual",$M25=$A$15)),0,
         IF(OFFSET(CRONOPLE!$F$15,$M25-$A$15,BM$13)=0,10^12,OFFSET(CRONOPLE!$F$15,$M25-$A$15,BM$13)))</f>
        <v>1000000000000</v>
      </c>
      <c r="BN25" s="171">
        <f ca="1">IF(OR($D25&lt;&gt;"Serviço",AND(AUTOEVENTO="Manual",$M25=$A$15)),0,
         IF(OFFSET(CRONOPLE!$F$15,$M25-$A$15,BN$13)=0,10^12,OFFSET(CRONOPLE!$F$15,$M25-$A$15,BN$13)))</f>
        <v>1000000000000</v>
      </c>
      <c r="BO25" s="171">
        <f ca="1">IF(OR($D25&lt;&gt;"Serviço",AND(AUTOEVENTO="Manual",$M25=$A$15)),0,
         IF(OFFSET(CRONOPLE!$F$15,$M25-$A$15,BO$13)=0,10^12,OFFSET(CRONOPLE!$F$15,$M25-$A$15,BO$13)))</f>
        <v>1000000000000</v>
      </c>
      <c r="BP25" s="171">
        <f ca="1">IF(OR($D25&lt;&gt;"Serviço",AND(AUTOEVENTO="Manual",$M25=$A$15)),0,
         IF(OFFSET(CRONOPLE!$F$15,$M25-$A$15,BP$13)=0,10^12,OFFSET(CRONOPLE!$F$15,$M25-$A$15,BP$13)))</f>
        <v>1000000000000</v>
      </c>
      <c r="BQ25" s="171">
        <f ca="1">IF(OR($D25&lt;&gt;"Serviço",AND(AUTOEVENTO="Manual",$M25=$A$15)),0,
         IF(OFFSET(CRONOPLE!$F$15,$M25-$A$15,BQ$13)=0,10^12,OFFSET(CRONOPLE!$F$15,$M25-$A$15,BQ$13)))</f>
        <v>1000000000000</v>
      </c>
      <c r="BR25" s="171">
        <f ca="1">IF(OR($D25&lt;&gt;"Serviço",AND(AUTOEVENTO="Manual",$M25=$A$15)),0,
         IF(OFFSET(CRONOPLE!$F$15,$M25-$A$15,BR$13)=0,10^12,OFFSET(CRONOPLE!$F$15,$M25-$A$15,BR$13)))</f>
        <v>1000000000000</v>
      </c>
      <c r="BS25" s="171">
        <f ca="1">IF(OR($D25&lt;&gt;"Serviço",AND(AUTOEVENTO="Manual",$M25=$A$15)),0,
         IF(OFFSET(CRONOPLE!$F$15,$M25-$A$15,BS$13)=0,10^12,OFFSET(CRONOPLE!$F$15,$M25-$A$15,BS$13)))</f>
        <v>1000000000000</v>
      </c>
      <c r="BT25" s="171">
        <f ca="1">IF(OR($D25&lt;&gt;"Serviço",AND(AUTOEVENTO="Manual",$M25=$A$15)),0,
         IF(OFFSET(CRONOPLE!$F$15,$M25-$A$15,BT$13)=0,10^12,OFFSET(CRONOPLE!$F$15,$M25-$A$15,BT$13)))</f>
        <v>1000000000000</v>
      </c>
      <c r="BV25" s="172">
        <f ca="1">IF(OR($D25&lt;&gt;"Serviço",AND(AUTOEVENTO="Manual",$M25=$A$15),$M25&gt;(ROW(PLE.lastrow)-ROW(PLE.firstrow))),0,
           IF(OFFSET(PLE!$G$15,$M25-$A$15,BV$13)="",10^12,OFFSET(PLE!$G$15,$M25-$A$15,BV$13)))</f>
        <v>1000000000000</v>
      </c>
      <c r="BW25" s="172">
        <f ca="1">IF(OR($D25&lt;&gt;"Serviço",AND(AUTOEVENTO="Manual",$M25=$A$15),$M25&gt;(ROW(PLE.lastrow)-ROW(PLE.firstrow))),0,
           IF(OFFSET(PLE!$G$15,$M25-$A$15,BW$13)="",10^12,OFFSET(PLE!$G$15,$M25-$A$15,BW$13)))</f>
        <v>1000000000000</v>
      </c>
      <c r="BX25" s="172">
        <f ca="1">IF(OR($D25&lt;&gt;"Serviço",AND(AUTOEVENTO="Manual",$M25=$A$15),$M25&gt;(ROW(PLE.lastrow)-ROW(PLE.firstrow))),0,
           IF(OFFSET(PLE!$G$15,$M25-$A$15,BX$13)="",10^12,OFFSET(PLE!$G$15,$M25-$A$15,BX$13)))</f>
        <v>1000000000000</v>
      </c>
      <c r="BY25" s="172">
        <f ca="1">IF(OR($D25&lt;&gt;"Serviço",AND(AUTOEVENTO="Manual",$M25=$A$15),$M25&gt;(ROW(PLE.lastrow)-ROW(PLE.firstrow))),0,
           IF(OFFSET(PLE!$G$15,$M25-$A$15,BY$13)="",10^12,OFFSET(PLE!$G$15,$M25-$A$15,BY$13)))</f>
        <v>1000000000000</v>
      </c>
      <c r="BZ25" s="172">
        <f ca="1">IF(OR($D25&lt;&gt;"Serviço",AND(AUTOEVENTO="Manual",$M25=$A$15),$M25&gt;(ROW(PLE.lastrow)-ROW(PLE.firstrow))),0,
           IF(OFFSET(PLE!$G$15,$M25-$A$15,BZ$13)="",10^12,OFFSET(PLE!$G$15,$M25-$A$15,BZ$13)))</f>
        <v>1000000000000</v>
      </c>
      <c r="CA25" s="172">
        <f ca="1">IF(OR($D25&lt;&gt;"Serviço",AND(AUTOEVENTO="Manual",$M25=$A$15),$M25&gt;(ROW(PLE.lastrow)-ROW(PLE.firstrow))),0,
           IF(OFFSET(PLE!$G$15,$M25-$A$15,CA$13)="",10^12,OFFSET(PLE!$G$15,$M25-$A$15,CA$13)))</f>
        <v>1000000000000</v>
      </c>
      <c r="CB25" s="172">
        <f ca="1">IF(OR($D25&lt;&gt;"Serviço",AND(AUTOEVENTO="Manual",$M25=$A$15),$M25&gt;(ROW(PLE.lastrow)-ROW(PLE.firstrow))),0,
           IF(OFFSET(PLE!$G$15,$M25-$A$15,CB$13)="",10^12,OFFSET(PLE!$G$15,$M25-$A$15,CB$13)))</f>
        <v>1000000000000</v>
      </c>
      <c r="CC25" s="172">
        <f ca="1">IF(OR($D25&lt;&gt;"Serviço",AND(AUTOEVENTO="Manual",$M25=$A$15),$M25&gt;(ROW(PLE.lastrow)-ROW(PLE.firstrow))),0,
           IF(OFFSET(PLE!$G$15,$M25-$A$15,CC$13)="",10^12,OFFSET(PLE!$G$15,$M25-$A$15,CC$13)))</f>
        <v>1000000000000</v>
      </c>
      <c r="CD25" s="172">
        <f ca="1">IF(OR($D25&lt;&gt;"Serviço",AND(AUTOEVENTO="Manual",$M25=$A$15),$M25&gt;(ROW(PLE.lastrow)-ROW(PLE.firstrow))),0,
           IF(OFFSET(PLE!$G$15,$M25-$A$15,CD$13)="",10^12,OFFSET(PLE!$G$15,$M25-$A$15,CD$13)))</f>
        <v>1000000000000</v>
      </c>
      <c r="CE25" s="172">
        <f ca="1">IF(OR($D25&lt;&gt;"Serviço",AND(AUTOEVENTO="Manual",$M25=$A$15),$M25&gt;(ROW(PLE.lastrow)-ROW(PLE.firstrow))),0,
           IF(OFFSET(PLE!$G$15,$M25-$A$15,CE$13)="",10^12,OFFSET(PLE!$G$15,$M25-$A$15,CE$13)))</f>
        <v>1000000000000</v>
      </c>
      <c r="CF25" s="172">
        <f ca="1">IF(OR($D25&lt;&gt;"Serviço",AND(AUTOEVENTO="Manual",$M25=$A$15),$M25&gt;(ROW(PLE.lastrow)-ROW(PLE.firstrow))),0,
           IF(OFFSET(PLE!$G$15,$M25-$A$15,CF$13)="",10^12,OFFSET(PLE!$G$15,$M25-$A$15,CF$13)))</f>
        <v>1000000000000</v>
      </c>
      <c r="CG25" s="172">
        <f ca="1">IF(OR($D25&lt;&gt;"Serviço",AND(AUTOEVENTO="Manual",$M25=$A$15),$M25&gt;(ROW(PLE.lastrow)-ROW(PLE.firstrow))),0,
           IF(OFFSET(PLE!$G$15,$M25-$A$15,CG$13)="",10^12,OFFSET(PLE!$G$15,$M25-$A$15,CG$13)))</f>
        <v>1000000000000</v>
      </c>
      <c r="CH25" s="172">
        <f ca="1">IF(OR($D25&lt;&gt;"Serviço",AND(AUTOEVENTO="Manual",$M25=$A$15),$M25&gt;(ROW(PLE.lastrow)-ROW(PLE.firstrow))),0,
           IF(OFFSET(PLE!$G$15,$M25-$A$15,CH$13)="",10^12,OFFSET(PLE!$G$15,$M25-$A$15,CH$13)))</f>
        <v>1000000000000</v>
      </c>
      <c r="CI25" s="172">
        <f ca="1">IF(OR($D25&lt;&gt;"Serviço",AND(AUTOEVENTO="Manual",$M25=$A$15),$M25&gt;(ROW(PLE.lastrow)-ROW(PLE.firstrow))),0,
           IF(OFFSET(PLE!$G$15,$M25-$A$15,CI$13)="",10^12,OFFSET(PLE!$G$15,$M25-$A$15,CI$13)))</f>
        <v>1000000000000</v>
      </c>
      <c r="CJ25" s="172">
        <f ca="1">IF(OR($D25&lt;&gt;"Serviço",AND(AUTOEVENTO="Manual",$M25=$A$15),$M25&gt;(ROW(PLE.lastrow)-ROW(PLE.firstrow))),0,
           IF(OFFSET(PLE!$G$15,$M25-$A$15,CJ$13)="",10^12,OFFSET(PLE!$G$15,$M25-$A$15,CJ$13)))</f>
        <v>1000000000000</v>
      </c>
      <c r="CK25" s="172">
        <f ca="1">IF(OR($D25&lt;&gt;"Serviço",AND(AUTOEVENTO="Manual",$M25=$A$15),$M25&gt;(ROW(PLE.lastrow)-ROW(PLE.firstrow))),0,
           IF(OFFSET(PLE!$G$15,$M25-$A$15,CK$13)="",10^12,OFFSET(PLE!$G$15,$M25-$A$15,CK$13)))</f>
        <v>1000000000000</v>
      </c>
      <c r="CL25" s="172">
        <f ca="1">IF(OR($D25&lt;&gt;"Serviço",AND(AUTOEVENTO="Manual",$M25=$A$15),$M25&gt;(ROW(PLE.lastrow)-ROW(PLE.firstrow))),0,
           IF(OFFSET(PLE!$G$15,$M25-$A$15,CL$13)="",10^12,OFFSET(PLE!$G$15,$M25-$A$15,CL$13)))</f>
        <v>1000000000000</v>
      </c>
      <c r="CM25" s="172">
        <f ca="1">IF(OR($D25&lt;&gt;"Serviço",AND(AUTOEVENTO="Manual",$M25=$A$15),$M25&gt;(ROW(PLE.lastrow)-ROW(PLE.firstrow))),0,
           IF(OFFSET(PLE!$G$15,$M25-$A$15,CM$13)="",10^12,OFFSET(PLE!$G$15,$M25-$A$15,CM$13)))</f>
        <v>1000000000000</v>
      </c>
    </row>
    <row r="26" spans="1:91" ht="26.4" x14ac:dyDescent="0.25">
      <c r="A26" s="7" t="str">
        <f t="shared" ca="1" si="11"/>
        <v>8</v>
      </c>
      <c r="B26" s="7" t="str">
        <f ca="1">OFFSET(ORÇAMENTO!C$15,ROW(B26)-ROW(B$15),0)</f>
        <v>S</v>
      </c>
      <c r="C26" s="7" t="str">
        <f ca="1">OFFSET(ORÇAMENTO!L$15,ROW(C26)-ROW(C$15),0)</f>
        <v>F</v>
      </c>
      <c r="D26" s="116" t="str">
        <f ca="1">OFFSET(ORÇAMENTO!N$15,ROW(D26)-ROW(D$15),0)</f>
        <v>Serviço</v>
      </c>
      <c r="E26" s="117" t="str">
        <f ca="1">OFFSET(ORÇAMENTO!O$15,ROW(E26)-ROW(E$15),0)</f>
        <v>1.3.3.</v>
      </c>
      <c r="F26" s="163" t="str">
        <f ca="1">OFFSET(ORÇAMENTO!R$15,ROW(F26)-ROW(F$15),0)</f>
        <v>Tubo de concreto PA1 comercial para drenagem - D = 0,60 m - fornecimento e instalação</v>
      </c>
      <c r="G26" s="164" t="str">
        <f ca="1">IF($D26&lt;&gt;"Serviço","",OFFSET(ORÇAMENTO!S$15,ROW(G26)-ROW(G$15),0))</f>
        <v>m</v>
      </c>
      <c r="H26" s="122" cm="1">
        <f t="array" aca="1" ref="H26" ca="1">IF($D26&lt;&gt;"Serviço",0,IF(ACOMPANHAMENTO="BM",ROUND(OFFSET(ORÇAMENTO!AJ$15,ROW(H26)-ROW(H$15),0),15-13*ORÇAMENTO!$AF$7),SUMPRODUCT(($Q$1:$AI$1=1)*ROUND($Q26:$AI26,15-13*ORÇAMENTO!$AF$7))))</f>
        <v>2</v>
      </c>
      <c r="I26" s="468"/>
      <c r="J26" s="651" t="e" cm="1">
        <f t="array" aca="1" ref="J26" ca="1">IF(OR(B26&lt;&gt;"S",CÁLCULO.FrentesPreenchidas=0),"",IF(AND(ACOMPANHAMENTO="PLE",AUTOEVENTO="Manual",OR(H26&gt;0,ORÇAMENTO!AC26="QUANT."),OR(K26="",M26=0,N26="")),"►E",IF(AND(ACOMPANHAMENTO="PLE",ORÇAMENTO!AC26="QUANT."),"►Q",IF(AND(ACOMPANHAMENTO="PLE",H26&lt;&gt;SUMPRODUCT(($Q$1:$AI$1=1)*ROUND(Q26:AI26,15))),"►S",IF(AND(COUNTIF($P$11:$AI$11,"▼")=0,H26&gt;0,I26=""),"◄M","")))))</f>
        <v>#NAME?</v>
      </c>
      <c r="K26" s="652"/>
      <c r="L26" s="165" t="s">
        <v>764</v>
      </c>
      <c r="M26" s="166">
        <f ca="1">IF($D26&lt;&gt;"Serviço","",
          IF(AUTOEVENTO="manual",$A26,
                IF(ISERROR(MATCH($A26,$A$15:OFFSET($A26,-1,0),0)),MAX($M$15:OFFSET(M26,-1,0))+1,
                      INDEX($M$15:OFFSET(M26,-1,0),MATCH($A26,$A$15:OFFSET($A26,-1,0),0)))))</f>
        <v>3</v>
      </c>
      <c r="N26" s="167" t="str">
        <f ca="1">IF($D26&lt;&gt;"Serviço","",
         IF(AUTOEVENTO="Manual",
                IF($A26=0,"&lt;-- defina o número do agrupador",
                       OFFSET(EVENTOS!$D$15,$A26-$A$15,0)),
                OFFSET($F$15,$A26,0)))</f>
        <v>DRENAGEM</v>
      </c>
      <c r="O26" s="168"/>
      <c r="Q26" s="168"/>
      <c r="R26" s="169"/>
      <c r="S26" s="169">
        <v>2</v>
      </c>
      <c r="T26" s="169"/>
      <c r="U26" s="169"/>
      <c r="V26" s="169"/>
      <c r="W26" s="169"/>
      <c r="X26" s="169"/>
      <c r="Y26" s="169"/>
      <c r="Z26" s="170"/>
      <c r="AA26" s="169"/>
      <c r="AB26" s="169"/>
      <c r="AC26" s="169"/>
      <c r="AD26" s="169"/>
      <c r="AE26" s="169"/>
      <c r="AF26" s="169"/>
      <c r="AG26" s="169"/>
      <c r="AH26" s="170"/>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L26" s="453">
        <f ca="1">IF(AND($D26="Serviço",AL$12&lt;&gt;0,$H26&gt;0,OR(AUTOEVENTO&lt;&gt;"manual",$M26&lt;&gt;$A$15)),
        IF(Import.TipoArredondamento&lt;&gt;"TransfereGOV",
              ROUND(OFFSET($P26,0,AL$13),15-13*ORÇAMENTO!$AF$7)/$H26*OFFSET(ORÇAMENTO!$X$15,ROW(AL26)-ROW(AL$15),0),
              ROUND(ROUND(OFFSET($P26,0,AL$13),15-13*ORÇAMENTO!$AF$7)*OFFSET(ORÇAMENTO!$W$15,ROW(AL26)-ROW(AL$15),0),15-13*ORÇAMENTO!$AF$11)),
         0)</f>
        <v>760.46</v>
      </c>
      <c r="AM26" s="453">
        <f ca="1">IF(AND($D26="Serviço",AM$12&lt;&gt;0,$H26&gt;0,OR(AUTOEVENTO&lt;&gt;"manual",$M26&lt;&gt;$A$15)),
        IF(Import.TipoArredondamento&lt;&gt;"TransfereGOV",
              ROUND(OFFSET($P26,0,AM$13),15-13*ORÇAMENTO!$AF$7)/$H26*OFFSET(ORÇAMENTO!$X$15,ROW(AM26)-ROW(AM$15),0),
              ROUND(ROUND(OFFSET($P26,0,AM$13),15-13*ORÇAMENTO!$AF$7)*OFFSET(ORÇAMENTO!$W$15,ROW(AM26)-ROW(AM$15),0),15-13*ORÇAMENTO!$AF$11)),
         0)</f>
        <v>0</v>
      </c>
      <c r="AN26" s="453">
        <f ca="1">IF(AND($D26="Serviço",AN$12&lt;&gt;0,$H26&gt;0,OR(AUTOEVENTO&lt;&gt;"manual",$M26&lt;&gt;$A$15)),
        IF(Import.TipoArredondamento&lt;&gt;"TransfereGOV",
              ROUND(OFFSET($P26,0,AN$13),15-13*ORÇAMENTO!$AF$7)/$H26*OFFSET(ORÇAMENTO!$X$15,ROW(AN26)-ROW(AN$15),0),
              ROUND(ROUND(OFFSET($P26,0,AN$13),15-13*ORÇAMENTO!$AF$7)*OFFSET(ORÇAMENTO!$W$15,ROW(AN26)-ROW(AN$15),0),15-13*ORÇAMENTO!$AF$11)),
         0)</f>
        <v>0</v>
      </c>
      <c r="AO26" s="453">
        <f ca="1">IF(AND($D26="Serviço",AO$12&lt;&gt;0,$H26&gt;0,OR(AUTOEVENTO&lt;&gt;"manual",$M26&lt;&gt;$A$15)),
        IF(Import.TipoArredondamento&lt;&gt;"TransfereGOV",
              ROUND(OFFSET($P26,0,AO$13),15-13*ORÇAMENTO!$AF$7)/$H26*OFFSET(ORÇAMENTO!$X$15,ROW(AO26)-ROW(AO$15),0),
              ROUND(ROUND(OFFSET($P26,0,AO$13),15-13*ORÇAMENTO!$AF$7)*OFFSET(ORÇAMENTO!$W$15,ROW(AO26)-ROW(AO$15),0),15-13*ORÇAMENTO!$AF$11)),
         0)</f>
        <v>0</v>
      </c>
      <c r="AP26" s="453">
        <f ca="1">IF(AND($D26="Serviço",AP$12&lt;&gt;0,$H26&gt;0,OR(AUTOEVENTO&lt;&gt;"manual",$M26&lt;&gt;$A$15)),
        IF(Import.TipoArredondamento&lt;&gt;"TransfereGOV",
              ROUND(OFFSET($P26,0,AP$13),15-13*ORÇAMENTO!$AF$7)/$H26*OFFSET(ORÇAMENTO!$X$15,ROW(AP26)-ROW(AP$15),0),
              ROUND(ROUND(OFFSET($P26,0,AP$13),15-13*ORÇAMENTO!$AF$7)*OFFSET(ORÇAMENTO!$W$15,ROW(AP26)-ROW(AP$15),0),15-13*ORÇAMENTO!$AF$11)),
         0)</f>
        <v>0</v>
      </c>
      <c r="AQ26" s="453">
        <f ca="1">IF(AND($D26="Serviço",AQ$12&lt;&gt;0,$H26&gt;0,OR(AUTOEVENTO&lt;&gt;"manual",$M26&lt;&gt;$A$15)),
        IF(Import.TipoArredondamento&lt;&gt;"TransfereGOV",
              ROUND(OFFSET($P26,0,AQ$13),15-13*ORÇAMENTO!$AF$7)/$H26*OFFSET(ORÇAMENTO!$X$15,ROW(AQ26)-ROW(AQ$15),0),
              ROUND(ROUND(OFFSET($P26,0,AQ$13),15-13*ORÇAMENTO!$AF$7)*OFFSET(ORÇAMENTO!$W$15,ROW(AQ26)-ROW(AQ$15),0),15-13*ORÇAMENTO!$AF$11)),
         0)</f>
        <v>0</v>
      </c>
      <c r="AR26" s="453">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453">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453">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453">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453">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453">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453">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453">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453">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453">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C26" s="171">
        <f ca="1">IF(OR($D26&lt;&gt;"Serviço",AND(AUTOEVENTO="Manual",$M26=$A$15)),0,
         IF(OFFSET(CRONOPLE!$F$15,$M26-$A$15,BC$13)=0,10^12,OFFSET(CRONOPLE!$F$15,$M26-$A$15,BC$13)))</f>
        <v>1000000000000</v>
      </c>
      <c r="BD26" s="171">
        <f ca="1">IF(OR($D26&lt;&gt;"Serviço",AND(AUTOEVENTO="Manual",$M26=$A$15)),0,
         IF(OFFSET(CRONOPLE!$F$15,$M26-$A$15,BD$13)=0,10^12,OFFSET(CRONOPLE!$F$15,$M26-$A$15,BD$13)))</f>
        <v>1000000000000</v>
      </c>
      <c r="BE26" s="171">
        <f ca="1">IF(OR($D26&lt;&gt;"Serviço",AND(AUTOEVENTO="Manual",$M26=$A$15)),0,
         IF(OFFSET(CRONOPLE!$F$15,$M26-$A$15,BE$13)=0,10^12,OFFSET(CRONOPLE!$F$15,$M26-$A$15,BE$13)))</f>
        <v>1</v>
      </c>
      <c r="BF26" s="171">
        <f ca="1">IF(OR($D26&lt;&gt;"Serviço",AND(AUTOEVENTO="Manual",$M26=$A$15)),0,
         IF(OFFSET(CRONOPLE!$F$15,$M26-$A$15,BF$13)=0,10^12,OFFSET(CRONOPLE!$F$15,$M26-$A$15,BF$13)))</f>
        <v>1000000000000</v>
      </c>
      <c r="BG26" s="171">
        <f ca="1">IF(OR($D26&lt;&gt;"Serviço",AND(AUTOEVENTO="Manual",$M26=$A$15)),0,
         IF(OFFSET(CRONOPLE!$F$15,$M26-$A$15,BG$13)=0,10^12,OFFSET(CRONOPLE!$F$15,$M26-$A$15,BG$13)))</f>
        <v>1000000000000</v>
      </c>
      <c r="BH26" s="171">
        <f ca="1">IF(OR($D26&lt;&gt;"Serviço",AND(AUTOEVENTO="Manual",$M26=$A$15)),0,
         IF(OFFSET(CRONOPLE!$F$15,$M26-$A$15,BH$13)=0,10^12,OFFSET(CRONOPLE!$F$15,$M26-$A$15,BH$13)))</f>
        <v>1000000000000</v>
      </c>
      <c r="BI26" s="171">
        <f ca="1">IF(OR($D26&lt;&gt;"Serviço",AND(AUTOEVENTO="Manual",$M26=$A$15)),0,
         IF(OFFSET(CRONOPLE!$F$15,$M26-$A$15,BI$13)=0,10^12,OFFSET(CRONOPLE!$F$15,$M26-$A$15,BI$13)))</f>
        <v>1000000000000</v>
      </c>
      <c r="BJ26" s="171">
        <f ca="1">IF(OR($D26&lt;&gt;"Serviço",AND(AUTOEVENTO="Manual",$M26=$A$15)),0,
         IF(OFFSET(CRONOPLE!$F$15,$M26-$A$15,BJ$13)=0,10^12,OFFSET(CRONOPLE!$F$15,$M26-$A$15,BJ$13)))</f>
        <v>1000000000000</v>
      </c>
      <c r="BK26" s="171">
        <f ca="1">IF(OR($D26&lt;&gt;"Serviço",AND(AUTOEVENTO="Manual",$M26=$A$15)),0,
         IF(OFFSET(CRONOPLE!$F$15,$M26-$A$15,BK$13)=0,10^12,OFFSET(CRONOPLE!$F$15,$M26-$A$15,BK$13)))</f>
        <v>1000000000000</v>
      </c>
      <c r="BL26" s="171">
        <f ca="1">IF(OR($D26&lt;&gt;"Serviço",AND(AUTOEVENTO="Manual",$M26=$A$15)),0,
         IF(OFFSET(CRONOPLE!$F$15,$M26-$A$15,BL$13)=0,10^12,OFFSET(CRONOPLE!$F$15,$M26-$A$15,BL$13)))</f>
        <v>1000000000000</v>
      </c>
      <c r="BM26" s="171">
        <f ca="1">IF(OR($D26&lt;&gt;"Serviço",AND(AUTOEVENTO="Manual",$M26=$A$15)),0,
         IF(OFFSET(CRONOPLE!$F$15,$M26-$A$15,BM$13)=0,10^12,OFFSET(CRONOPLE!$F$15,$M26-$A$15,BM$13)))</f>
        <v>1000000000000</v>
      </c>
      <c r="BN26" s="171">
        <f ca="1">IF(OR($D26&lt;&gt;"Serviço",AND(AUTOEVENTO="Manual",$M26=$A$15)),0,
         IF(OFFSET(CRONOPLE!$F$15,$M26-$A$15,BN$13)=0,10^12,OFFSET(CRONOPLE!$F$15,$M26-$A$15,BN$13)))</f>
        <v>1000000000000</v>
      </c>
      <c r="BO26" s="171">
        <f ca="1">IF(OR($D26&lt;&gt;"Serviço",AND(AUTOEVENTO="Manual",$M26=$A$15)),0,
         IF(OFFSET(CRONOPLE!$F$15,$M26-$A$15,BO$13)=0,10^12,OFFSET(CRONOPLE!$F$15,$M26-$A$15,BO$13)))</f>
        <v>1000000000000</v>
      </c>
      <c r="BP26" s="171">
        <f ca="1">IF(OR($D26&lt;&gt;"Serviço",AND(AUTOEVENTO="Manual",$M26=$A$15)),0,
         IF(OFFSET(CRONOPLE!$F$15,$M26-$A$15,BP$13)=0,10^12,OFFSET(CRONOPLE!$F$15,$M26-$A$15,BP$13)))</f>
        <v>1000000000000</v>
      </c>
      <c r="BQ26" s="171">
        <f ca="1">IF(OR($D26&lt;&gt;"Serviço",AND(AUTOEVENTO="Manual",$M26=$A$15)),0,
         IF(OFFSET(CRONOPLE!$F$15,$M26-$A$15,BQ$13)=0,10^12,OFFSET(CRONOPLE!$F$15,$M26-$A$15,BQ$13)))</f>
        <v>1000000000000</v>
      </c>
      <c r="BR26" s="171">
        <f ca="1">IF(OR($D26&lt;&gt;"Serviço",AND(AUTOEVENTO="Manual",$M26=$A$15)),0,
         IF(OFFSET(CRONOPLE!$F$15,$M26-$A$15,BR$13)=0,10^12,OFFSET(CRONOPLE!$F$15,$M26-$A$15,BR$13)))</f>
        <v>1000000000000</v>
      </c>
      <c r="BS26" s="171">
        <f ca="1">IF(OR($D26&lt;&gt;"Serviço",AND(AUTOEVENTO="Manual",$M26=$A$15)),0,
         IF(OFFSET(CRONOPLE!$F$15,$M26-$A$15,BS$13)=0,10^12,OFFSET(CRONOPLE!$F$15,$M26-$A$15,BS$13)))</f>
        <v>1000000000000</v>
      </c>
      <c r="BT26" s="171">
        <f ca="1">IF(OR($D26&lt;&gt;"Serviço",AND(AUTOEVENTO="Manual",$M26=$A$15)),0,
         IF(OFFSET(CRONOPLE!$F$15,$M26-$A$15,BT$13)=0,10^12,OFFSET(CRONOPLE!$F$15,$M26-$A$15,BT$13)))</f>
        <v>1000000000000</v>
      </c>
      <c r="BV26" s="172">
        <f ca="1">IF(OR($D26&lt;&gt;"Serviço",AND(AUTOEVENTO="Manual",$M26=$A$15),$M26&gt;(ROW(PLE.lastrow)-ROW(PLE.firstrow))),0,
           IF(OFFSET(PLE!$G$15,$M26-$A$15,BV$13)="",10^12,OFFSET(PLE!$G$15,$M26-$A$15,BV$13)))</f>
        <v>1000000000000</v>
      </c>
      <c r="BW26" s="172">
        <f ca="1">IF(OR($D26&lt;&gt;"Serviço",AND(AUTOEVENTO="Manual",$M26=$A$15),$M26&gt;(ROW(PLE.lastrow)-ROW(PLE.firstrow))),0,
           IF(OFFSET(PLE!$G$15,$M26-$A$15,BW$13)="",10^12,OFFSET(PLE!$G$15,$M26-$A$15,BW$13)))</f>
        <v>1000000000000</v>
      </c>
      <c r="BX26" s="172">
        <f ca="1">IF(OR($D26&lt;&gt;"Serviço",AND(AUTOEVENTO="Manual",$M26=$A$15),$M26&gt;(ROW(PLE.lastrow)-ROW(PLE.firstrow))),0,
           IF(OFFSET(PLE!$G$15,$M26-$A$15,BX$13)="",10^12,OFFSET(PLE!$G$15,$M26-$A$15,BX$13)))</f>
        <v>1000000000000</v>
      </c>
      <c r="BY26" s="172">
        <f ca="1">IF(OR($D26&lt;&gt;"Serviço",AND(AUTOEVENTO="Manual",$M26=$A$15),$M26&gt;(ROW(PLE.lastrow)-ROW(PLE.firstrow))),0,
           IF(OFFSET(PLE!$G$15,$M26-$A$15,BY$13)="",10^12,OFFSET(PLE!$G$15,$M26-$A$15,BY$13)))</f>
        <v>1000000000000</v>
      </c>
      <c r="BZ26" s="172">
        <f ca="1">IF(OR($D26&lt;&gt;"Serviço",AND(AUTOEVENTO="Manual",$M26=$A$15),$M26&gt;(ROW(PLE.lastrow)-ROW(PLE.firstrow))),0,
           IF(OFFSET(PLE!$G$15,$M26-$A$15,BZ$13)="",10^12,OFFSET(PLE!$G$15,$M26-$A$15,BZ$13)))</f>
        <v>1000000000000</v>
      </c>
      <c r="CA26" s="172">
        <f ca="1">IF(OR($D26&lt;&gt;"Serviço",AND(AUTOEVENTO="Manual",$M26=$A$15),$M26&gt;(ROW(PLE.lastrow)-ROW(PLE.firstrow))),0,
           IF(OFFSET(PLE!$G$15,$M26-$A$15,CA$13)="",10^12,OFFSET(PLE!$G$15,$M26-$A$15,CA$13)))</f>
        <v>1000000000000</v>
      </c>
      <c r="CB26" s="172">
        <f ca="1">IF(OR($D26&lt;&gt;"Serviço",AND(AUTOEVENTO="Manual",$M26=$A$15),$M26&gt;(ROW(PLE.lastrow)-ROW(PLE.firstrow))),0,
           IF(OFFSET(PLE!$G$15,$M26-$A$15,CB$13)="",10^12,OFFSET(PLE!$G$15,$M26-$A$15,CB$13)))</f>
        <v>1000000000000</v>
      </c>
      <c r="CC26" s="172">
        <f ca="1">IF(OR($D26&lt;&gt;"Serviço",AND(AUTOEVENTO="Manual",$M26=$A$15),$M26&gt;(ROW(PLE.lastrow)-ROW(PLE.firstrow))),0,
           IF(OFFSET(PLE!$G$15,$M26-$A$15,CC$13)="",10^12,OFFSET(PLE!$G$15,$M26-$A$15,CC$13)))</f>
        <v>1000000000000</v>
      </c>
      <c r="CD26" s="172">
        <f ca="1">IF(OR($D26&lt;&gt;"Serviço",AND(AUTOEVENTO="Manual",$M26=$A$15),$M26&gt;(ROW(PLE.lastrow)-ROW(PLE.firstrow))),0,
           IF(OFFSET(PLE!$G$15,$M26-$A$15,CD$13)="",10^12,OFFSET(PLE!$G$15,$M26-$A$15,CD$13)))</f>
        <v>1000000000000</v>
      </c>
      <c r="CE26" s="172">
        <f ca="1">IF(OR($D26&lt;&gt;"Serviço",AND(AUTOEVENTO="Manual",$M26=$A$15),$M26&gt;(ROW(PLE.lastrow)-ROW(PLE.firstrow))),0,
           IF(OFFSET(PLE!$G$15,$M26-$A$15,CE$13)="",10^12,OFFSET(PLE!$G$15,$M26-$A$15,CE$13)))</f>
        <v>1000000000000</v>
      </c>
      <c r="CF26" s="172">
        <f ca="1">IF(OR($D26&lt;&gt;"Serviço",AND(AUTOEVENTO="Manual",$M26=$A$15),$M26&gt;(ROW(PLE.lastrow)-ROW(PLE.firstrow))),0,
           IF(OFFSET(PLE!$G$15,$M26-$A$15,CF$13)="",10^12,OFFSET(PLE!$G$15,$M26-$A$15,CF$13)))</f>
        <v>1000000000000</v>
      </c>
      <c r="CG26" s="172">
        <f ca="1">IF(OR($D26&lt;&gt;"Serviço",AND(AUTOEVENTO="Manual",$M26=$A$15),$M26&gt;(ROW(PLE.lastrow)-ROW(PLE.firstrow))),0,
           IF(OFFSET(PLE!$G$15,$M26-$A$15,CG$13)="",10^12,OFFSET(PLE!$G$15,$M26-$A$15,CG$13)))</f>
        <v>1000000000000</v>
      </c>
      <c r="CH26" s="172">
        <f ca="1">IF(OR($D26&lt;&gt;"Serviço",AND(AUTOEVENTO="Manual",$M26=$A$15),$M26&gt;(ROW(PLE.lastrow)-ROW(PLE.firstrow))),0,
           IF(OFFSET(PLE!$G$15,$M26-$A$15,CH$13)="",10^12,OFFSET(PLE!$G$15,$M26-$A$15,CH$13)))</f>
        <v>1000000000000</v>
      </c>
      <c r="CI26" s="172">
        <f ca="1">IF(OR($D26&lt;&gt;"Serviço",AND(AUTOEVENTO="Manual",$M26=$A$15),$M26&gt;(ROW(PLE.lastrow)-ROW(PLE.firstrow))),0,
           IF(OFFSET(PLE!$G$15,$M26-$A$15,CI$13)="",10^12,OFFSET(PLE!$G$15,$M26-$A$15,CI$13)))</f>
        <v>1000000000000</v>
      </c>
      <c r="CJ26" s="172">
        <f ca="1">IF(OR($D26&lt;&gt;"Serviço",AND(AUTOEVENTO="Manual",$M26=$A$15),$M26&gt;(ROW(PLE.lastrow)-ROW(PLE.firstrow))),0,
           IF(OFFSET(PLE!$G$15,$M26-$A$15,CJ$13)="",10^12,OFFSET(PLE!$G$15,$M26-$A$15,CJ$13)))</f>
        <v>1000000000000</v>
      </c>
      <c r="CK26" s="172">
        <f ca="1">IF(OR($D26&lt;&gt;"Serviço",AND(AUTOEVENTO="Manual",$M26=$A$15),$M26&gt;(ROW(PLE.lastrow)-ROW(PLE.firstrow))),0,
           IF(OFFSET(PLE!$G$15,$M26-$A$15,CK$13)="",10^12,OFFSET(PLE!$G$15,$M26-$A$15,CK$13)))</f>
        <v>1000000000000</v>
      </c>
      <c r="CL26" s="172">
        <f ca="1">IF(OR($D26&lt;&gt;"Serviço",AND(AUTOEVENTO="Manual",$M26=$A$15),$M26&gt;(ROW(PLE.lastrow)-ROW(PLE.firstrow))),0,
           IF(OFFSET(PLE!$G$15,$M26-$A$15,CL$13)="",10^12,OFFSET(PLE!$G$15,$M26-$A$15,CL$13)))</f>
        <v>1000000000000</v>
      </c>
      <c r="CM26" s="172">
        <f ca="1">IF(OR($D26&lt;&gt;"Serviço",AND(AUTOEVENTO="Manual",$M26=$A$15),$M26&gt;(ROW(PLE.lastrow)-ROW(PLE.firstrow))),0,
           IF(OFFSET(PLE!$G$15,$M26-$A$15,CM$13)="",10^12,OFFSET(PLE!$G$15,$M26-$A$15,CM$13)))</f>
        <v>1000000000000</v>
      </c>
    </row>
    <row r="27" spans="1:91" ht="26.4" x14ac:dyDescent="0.25">
      <c r="A27" s="7" t="str">
        <f t="shared" ca="1" si="11"/>
        <v>8</v>
      </c>
      <c r="B27" s="7" t="str">
        <f ca="1">OFFSET(ORÇAMENTO!C$15,ROW(B27)-ROW(B$15),0)</f>
        <v>S</v>
      </c>
      <c r="C27" s="7" t="str">
        <f ca="1">OFFSET(ORÇAMENTO!L$15,ROW(C27)-ROW(C$15),0)</f>
        <v>F</v>
      </c>
      <c r="D27" s="116" t="str">
        <f ca="1">OFFSET(ORÇAMENTO!N$15,ROW(D27)-ROW(D$15),0)</f>
        <v>Serviço</v>
      </c>
      <c r="E27" s="117" t="str">
        <f ca="1">OFFSET(ORÇAMENTO!O$15,ROW(E27)-ROW(E$15),0)</f>
        <v>1.3.4.</v>
      </c>
      <c r="F27" s="163" t="str">
        <f ca="1">OFFSET(ORÇAMENTO!R$15,ROW(F27)-ROW(F$15),0)</f>
        <v>Base ou sub-base de brita graduada com brita comercial - 100% Proctor modificado</v>
      </c>
      <c r="G27" s="164" t="str">
        <f ca="1">IF($D27&lt;&gt;"Serviço","",OFFSET(ORÇAMENTO!S$15,ROW(G27)-ROW(G$15),0))</f>
        <v>m³</v>
      </c>
      <c r="H27" s="122" cm="1">
        <f t="array" aca="1" ref="H27" ca="1">IF($D27&lt;&gt;"Serviço",0,IF(ACOMPANHAMENTO="BM",ROUND(OFFSET(ORÇAMENTO!AJ$15,ROW(H27)-ROW(H$15),0),15-13*ORÇAMENTO!$AF$7),SUMPRODUCT(($Q$1:$AI$1=1)*ROUND($Q27:$AI27,15-13*ORÇAMENTO!$AF$7))))</f>
        <v>15.72</v>
      </c>
      <c r="I27" s="468"/>
      <c r="J27" s="651" t="e" cm="1">
        <f t="array" aca="1" ref="J27" ca="1">IF(OR(B27&lt;&gt;"S",CÁLCULO.FrentesPreenchidas=0),"",IF(AND(ACOMPANHAMENTO="PLE",AUTOEVENTO="Manual",OR(H27&gt;0,ORÇAMENTO!AC27="QUANT."),OR(K27="",M27=0,N27="")),"►E",IF(AND(ACOMPANHAMENTO="PLE",ORÇAMENTO!AC27="QUANT."),"►Q",IF(AND(ACOMPANHAMENTO="PLE",H27&lt;&gt;SUMPRODUCT(($Q$1:$AI$1=1)*ROUND(Q27:AI27,15))),"►S",IF(AND(COUNTIF($P$11:$AI$11,"▼")=0,H27&gt;0,I27=""),"◄M","")))))</f>
        <v>#NAME?</v>
      </c>
      <c r="K27" s="652"/>
      <c r="L27" s="165" t="s">
        <v>764</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DRENAGEM</v>
      </c>
      <c r="O27" s="168"/>
      <c r="Q27" s="168"/>
      <c r="R27" s="169"/>
      <c r="S27" s="169">
        <f>ROUND(S24-(0.19*S25)-(0.258*S26),2)</f>
        <v>15.72</v>
      </c>
      <c r="T27" s="169"/>
      <c r="U27" s="169"/>
      <c r="V27" s="169"/>
      <c r="W27" s="169"/>
      <c r="X27" s="169"/>
      <c r="Y27" s="169"/>
      <c r="Z27" s="170"/>
      <c r="AA27" s="169"/>
      <c r="AB27" s="169"/>
      <c r="AC27" s="169"/>
      <c r="AD27" s="169"/>
      <c r="AE27" s="169"/>
      <c r="AF27" s="169"/>
      <c r="AG27" s="169"/>
      <c r="AH27" s="170"/>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L27" s="453">
        <f ca="1">IF(AND($D27="Serviço",AL$12&lt;&gt;0,$H27&gt;0,OR(AUTOEVENTO&lt;&gt;"manual",$M27&lt;&gt;$A$15)),
        IF(Import.TipoArredondamento&lt;&gt;"TransfereGOV",
              ROUND(OFFSET($P27,0,AL$13),15-13*ORÇAMENTO!$AF$7)/$H27*OFFSET(ORÇAMENTO!$X$15,ROW(AL27)-ROW(AL$15),0),
              ROUND(ROUND(OFFSET($P27,0,AL$13),15-13*ORÇAMENTO!$AF$7)*OFFSET(ORÇAMENTO!$W$15,ROW(AL27)-ROW(AL$15),0),15-13*ORÇAMENTO!$AF$11)),
         0)</f>
        <v>4585.68</v>
      </c>
      <c r="AM27" s="453">
        <f ca="1">IF(AND($D27="Serviço",AM$12&lt;&gt;0,$H27&gt;0,OR(AUTOEVENTO&lt;&gt;"manual",$M27&lt;&gt;$A$15)),
        IF(Import.TipoArredondamento&lt;&gt;"TransfereGOV",
              ROUND(OFFSET($P27,0,AM$13),15-13*ORÇAMENTO!$AF$7)/$H27*OFFSET(ORÇAMENTO!$X$15,ROW(AM27)-ROW(AM$15),0),
              ROUND(ROUND(OFFSET($P27,0,AM$13),15-13*ORÇAMENTO!$AF$7)*OFFSET(ORÇAMENTO!$W$15,ROW(AM27)-ROW(AM$15),0),15-13*ORÇAMENTO!$AF$11)),
         0)</f>
        <v>0</v>
      </c>
      <c r="AN27" s="453">
        <f ca="1">IF(AND($D27="Serviço",AN$12&lt;&gt;0,$H27&gt;0,OR(AUTOEVENTO&lt;&gt;"manual",$M27&lt;&gt;$A$15)),
        IF(Import.TipoArredondamento&lt;&gt;"TransfereGOV",
              ROUND(OFFSET($P27,0,AN$13),15-13*ORÇAMENTO!$AF$7)/$H27*OFFSET(ORÇAMENTO!$X$15,ROW(AN27)-ROW(AN$15),0),
              ROUND(ROUND(OFFSET($P27,0,AN$13),15-13*ORÇAMENTO!$AF$7)*OFFSET(ORÇAMENTO!$W$15,ROW(AN27)-ROW(AN$15),0),15-13*ORÇAMENTO!$AF$11)),
         0)</f>
        <v>0</v>
      </c>
      <c r="AO27" s="453">
        <f ca="1">IF(AND($D27="Serviço",AO$12&lt;&gt;0,$H27&gt;0,OR(AUTOEVENTO&lt;&gt;"manual",$M27&lt;&gt;$A$15)),
        IF(Import.TipoArredondamento&lt;&gt;"TransfereGOV",
              ROUND(OFFSET($P27,0,AO$13),15-13*ORÇAMENTO!$AF$7)/$H27*OFFSET(ORÇAMENTO!$X$15,ROW(AO27)-ROW(AO$15),0),
              ROUND(ROUND(OFFSET($P27,0,AO$13),15-13*ORÇAMENTO!$AF$7)*OFFSET(ORÇAMENTO!$W$15,ROW(AO27)-ROW(AO$15),0),15-13*ORÇAMENTO!$AF$11)),
         0)</f>
        <v>0</v>
      </c>
      <c r="AP27" s="453">
        <f ca="1">IF(AND($D27="Serviço",AP$12&lt;&gt;0,$H27&gt;0,OR(AUTOEVENTO&lt;&gt;"manual",$M27&lt;&gt;$A$15)),
        IF(Import.TipoArredondamento&lt;&gt;"TransfereGOV",
              ROUND(OFFSET($P27,0,AP$13),15-13*ORÇAMENTO!$AF$7)/$H27*OFFSET(ORÇAMENTO!$X$15,ROW(AP27)-ROW(AP$15),0),
              ROUND(ROUND(OFFSET($P27,0,AP$13),15-13*ORÇAMENTO!$AF$7)*OFFSET(ORÇAMENTO!$W$15,ROW(AP27)-ROW(AP$15),0),15-13*ORÇAMENTO!$AF$11)),
         0)</f>
        <v>0</v>
      </c>
      <c r="AQ27" s="453">
        <f ca="1">IF(AND($D27="Serviço",AQ$12&lt;&gt;0,$H27&gt;0,OR(AUTOEVENTO&lt;&gt;"manual",$M27&lt;&gt;$A$15)),
        IF(Import.TipoArredondamento&lt;&gt;"TransfereGOV",
              ROUND(OFFSET($P27,0,AQ$13),15-13*ORÇAMENTO!$AF$7)/$H27*OFFSET(ORÇAMENTO!$X$15,ROW(AQ27)-ROW(AQ$15),0),
              ROUND(ROUND(OFFSET($P27,0,AQ$13),15-13*ORÇAMENTO!$AF$7)*OFFSET(ORÇAMENTO!$W$15,ROW(AQ27)-ROW(AQ$15),0),15-13*ORÇAMENTO!$AF$11)),
         0)</f>
        <v>0</v>
      </c>
      <c r="AR27" s="453">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0</v>
      </c>
      <c r="AS27" s="453">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0</v>
      </c>
      <c r="AT27" s="453">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0</v>
      </c>
      <c r="AU27" s="453">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0</v>
      </c>
      <c r="AV27" s="453">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0</v>
      </c>
      <c r="AW27" s="453">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0</v>
      </c>
      <c r="AX27" s="453">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0</v>
      </c>
      <c r="AY27" s="453">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0</v>
      </c>
      <c r="AZ27" s="453">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0</v>
      </c>
      <c r="BA27" s="453">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0</v>
      </c>
      <c r="BC27" s="171">
        <f ca="1">IF(OR($D27&lt;&gt;"Serviço",AND(AUTOEVENTO="Manual",$M27=$A$15)),0,
         IF(OFFSET(CRONOPLE!$F$15,$M27-$A$15,BC$13)=0,10^12,OFFSET(CRONOPLE!$F$15,$M27-$A$15,BC$13)))</f>
        <v>1000000000000</v>
      </c>
      <c r="BD27" s="171">
        <f ca="1">IF(OR($D27&lt;&gt;"Serviço",AND(AUTOEVENTO="Manual",$M27=$A$15)),0,
         IF(OFFSET(CRONOPLE!$F$15,$M27-$A$15,BD$13)=0,10^12,OFFSET(CRONOPLE!$F$15,$M27-$A$15,BD$13)))</f>
        <v>1000000000000</v>
      </c>
      <c r="BE27" s="171">
        <f ca="1">IF(OR($D27&lt;&gt;"Serviço",AND(AUTOEVENTO="Manual",$M27=$A$15)),0,
         IF(OFFSET(CRONOPLE!$F$15,$M27-$A$15,BE$13)=0,10^12,OFFSET(CRONOPLE!$F$15,$M27-$A$15,BE$13)))</f>
        <v>1</v>
      </c>
      <c r="BF27" s="171">
        <f ca="1">IF(OR($D27&lt;&gt;"Serviço",AND(AUTOEVENTO="Manual",$M27=$A$15)),0,
         IF(OFFSET(CRONOPLE!$F$15,$M27-$A$15,BF$13)=0,10^12,OFFSET(CRONOPLE!$F$15,$M27-$A$15,BF$13)))</f>
        <v>1000000000000</v>
      </c>
      <c r="BG27" s="171">
        <f ca="1">IF(OR($D27&lt;&gt;"Serviço",AND(AUTOEVENTO="Manual",$M27=$A$15)),0,
         IF(OFFSET(CRONOPLE!$F$15,$M27-$A$15,BG$13)=0,10^12,OFFSET(CRONOPLE!$F$15,$M27-$A$15,BG$13)))</f>
        <v>1000000000000</v>
      </c>
      <c r="BH27" s="171">
        <f ca="1">IF(OR($D27&lt;&gt;"Serviço",AND(AUTOEVENTO="Manual",$M27=$A$15)),0,
         IF(OFFSET(CRONOPLE!$F$15,$M27-$A$15,BH$13)=0,10^12,OFFSET(CRONOPLE!$F$15,$M27-$A$15,BH$13)))</f>
        <v>1000000000000</v>
      </c>
      <c r="BI27" s="171">
        <f ca="1">IF(OR($D27&lt;&gt;"Serviço",AND(AUTOEVENTO="Manual",$M27=$A$15)),0,
         IF(OFFSET(CRONOPLE!$F$15,$M27-$A$15,BI$13)=0,10^12,OFFSET(CRONOPLE!$F$15,$M27-$A$15,BI$13)))</f>
        <v>1000000000000</v>
      </c>
      <c r="BJ27" s="171">
        <f ca="1">IF(OR($D27&lt;&gt;"Serviço",AND(AUTOEVENTO="Manual",$M27=$A$15)),0,
         IF(OFFSET(CRONOPLE!$F$15,$M27-$A$15,BJ$13)=0,10^12,OFFSET(CRONOPLE!$F$15,$M27-$A$15,BJ$13)))</f>
        <v>1000000000000</v>
      </c>
      <c r="BK27" s="171">
        <f ca="1">IF(OR($D27&lt;&gt;"Serviço",AND(AUTOEVENTO="Manual",$M27=$A$15)),0,
         IF(OFFSET(CRONOPLE!$F$15,$M27-$A$15,BK$13)=0,10^12,OFFSET(CRONOPLE!$F$15,$M27-$A$15,BK$13)))</f>
        <v>1000000000000</v>
      </c>
      <c r="BL27" s="171">
        <f ca="1">IF(OR($D27&lt;&gt;"Serviço",AND(AUTOEVENTO="Manual",$M27=$A$15)),0,
         IF(OFFSET(CRONOPLE!$F$15,$M27-$A$15,BL$13)=0,10^12,OFFSET(CRONOPLE!$F$15,$M27-$A$15,BL$13)))</f>
        <v>1000000000000</v>
      </c>
      <c r="BM27" s="171">
        <f ca="1">IF(OR($D27&lt;&gt;"Serviço",AND(AUTOEVENTO="Manual",$M27=$A$15)),0,
         IF(OFFSET(CRONOPLE!$F$15,$M27-$A$15,BM$13)=0,10^12,OFFSET(CRONOPLE!$F$15,$M27-$A$15,BM$13)))</f>
        <v>1000000000000</v>
      </c>
      <c r="BN27" s="171">
        <f ca="1">IF(OR($D27&lt;&gt;"Serviço",AND(AUTOEVENTO="Manual",$M27=$A$15)),0,
         IF(OFFSET(CRONOPLE!$F$15,$M27-$A$15,BN$13)=0,10^12,OFFSET(CRONOPLE!$F$15,$M27-$A$15,BN$13)))</f>
        <v>1000000000000</v>
      </c>
      <c r="BO27" s="171">
        <f ca="1">IF(OR($D27&lt;&gt;"Serviço",AND(AUTOEVENTO="Manual",$M27=$A$15)),0,
         IF(OFFSET(CRONOPLE!$F$15,$M27-$A$15,BO$13)=0,10^12,OFFSET(CRONOPLE!$F$15,$M27-$A$15,BO$13)))</f>
        <v>1000000000000</v>
      </c>
      <c r="BP27" s="171">
        <f ca="1">IF(OR($D27&lt;&gt;"Serviço",AND(AUTOEVENTO="Manual",$M27=$A$15)),0,
         IF(OFFSET(CRONOPLE!$F$15,$M27-$A$15,BP$13)=0,10^12,OFFSET(CRONOPLE!$F$15,$M27-$A$15,BP$13)))</f>
        <v>1000000000000</v>
      </c>
      <c r="BQ27" s="171">
        <f ca="1">IF(OR($D27&lt;&gt;"Serviço",AND(AUTOEVENTO="Manual",$M27=$A$15)),0,
         IF(OFFSET(CRONOPLE!$F$15,$M27-$A$15,BQ$13)=0,10^12,OFFSET(CRONOPLE!$F$15,$M27-$A$15,BQ$13)))</f>
        <v>1000000000000</v>
      </c>
      <c r="BR27" s="171">
        <f ca="1">IF(OR($D27&lt;&gt;"Serviço",AND(AUTOEVENTO="Manual",$M27=$A$15)),0,
         IF(OFFSET(CRONOPLE!$F$15,$M27-$A$15,BR$13)=0,10^12,OFFSET(CRONOPLE!$F$15,$M27-$A$15,BR$13)))</f>
        <v>1000000000000</v>
      </c>
      <c r="BS27" s="171">
        <f ca="1">IF(OR($D27&lt;&gt;"Serviço",AND(AUTOEVENTO="Manual",$M27=$A$15)),0,
         IF(OFFSET(CRONOPLE!$F$15,$M27-$A$15,BS$13)=0,10^12,OFFSET(CRONOPLE!$F$15,$M27-$A$15,BS$13)))</f>
        <v>1000000000000</v>
      </c>
      <c r="BT27" s="171">
        <f ca="1">IF(OR($D27&lt;&gt;"Serviço",AND(AUTOEVENTO="Manual",$M27=$A$15)),0,
         IF(OFFSET(CRONOPLE!$F$15,$M27-$A$15,BT$13)=0,10^12,OFFSET(CRONOPLE!$F$15,$M27-$A$15,BT$13)))</f>
        <v>1000000000000</v>
      </c>
      <c r="BV27" s="172">
        <f ca="1">IF(OR($D27&lt;&gt;"Serviço",AND(AUTOEVENTO="Manual",$M27=$A$15),$M27&gt;(ROW(PLE.lastrow)-ROW(PLE.firstrow))),0,
           IF(OFFSET(PLE!$G$15,$M27-$A$15,BV$13)="",10^12,OFFSET(PLE!$G$15,$M27-$A$15,BV$13)))</f>
        <v>1000000000000</v>
      </c>
      <c r="BW27" s="172">
        <f ca="1">IF(OR($D27&lt;&gt;"Serviço",AND(AUTOEVENTO="Manual",$M27=$A$15),$M27&gt;(ROW(PLE.lastrow)-ROW(PLE.firstrow))),0,
           IF(OFFSET(PLE!$G$15,$M27-$A$15,BW$13)="",10^12,OFFSET(PLE!$G$15,$M27-$A$15,BW$13)))</f>
        <v>1000000000000</v>
      </c>
      <c r="BX27" s="172">
        <f ca="1">IF(OR($D27&lt;&gt;"Serviço",AND(AUTOEVENTO="Manual",$M27=$A$15),$M27&gt;(ROW(PLE.lastrow)-ROW(PLE.firstrow))),0,
           IF(OFFSET(PLE!$G$15,$M27-$A$15,BX$13)="",10^12,OFFSET(PLE!$G$15,$M27-$A$15,BX$13)))</f>
        <v>1000000000000</v>
      </c>
      <c r="BY27" s="172">
        <f ca="1">IF(OR($D27&lt;&gt;"Serviço",AND(AUTOEVENTO="Manual",$M27=$A$15),$M27&gt;(ROW(PLE.lastrow)-ROW(PLE.firstrow))),0,
           IF(OFFSET(PLE!$G$15,$M27-$A$15,BY$13)="",10^12,OFFSET(PLE!$G$15,$M27-$A$15,BY$13)))</f>
        <v>1000000000000</v>
      </c>
      <c r="BZ27" s="172">
        <f ca="1">IF(OR($D27&lt;&gt;"Serviço",AND(AUTOEVENTO="Manual",$M27=$A$15),$M27&gt;(ROW(PLE.lastrow)-ROW(PLE.firstrow))),0,
           IF(OFFSET(PLE!$G$15,$M27-$A$15,BZ$13)="",10^12,OFFSET(PLE!$G$15,$M27-$A$15,BZ$13)))</f>
        <v>1000000000000</v>
      </c>
      <c r="CA27" s="172">
        <f ca="1">IF(OR($D27&lt;&gt;"Serviço",AND(AUTOEVENTO="Manual",$M27=$A$15),$M27&gt;(ROW(PLE.lastrow)-ROW(PLE.firstrow))),0,
           IF(OFFSET(PLE!$G$15,$M27-$A$15,CA$13)="",10^12,OFFSET(PLE!$G$15,$M27-$A$15,CA$13)))</f>
        <v>1000000000000</v>
      </c>
      <c r="CB27" s="172">
        <f ca="1">IF(OR($D27&lt;&gt;"Serviço",AND(AUTOEVENTO="Manual",$M27=$A$15),$M27&gt;(ROW(PLE.lastrow)-ROW(PLE.firstrow))),0,
           IF(OFFSET(PLE!$G$15,$M27-$A$15,CB$13)="",10^12,OFFSET(PLE!$G$15,$M27-$A$15,CB$13)))</f>
        <v>1000000000000</v>
      </c>
      <c r="CC27" s="172">
        <f ca="1">IF(OR($D27&lt;&gt;"Serviço",AND(AUTOEVENTO="Manual",$M27=$A$15),$M27&gt;(ROW(PLE.lastrow)-ROW(PLE.firstrow))),0,
           IF(OFFSET(PLE!$G$15,$M27-$A$15,CC$13)="",10^12,OFFSET(PLE!$G$15,$M27-$A$15,CC$13)))</f>
        <v>1000000000000</v>
      </c>
      <c r="CD27" s="172">
        <f ca="1">IF(OR($D27&lt;&gt;"Serviço",AND(AUTOEVENTO="Manual",$M27=$A$15),$M27&gt;(ROW(PLE.lastrow)-ROW(PLE.firstrow))),0,
           IF(OFFSET(PLE!$G$15,$M27-$A$15,CD$13)="",10^12,OFFSET(PLE!$G$15,$M27-$A$15,CD$13)))</f>
        <v>1000000000000</v>
      </c>
      <c r="CE27" s="172">
        <f ca="1">IF(OR($D27&lt;&gt;"Serviço",AND(AUTOEVENTO="Manual",$M27=$A$15),$M27&gt;(ROW(PLE.lastrow)-ROW(PLE.firstrow))),0,
           IF(OFFSET(PLE!$G$15,$M27-$A$15,CE$13)="",10^12,OFFSET(PLE!$G$15,$M27-$A$15,CE$13)))</f>
        <v>1000000000000</v>
      </c>
      <c r="CF27" s="172">
        <f ca="1">IF(OR($D27&lt;&gt;"Serviço",AND(AUTOEVENTO="Manual",$M27=$A$15),$M27&gt;(ROW(PLE.lastrow)-ROW(PLE.firstrow))),0,
           IF(OFFSET(PLE!$G$15,$M27-$A$15,CF$13)="",10^12,OFFSET(PLE!$G$15,$M27-$A$15,CF$13)))</f>
        <v>1000000000000</v>
      </c>
      <c r="CG27" s="172">
        <f ca="1">IF(OR($D27&lt;&gt;"Serviço",AND(AUTOEVENTO="Manual",$M27=$A$15),$M27&gt;(ROW(PLE.lastrow)-ROW(PLE.firstrow))),0,
           IF(OFFSET(PLE!$G$15,$M27-$A$15,CG$13)="",10^12,OFFSET(PLE!$G$15,$M27-$A$15,CG$13)))</f>
        <v>1000000000000</v>
      </c>
      <c r="CH27" s="172">
        <f ca="1">IF(OR($D27&lt;&gt;"Serviço",AND(AUTOEVENTO="Manual",$M27=$A$15),$M27&gt;(ROW(PLE.lastrow)-ROW(PLE.firstrow))),0,
           IF(OFFSET(PLE!$G$15,$M27-$A$15,CH$13)="",10^12,OFFSET(PLE!$G$15,$M27-$A$15,CH$13)))</f>
        <v>1000000000000</v>
      </c>
      <c r="CI27" s="172">
        <f ca="1">IF(OR($D27&lt;&gt;"Serviço",AND(AUTOEVENTO="Manual",$M27=$A$15),$M27&gt;(ROW(PLE.lastrow)-ROW(PLE.firstrow))),0,
           IF(OFFSET(PLE!$G$15,$M27-$A$15,CI$13)="",10^12,OFFSET(PLE!$G$15,$M27-$A$15,CI$13)))</f>
        <v>1000000000000</v>
      </c>
      <c r="CJ27" s="172">
        <f ca="1">IF(OR($D27&lt;&gt;"Serviço",AND(AUTOEVENTO="Manual",$M27=$A$15),$M27&gt;(ROW(PLE.lastrow)-ROW(PLE.firstrow))),0,
           IF(OFFSET(PLE!$G$15,$M27-$A$15,CJ$13)="",10^12,OFFSET(PLE!$G$15,$M27-$A$15,CJ$13)))</f>
        <v>1000000000000</v>
      </c>
      <c r="CK27" s="172">
        <f ca="1">IF(OR($D27&lt;&gt;"Serviço",AND(AUTOEVENTO="Manual",$M27=$A$15),$M27&gt;(ROW(PLE.lastrow)-ROW(PLE.firstrow))),0,
           IF(OFFSET(PLE!$G$15,$M27-$A$15,CK$13)="",10^12,OFFSET(PLE!$G$15,$M27-$A$15,CK$13)))</f>
        <v>1000000000000</v>
      </c>
      <c r="CL27" s="172">
        <f ca="1">IF(OR($D27&lt;&gt;"Serviço",AND(AUTOEVENTO="Manual",$M27=$A$15),$M27&gt;(ROW(PLE.lastrow)-ROW(PLE.firstrow))),0,
           IF(OFFSET(PLE!$G$15,$M27-$A$15,CL$13)="",10^12,OFFSET(PLE!$G$15,$M27-$A$15,CL$13)))</f>
        <v>1000000000000</v>
      </c>
      <c r="CM27" s="172">
        <f ca="1">IF(OR($D27&lt;&gt;"Serviço",AND(AUTOEVENTO="Manual",$M27=$A$15),$M27&gt;(ROW(PLE.lastrow)-ROW(PLE.firstrow))),0,
           IF(OFFSET(PLE!$G$15,$M27-$A$15,CM$13)="",10^12,OFFSET(PLE!$G$15,$M27-$A$15,CM$13)))</f>
        <v>1000000000000</v>
      </c>
    </row>
    <row r="28" spans="1:91" ht="13.2" x14ac:dyDescent="0.25">
      <c r="A28" s="7" t="str">
        <f t="shared" ca="1" si="11"/>
        <v>8</v>
      </c>
      <c r="B28" s="7" t="str">
        <f ca="1">OFFSET(ORÇAMENTO!C$15,ROW(B28)-ROW(B$15),0)</f>
        <v>S</v>
      </c>
      <c r="C28" s="7" t="str">
        <f ca="1">OFFSET(ORÇAMENTO!L$15,ROW(C28)-ROW(C$15),0)</f>
        <v>F</v>
      </c>
      <c r="D28" s="116" t="str">
        <f ca="1">OFFSET(ORÇAMENTO!N$15,ROW(D28)-ROW(D$15),0)</f>
        <v>Serviço</v>
      </c>
      <c r="E28" s="117" t="str">
        <f ca="1">OFFSET(ORÇAMENTO!O$15,ROW(E28)-ROW(E$15),0)</f>
        <v>1.3.5.</v>
      </c>
      <c r="F28" s="163" t="str">
        <f ca="1">OFFSET(ORÇAMENTO!R$15,ROW(F28)-ROW(F$15),0)</f>
        <v>Transporte com caminhão basculante de 10 m³ - rodovia pavimentada</v>
      </c>
      <c r="G28" s="164" t="str">
        <f ca="1">IF($D28&lt;&gt;"Serviço","",OFFSET(ORÇAMENTO!S$15,ROW(G28)-ROW(G$15),0))</f>
        <v>tkm</v>
      </c>
      <c r="H28" s="122" cm="1">
        <f t="array" aca="1" ref="H28" ca="1">IF($D28&lt;&gt;"Serviço",0,IF(ACOMPANHAMENTO="BM",ROUND(OFFSET(ORÇAMENTO!AJ$15,ROW(H28)-ROW(H$15),0),15-13*ORÇAMENTO!$AF$7),SUMPRODUCT(($Q$1:$AI$1=1)*ROUND($Q28:$AI28,15-13*ORÇAMENTO!$AF$7))))</f>
        <v>495.18</v>
      </c>
      <c r="I28" s="468"/>
      <c r="J28" s="651" t="e" cm="1">
        <f t="array" aca="1" ref="J28" ca="1">IF(OR(B28&lt;&gt;"S",CÁLCULO.FrentesPreenchidas=0),"",IF(AND(ACOMPANHAMENTO="PLE",AUTOEVENTO="Manual",OR(H28&gt;0,ORÇAMENTO!AC28="QUANT."),OR(K28="",M28=0,N28="")),"►E",IF(AND(ACOMPANHAMENTO="PLE",ORÇAMENTO!AC28="QUANT."),"►Q",IF(AND(ACOMPANHAMENTO="PLE",H28&lt;&gt;SUMPRODUCT(($Q$1:$AI$1=1)*ROUND(Q28:AI28,15))),"►S",IF(AND(COUNTIF($P$11:$AI$11,"▼")=0,H28&gt;0,I28=""),"◄M","")))))</f>
        <v>#NAME?</v>
      </c>
      <c r="K28" s="652"/>
      <c r="L28" s="165" t="s">
        <v>764</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DRENAGEM</v>
      </c>
      <c r="O28" s="168"/>
      <c r="Q28" s="168"/>
      <c r="R28" s="169"/>
      <c r="S28" s="169">
        <f>ROUND(((S27*1500)/1000)*21,2)</f>
        <v>495.18</v>
      </c>
      <c r="T28" s="169"/>
      <c r="U28" s="169"/>
      <c r="V28" s="169"/>
      <c r="W28" s="169"/>
      <c r="X28" s="169"/>
      <c r="Y28" s="169"/>
      <c r="Z28" s="170"/>
      <c r="AA28" s="169"/>
      <c r="AB28" s="169"/>
      <c r="AC28" s="169"/>
      <c r="AD28" s="169"/>
      <c r="AE28" s="169"/>
      <c r="AF28" s="169"/>
      <c r="AG28" s="169"/>
      <c r="AH28" s="170"/>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L28" s="453">
        <f ca="1">IF(AND($D28="Serviço",AL$12&lt;&gt;0,$H28&gt;0,OR(AUTOEVENTO&lt;&gt;"manual",$M28&lt;&gt;$A$15)),
        IF(Import.TipoArredondamento&lt;&gt;"TransfereGOV",
              ROUND(OFFSET($P28,0,AL$13),15-13*ORÇAMENTO!$AF$7)/$H28*OFFSET(ORÇAMENTO!$X$15,ROW(AL28)-ROW(AL$15),0),
              ROUND(ROUND(OFFSET($P28,0,AL$13),15-13*ORÇAMENTO!$AF$7)*OFFSET(ORÇAMENTO!$W$15,ROW(AL28)-ROW(AL$15),0),15-13*ORÇAMENTO!$AF$11)),
         0)</f>
        <v>500.13</v>
      </c>
      <c r="AM28" s="453">
        <f ca="1">IF(AND($D28="Serviço",AM$12&lt;&gt;0,$H28&gt;0,OR(AUTOEVENTO&lt;&gt;"manual",$M28&lt;&gt;$A$15)),
        IF(Import.TipoArredondamento&lt;&gt;"TransfereGOV",
              ROUND(OFFSET($P28,0,AM$13),15-13*ORÇAMENTO!$AF$7)/$H28*OFFSET(ORÇAMENTO!$X$15,ROW(AM28)-ROW(AM$15),0),
              ROUND(ROUND(OFFSET($P28,0,AM$13),15-13*ORÇAMENTO!$AF$7)*OFFSET(ORÇAMENTO!$W$15,ROW(AM28)-ROW(AM$15),0),15-13*ORÇAMENTO!$AF$11)),
         0)</f>
        <v>0</v>
      </c>
      <c r="AN28" s="453">
        <f ca="1">IF(AND($D28="Serviço",AN$12&lt;&gt;0,$H28&gt;0,OR(AUTOEVENTO&lt;&gt;"manual",$M28&lt;&gt;$A$15)),
        IF(Import.TipoArredondamento&lt;&gt;"TransfereGOV",
              ROUND(OFFSET($P28,0,AN$13),15-13*ORÇAMENTO!$AF$7)/$H28*OFFSET(ORÇAMENTO!$X$15,ROW(AN28)-ROW(AN$15),0),
              ROUND(ROUND(OFFSET($P28,0,AN$13),15-13*ORÇAMENTO!$AF$7)*OFFSET(ORÇAMENTO!$W$15,ROW(AN28)-ROW(AN$15),0),15-13*ORÇAMENTO!$AF$11)),
         0)</f>
        <v>0</v>
      </c>
      <c r="AO28" s="453">
        <f ca="1">IF(AND($D28="Serviço",AO$12&lt;&gt;0,$H28&gt;0,OR(AUTOEVENTO&lt;&gt;"manual",$M28&lt;&gt;$A$15)),
        IF(Import.TipoArredondamento&lt;&gt;"TransfereGOV",
              ROUND(OFFSET($P28,0,AO$13),15-13*ORÇAMENTO!$AF$7)/$H28*OFFSET(ORÇAMENTO!$X$15,ROW(AO28)-ROW(AO$15),0),
              ROUND(ROUND(OFFSET($P28,0,AO$13),15-13*ORÇAMENTO!$AF$7)*OFFSET(ORÇAMENTO!$W$15,ROW(AO28)-ROW(AO$15),0),15-13*ORÇAMENTO!$AF$11)),
         0)</f>
        <v>0</v>
      </c>
      <c r="AP28" s="453">
        <f ca="1">IF(AND($D28="Serviço",AP$12&lt;&gt;0,$H28&gt;0,OR(AUTOEVENTO&lt;&gt;"manual",$M28&lt;&gt;$A$15)),
        IF(Import.TipoArredondamento&lt;&gt;"TransfereGOV",
              ROUND(OFFSET($P28,0,AP$13),15-13*ORÇAMENTO!$AF$7)/$H28*OFFSET(ORÇAMENTO!$X$15,ROW(AP28)-ROW(AP$15),0),
              ROUND(ROUND(OFFSET($P28,0,AP$13),15-13*ORÇAMENTO!$AF$7)*OFFSET(ORÇAMENTO!$W$15,ROW(AP28)-ROW(AP$15),0),15-13*ORÇAMENTO!$AF$11)),
         0)</f>
        <v>0</v>
      </c>
      <c r="AQ28" s="453">
        <f ca="1">IF(AND($D28="Serviço",AQ$12&lt;&gt;0,$H28&gt;0,OR(AUTOEVENTO&lt;&gt;"manual",$M28&lt;&gt;$A$15)),
        IF(Import.TipoArredondamento&lt;&gt;"TransfereGOV",
              ROUND(OFFSET($P28,0,AQ$13),15-13*ORÇAMENTO!$AF$7)/$H28*OFFSET(ORÇAMENTO!$X$15,ROW(AQ28)-ROW(AQ$15),0),
              ROUND(ROUND(OFFSET($P28,0,AQ$13),15-13*ORÇAMENTO!$AF$7)*OFFSET(ORÇAMENTO!$W$15,ROW(AQ28)-ROW(AQ$15),0),15-13*ORÇAMENTO!$AF$11)),
         0)</f>
        <v>0</v>
      </c>
      <c r="AR28" s="453">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0</v>
      </c>
      <c r="AS28" s="453">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0</v>
      </c>
      <c r="AT28" s="453">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0</v>
      </c>
      <c r="AU28" s="453">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0</v>
      </c>
      <c r="AV28" s="453">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0</v>
      </c>
      <c r="AW28" s="453">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0</v>
      </c>
      <c r="AX28" s="453">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0</v>
      </c>
      <c r="AY28" s="453">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0</v>
      </c>
      <c r="AZ28" s="453">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0</v>
      </c>
      <c r="BA28" s="453">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0</v>
      </c>
      <c r="BC28" s="171">
        <f ca="1">IF(OR($D28&lt;&gt;"Serviço",AND(AUTOEVENTO="Manual",$M28=$A$15)),0,
         IF(OFFSET(CRONOPLE!$F$15,$M28-$A$15,BC$13)=0,10^12,OFFSET(CRONOPLE!$F$15,$M28-$A$15,BC$13)))</f>
        <v>1000000000000</v>
      </c>
      <c r="BD28" s="171">
        <f ca="1">IF(OR($D28&lt;&gt;"Serviço",AND(AUTOEVENTO="Manual",$M28=$A$15)),0,
         IF(OFFSET(CRONOPLE!$F$15,$M28-$A$15,BD$13)=0,10^12,OFFSET(CRONOPLE!$F$15,$M28-$A$15,BD$13)))</f>
        <v>1000000000000</v>
      </c>
      <c r="BE28" s="171">
        <f ca="1">IF(OR($D28&lt;&gt;"Serviço",AND(AUTOEVENTO="Manual",$M28=$A$15)),0,
         IF(OFFSET(CRONOPLE!$F$15,$M28-$A$15,BE$13)=0,10^12,OFFSET(CRONOPLE!$F$15,$M28-$A$15,BE$13)))</f>
        <v>1</v>
      </c>
      <c r="BF28" s="171">
        <f ca="1">IF(OR($D28&lt;&gt;"Serviço",AND(AUTOEVENTO="Manual",$M28=$A$15)),0,
         IF(OFFSET(CRONOPLE!$F$15,$M28-$A$15,BF$13)=0,10^12,OFFSET(CRONOPLE!$F$15,$M28-$A$15,BF$13)))</f>
        <v>1000000000000</v>
      </c>
      <c r="BG28" s="171">
        <f ca="1">IF(OR($D28&lt;&gt;"Serviço",AND(AUTOEVENTO="Manual",$M28=$A$15)),0,
         IF(OFFSET(CRONOPLE!$F$15,$M28-$A$15,BG$13)=0,10^12,OFFSET(CRONOPLE!$F$15,$M28-$A$15,BG$13)))</f>
        <v>1000000000000</v>
      </c>
      <c r="BH28" s="171">
        <f ca="1">IF(OR($D28&lt;&gt;"Serviço",AND(AUTOEVENTO="Manual",$M28=$A$15)),0,
         IF(OFFSET(CRONOPLE!$F$15,$M28-$A$15,BH$13)=0,10^12,OFFSET(CRONOPLE!$F$15,$M28-$A$15,BH$13)))</f>
        <v>1000000000000</v>
      </c>
      <c r="BI28" s="171">
        <f ca="1">IF(OR($D28&lt;&gt;"Serviço",AND(AUTOEVENTO="Manual",$M28=$A$15)),0,
         IF(OFFSET(CRONOPLE!$F$15,$M28-$A$15,BI$13)=0,10^12,OFFSET(CRONOPLE!$F$15,$M28-$A$15,BI$13)))</f>
        <v>1000000000000</v>
      </c>
      <c r="BJ28" s="171">
        <f ca="1">IF(OR($D28&lt;&gt;"Serviço",AND(AUTOEVENTO="Manual",$M28=$A$15)),0,
         IF(OFFSET(CRONOPLE!$F$15,$M28-$A$15,BJ$13)=0,10^12,OFFSET(CRONOPLE!$F$15,$M28-$A$15,BJ$13)))</f>
        <v>1000000000000</v>
      </c>
      <c r="BK28" s="171">
        <f ca="1">IF(OR($D28&lt;&gt;"Serviço",AND(AUTOEVENTO="Manual",$M28=$A$15)),0,
         IF(OFFSET(CRONOPLE!$F$15,$M28-$A$15,BK$13)=0,10^12,OFFSET(CRONOPLE!$F$15,$M28-$A$15,BK$13)))</f>
        <v>1000000000000</v>
      </c>
      <c r="BL28" s="171">
        <f ca="1">IF(OR($D28&lt;&gt;"Serviço",AND(AUTOEVENTO="Manual",$M28=$A$15)),0,
         IF(OFFSET(CRONOPLE!$F$15,$M28-$A$15,BL$13)=0,10^12,OFFSET(CRONOPLE!$F$15,$M28-$A$15,BL$13)))</f>
        <v>1000000000000</v>
      </c>
      <c r="BM28" s="171">
        <f ca="1">IF(OR($D28&lt;&gt;"Serviço",AND(AUTOEVENTO="Manual",$M28=$A$15)),0,
         IF(OFFSET(CRONOPLE!$F$15,$M28-$A$15,BM$13)=0,10^12,OFFSET(CRONOPLE!$F$15,$M28-$A$15,BM$13)))</f>
        <v>1000000000000</v>
      </c>
      <c r="BN28" s="171">
        <f ca="1">IF(OR($D28&lt;&gt;"Serviço",AND(AUTOEVENTO="Manual",$M28=$A$15)),0,
         IF(OFFSET(CRONOPLE!$F$15,$M28-$A$15,BN$13)=0,10^12,OFFSET(CRONOPLE!$F$15,$M28-$A$15,BN$13)))</f>
        <v>1000000000000</v>
      </c>
      <c r="BO28" s="171">
        <f ca="1">IF(OR($D28&lt;&gt;"Serviço",AND(AUTOEVENTO="Manual",$M28=$A$15)),0,
         IF(OFFSET(CRONOPLE!$F$15,$M28-$A$15,BO$13)=0,10^12,OFFSET(CRONOPLE!$F$15,$M28-$A$15,BO$13)))</f>
        <v>1000000000000</v>
      </c>
      <c r="BP28" s="171">
        <f ca="1">IF(OR($D28&lt;&gt;"Serviço",AND(AUTOEVENTO="Manual",$M28=$A$15)),0,
         IF(OFFSET(CRONOPLE!$F$15,$M28-$A$15,BP$13)=0,10^12,OFFSET(CRONOPLE!$F$15,$M28-$A$15,BP$13)))</f>
        <v>1000000000000</v>
      </c>
      <c r="BQ28" s="171">
        <f ca="1">IF(OR($D28&lt;&gt;"Serviço",AND(AUTOEVENTO="Manual",$M28=$A$15)),0,
         IF(OFFSET(CRONOPLE!$F$15,$M28-$A$15,BQ$13)=0,10^12,OFFSET(CRONOPLE!$F$15,$M28-$A$15,BQ$13)))</f>
        <v>1000000000000</v>
      </c>
      <c r="BR28" s="171">
        <f ca="1">IF(OR($D28&lt;&gt;"Serviço",AND(AUTOEVENTO="Manual",$M28=$A$15)),0,
         IF(OFFSET(CRONOPLE!$F$15,$M28-$A$15,BR$13)=0,10^12,OFFSET(CRONOPLE!$F$15,$M28-$A$15,BR$13)))</f>
        <v>1000000000000</v>
      </c>
      <c r="BS28" s="171">
        <f ca="1">IF(OR($D28&lt;&gt;"Serviço",AND(AUTOEVENTO="Manual",$M28=$A$15)),0,
         IF(OFFSET(CRONOPLE!$F$15,$M28-$A$15,BS$13)=0,10^12,OFFSET(CRONOPLE!$F$15,$M28-$A$15,BS$13)))</f>
        <v>1000000000000</v>
      </c>
      <c r="BT28" s="171">
        <f ca="1">IF(OR($D28&lt;&gt;"Serviço",AND(AUTOEVENTO="Manual",$M28=$A$15)),0,
         IF(OFFSET(CRONOPLE!$F$15,$M28-$A$15,BT$13)=0,10^12,OFFSET(CRONOPLE!$F$15,$M28-$A$15,BT$13)))</f>
        <v>1000000000000</v>
      </c>
      <c r="BV28" s="172">
        <f ca="1">IF(OR($D28&lt;&gt;"Serviço",AND(AUTOEVENTO="Manual",$M28=$A$15),$M28&gt;(ROW(PLE.lastrow)-ROW(PLE.firstrow))),0,
           IF(OFFSET(PLE!$G$15,$M28-$A$15,BV$13)="",10^12,OFFSET(PLE!$G$15,$M28-$A$15,BV$13)))</f>
        <v>1000000000000</v>
      </c>
      <c r="BW28" s="172">
        <f ca="1">IF(OR($D28&lt;&gt;"Serviço",AND(AUTOEVENTO="Manual",$M28=$A$15),$M28&gt;(ROW(PLE.lastrow)-ROW(PLE.firstrow))),0,
           IF(OFFSET(PLE!$G$15,$M28-$A$15,BW$13)="",10^12,OFFSET(PLE!$G$15,$M28-$A$15,BW$13)))</f>
        <v>1000000000000</v>
      </c>
      <c r="BX28" s="172">
        <f ca="1">IF(OR($D28&lt;&gt;"Serviço",AND(AUTOEVENTO="Manual",$M28=$A$15),$M28&gt;(ROW(PLE.lastrow)-ROW(PLE.firstrow))),0,
           IF(OFFSET(PLE!$G$15,$M28-$A$15,BX$13)="",10^12,OFFSET(PLE!$G$15,$M28-$A$15,BX$13)))</f>
        <v>1000000000000</v>
      </c>
      <c r="BY28" s="172">
        <f ca="1">IF(OR($D28&lt;&gt;"Serviço",AND(AUTOEVENTO="Manual",$M28=$A$15),$M28&gt;(ROW(PLE.lastrow)-ROW(PLE.firstrow))),0,
           IF(OFFSET(PLE!$G$15,$M28-$A$15,BY$13)="",10^12,OFFSET(PLE!$G$15,$M28-$A$15,BY$13)))</f>
        <v>1000000000000</v>
      </c>
      <c r="BZ28" s="172">
        <f ca="1">IF(OR($D28&lt;&gt;"Serviço",AND(AUTOEVENTO="Manual",$M28=$A$15),$M28&gt;(ROW(PLE.lastrow)-ROW(PLE.firstrow))),0,
           IF(OFFSET(PLE!$G$15,$M28-$A$15,BZ$13)="",10^12,OFFSET(PLE!$G$15,$M28-$A$15,BZ$13)))</f>
        <v>1000000000000</v>
      </c>
      <c r="CA28" s="172">
        <f ca="1">IF(OR($D28&lt;&gt;"Serviço",AND(AUTOEVENTO="Manual",$M28=$A$15),$M28&gt;(ROW(PLE.lastrow)-ROW(PLE.firstrow))),0,
           IF(OFFSET(PLE!$G$15,$M28-$A$15,CA$13)="",10^12,OFFSET(PLE!$G$15,$M28-$A$15,CA$13)))</f>
        <v>1000000000000</v>
      </c>
      <c r="CB28" s="172">
        <f ca="1">IF(OR($D28&lt;&gt;"Serviço",AND(AUTOEVENTO="Manual",$M28=$A$15),$M28&gt;(ROW(PLE.lastrow)-ROW(PLE.firstrow))),0,
           IF(OFFSET(PLE!$G$15,$M28-$A$15,CB$13)="",10^12,OFFSET(PLE!$G$15,$M28-$A$15,CB$13)))</f>
        <v>1000000000000</v>
      </c>
      <c r="CC28" s="172">
        <f ca="1">IF(OR($D28&lt;&gt;"Serviço",AND(AUTOEVENTO="Manual",$M28=$A$15),$M28&gt;(ROW(PLE.lastrow)-ROW(PLE.firstrow))),0,
           IF(OFFSET(PLE!$G$15,$M28-$A$15,CC$13)="",10^12,OFFSET(PLE!$G$15,$M28-$A$15,CC$13)))</f>
        <v>1000000000000</v>
      </c>
      <c r="CD28" s="172">
        <f ca="1">IF(OR($D28&lt;&gt;"Serviço",AND(AUTOEVENTO="Manual",$M28=$A$15),$M28&gt;(ROW(PLE.lastrow)-ROW(PLE.firstrow))),0,
           IF(OFFSET(PLE!$G$15,$M28-$A$15,CD$13)="",10^12,OFFSET(PLE!$G$15,$M28-$A$15,CD$13)))</f>
        <v>1000000000000</v>
      </c>
      <c r="CE28" s="172">
        <f ca="1">IF(OR($D28&lt;&gt;"Serviço",AND(AUTOEVENTO="Manual",$M28=$A$15),$M28&gt;(ROW(PLE.lastrow)-ROW(PLE.firstrow))),0,
           IF(OFFSET(PLE!$G$15,$M28-$A$15,CE$13)="",10^12,OFFSET(PLE!$G$15,$M28-$A$15,CE$13)))</f>
        <v>1000000000000</v>
      </c>
      <c r="CF28" s="172">
        <f ca="1">IF(OR($D28&lt;&gt;"Serviço",AND(AUTOEVENTO="Manual",$M28=$A$15),$M28&gt;(ROW(PLE.lastrow)-ROW(PLE.firstrow))),0,
           IF(OFFSET(PLE!$G$15,$M28-$A$15,CF$13)="",10^12,OFFSET(PLE!$G$15,$M28-$A$15,CF$13)))</f>
        <v>1000000000000</v>
      </c>
      <c r="CG28" s="172">
        <f ca="1">IF(OR($D28&lt;&gt;"Serviço",AND(AUTOEVENTO="Manual",$M28=$A$15),$M28&gt;(ROW(PLE.lastrow)-ROW(PLE.firstrow))),0,
           IF(OFFSET(PLE!$G$15,$M28-$A$15,CG$13)="",10^12,OFFSET(PLE!$G$15,$M28-$A$15,CG$13)))</f>
        <v>1000000000000</v>
      </c>
      <c r="CH28" s="172">
        <f ca="1">IF(OR($D28&lt;&gt;"Serviço",AND(AUTOEVENTO="Manual",$M28=$A$15),$M28&gt;(ROW(PLE.lastrow)-ROW(PLE.firstrow))),0,
           IF(OFFSET(PLE!$G$15,$M28-$A$15,CH$13)="",10^12,OFFSET(PLE!$G$15,$M28-$A$15,CH$13)))</f>
        <v>1000000000000</v>
      </c>
      <c r="CI28" s="172">
        <f ca="1">IF(OR($D28&lt;&gt;"Serviço",AND(AUTOEVENTO="Manual",$M28=$A$15),$M28&gt;(ROW(PLE.lastrow)-ROW(PLE.firstrow))),0,
           IF(OFFSET(PLE!$G$15,$M28-$A$15,CI$13)="",10^12,OFFSET(PLE!$G$15,$M28-$A$15,CI$13)))</f>
        <v>1000000000000</v>
      </c>
      <c r="CJ28" s="172">
        <f ca="1">IF(OR($D28&lt;&gt;"Serviço",AND(AUTOEVENTO="Manual",$M28=$A$15),$M28&gt;(ROW(PLE.lastrow)-ROW(PLE.firstrow))),0,
           IF(OFFSET(PLE!$G$15,$M28-$A$15,CJ$13)="",10^12,OFFSET(PLE!$G$15,$M28-$A$15,CJ$13)))</f>
        <v>1000000000000</v>
      </c>
      <c r="CK28" s="172">
        <f ca="1">IF(OR($D28&lt;&gt;"Serviço",AND(AUTOEVENTO="Manual",$M28=$A$15),$M28&gt;(ROW(PLE.lastrow)-ROW(PLE.firstrow))),0,
           IF(OFFSET(PLE!$G$15,$M28-$A$15,CK$13)="",10^12,OFFSET(PLE!$G$15,$M28-$A$15,CK$13)))</f>
        <v>1000000000000</v>
      </c>
      <c r="CL28" s="172">
        <f ca="1">IF(OR($D28&lt;&gt;"Serviço",AND(AUTOEVENTO="Manual",$M28=$A$15),$M28&gt;(ROW(PLE.lastrow)-ROW(PLE.firstrow))),0,
           IF(OFFSET(PLE!$G$15,$M28-$A$15,CL$13)="",10^12,OFFSET(PLE!$G$15,$M28-$A$15,CL$13)))</f>
        <v>1000000000000</v>
      </c>
      <c r="CM28" s="172">
        <f ca="1">IF(OR($D28&lt;&gt;"Serviço",AND(AUTOEVENTO="Manual",$M28=$A$15),$M28&gt;(ROW(PLE.lastrow)-ROW(PLE.firstrow))),0,
           IF(OFFSET(PLE!$G$15,$M28-$A$15,CM$13)="",10^12,OFFSET(PLE!$G$15,$M28-$A$15,CM$13)))</f>
        <v>1000000000000</v>
      </c>
    </row>
    <row r="29" spans="1:91" ht="26.4" x14ac:dyDescent="0.25">
      <c r="A29" s="7" t="str">
        <f t="shared" ca="1" si="11"/>
        <v>8</v>
      </c>
      <c r="B29" s="7" t="str">
        <f ca="1">OFFSET(ORÇAMENTO!C$15,ROW(B29)-ROW(B$15),0)</f>
        <v>S</v>
      </c>
      <c r="C29" s="7" t="str">
        <f ca="1">OFFSET(ORÇAMENTO!L$15,ROW(C29)-ROW(C$15),0)</f>
        <v>F</v>
      </c>
      <c r="D29" s="116" t="str">
        <f ca="1">OFFSET(ORÇAMENTO!N$15,ROW(D29)-ROW(D$15),0)</f>
        <v>Serviço</v>
      </c>
      <c r="E29" s="117" t="str">
        <f ca="1">OFFSET(ORÇAMENTO!O$15,ROW(E29)-ROW(E$15),0)</f>
        <v>1.3.6.</v>
      </c>
      <c r="F29" s="163" t="str">
        <f ca="1">OFFSET(ORÇAMENTO!R$15,ROW(F29)-ROW(F$15),0)</f>
        <v>Boca de lobo combinada - chapéu e grelha simples - BLC 01 - areia e brita comerciais</v>
      </c>
      <c r="G29" s="164" t="str">
        <f ca="1">IF($D29&lt;&gt;"Serviço","",OFFSET(ORÇAMENTO!S$15,ROW(G29)-ROW(G$15),0))</f>
        <v>un</v>
      </c>
      <c r="H29" s="122" cm="1">
        <f t="array" aca="1" ref="H29" ca="1">IF($D29&lt;&gt;"Serviço",0,IF(ACOMPANHAMENTO="BM",ROUND(OFFSET(ORÇAMENTO!AJ$15,ROW(H29)-ROW(H$15),0),15-13*ORÇAMENTO!$AF$7),SUMPRODUCT(($Q$1:$AI$1=1)*ROUND($Q29:$AI29,15-13*ORÇAMENTO!$AF$7))))</f>
        <v>3</v>
      </c>
      <c r="I29" s="468"/>
      <c r="J29" s="651" t="e" cm="1">
        <f t="array" aca="1" ref="J29" ca="1">IF(OR(B29&lt;&gt;"S",CÁLCULO.FrentesPreenchidas=0),"",IF(AND(ACOMPANHAMENTO="PLE",AUTOEVENTO="Manual",OR(H29&gt;0,ORÇAMENTO!AC29="QUANT."),OR(K29="",M29=0,N29="")),"►E",IF(AND(ACOMPANHAMENTO="PLE",ORÇAMENTO!AC29="QUANT."),"►Q",IF(AND(ACOMPANHAMENTO="PLE",H29&lt;&gt;SUMPRODUCT(($Q$1:$AI$1=1)*ROUND(Q29:AI29,15))),"►S",IF(AND(COUNTIF($P$11:$AI$11,"▼")=0,H29&gt;0,I29=""),"◄M","")))))</f>
        <v>#NAME?</v>
      </c>
      <c r="K29" s="652"/>
      <c r="L29" s="165" t="s">
        <v>764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DRENAGEM</v>
      </c>
      <c r="O29" s="168"/>
      <c r="Q29" s="168"/>
      <c r="R29" s="169"/>
      <c r="S29" s="169">
        <v>3</v>
      </c>
      <c r="T29" s="169"/>
      <c r="U29" s="169"/>
      <c r="V29" s="169"/>
      <c r="W29" s="169"/>
      <c r="X29" s="169"/>
      <c r="Y29" s="169"/>
      <c r="Z29" s="170"/>
      <c r="AA29" s="169"/>
      <c r="AB29" s="169"/>
      <c r="AC29" s="169"/>
      <c r="AD29" s="169"/>
      <c r="AE29" s="169"/>
      <c r="AF29" s="169"/>
      <c r="AG29" s="169"/>
      <c r="AH29" s="170"/>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L29" s="453">
        <f ca="1">IF(AND($D29="Serviço",AL$12&lt;&gt;0,$H29&gt;0,OR(AUTOEVENTO&lt;&gt;"manual",$M29&lt;&gt;$A$15)),
        IF(Import.TipoArredondamento&lt;&gt;"TransfereGOV",
              ROUND(OFFSET($P29,0,AL$13),15-13*ORÇAMENTO!$AF$7)/$H29*OFFSET(ORÇAMENTO!$X$15,ROW(AL29)-ROW(AL$15),0),
              ROUND(ROUND(OFFSET($P29,0,AL$13),15-13*ORÇAMENTO!$AF$7)*OFFSET(ORÇAMENTO!$W$15,ROW(AL29)-ROW(AL$15),0),15-13*ORÇAMENTO!$AF$11)),
         0)</f>
        <v>8946.9</v>
      </c>
      <c r="AM29" s="453">
        <f ca="1">IF(AND($D29="Serviço",AM$12&lt;&gt;0,$H29&gt;0,OR(AUTOEVENTO&lt;&gt;"manual",$M29&lt;&gt;$A$15)),
        IF(Import.TipoArredondamento&lt;&gt;"TransfereGOV",
              ROUND(OFFSET($P29,0,AM$13),15-13*ORÇAMENTO!$AF$7)/$H29*OFFSET(ORÇAMENTO!$X$15,ROW(AM29)-ROW(AM$15),0),
              ROUND(ROUND(OFFSET($P29,0,AM$13),15-13*ORÇAMENTO!$AF$7)*OFFSET(ORÇAMENTO!$W$15,ROW(AM29)-ROW(AM$15),0),15-13*ORÇAMENTO!$AF$11)),
         0)</f>
        <v>0</v>
      </c>
      <c r="AN29" s="453">
        <f ca="1">IF(AND($D29="Serviço",AN$12&lt;&gt;0,$H29&gt;0,OR(AUTOEVENTO&lt;&gt;"manual",$M29&lt;&gt;$A$15)),
        IF(Import.TipoArredondamento&lt;&gt;"TransfereGOV",
              ROUND(OFFSET($P29,0,AN$13),15-13*ORÇAMENTO!$AF$7)/$H29*OFFSET(ORÇAMENTO!$X$15,ROW(AN29)-ROW(AN$15),0),
              ROUND(ROUND(OFFSET($P29,0,AN$13),15-13*ORÇAMENTO!$AF$7)*OFFSET(ORÇAMENTO!$W$15,ROW(AN29)-ROW(AN$15),0),15-13*ORÇAMENTO!$AF$11)),
         0)</f>
        <v>0</v>
      </c>
      <c r="AO29" s="453">
        <f ca="1">IF(AND($D29="Serviço",AO$12&lt;&gt;0,$H29&gt;0,OR(AUTOEVENTO&lt;&gt;"manual",$M29&lt;&gt;$A$15)),
        IF(Import.TipoArredondamento&lt;&gt;"TransfereGOV",
              ROUND(OFFSET($P29,0,AO$13),15-13*ORÇAMENTO!$AF$7)/$H29*OFFSET(ORÇAMENTO!$X$15,ROW(AO29)-ROW(AO$15),0),
              ROUND(ROUND(OFFSET($P29,0,AO$13),15-13*ORÇAMENTO!$AF$7)*OFFSET(ORÇAMENTO!$W$15,ROW(AO29)-ROW(AO$15),0),15-13*ORÇAMENTO!$AF$11)),
         0)</f>
        <v>0</v>
      </c>
      <c r="AP29" s="453">
        <f ca="1">IF(AND($D29="Serviço",AP$12&lt;&gt;0,$H29&gt;0,OR(AUTOEVENTO&lt;&gt;"manual",$M29&lt;&gt;$A$15)),
        IF(Import.TipoArredondamento&lt;&gt;"TransfereGOV",
              ROUND(OFFSET($P29,0,AP$13),15-13*ORÇAMENTO!$AF$7)/$H29*OFFSET(ORÇAMENTO!$X$15,ROW(AP29)-ROW(AP$15),0),
              ROUND(ROUND(OFFSET($P29,0,AP$13),15-13*ORÇAMENTO!$AF$7)*OFFSET(ORÇAMENTO!$W$15,ROW(AP29)-ROW(AP$15),0),15-13*ORÇAMENTO!$AF$11)),
         0)</f>
        <v>0</v>
      </c>
      <c r="AQ29" s="453">
        <f ca="1">IF(AND($D29="Serviço",AQ$12&lt;&gt;0,$H29&gt;0,OR(AUTOEVENTO&lt;&gt;"manual",$M29&lt;&gt;$A$15)),
        IF(Import.TipoArredondamento&lt;&gt;"TransfereGOV",
              ROUND(OFFSET($P29,0,AQ$13),15-13*ORÇAMENTO!$AF$7)/$H29*OFFSET(ORÇAMENTO!$X$15,ROW(AQ29)-ROW(AQ$15),0),
              ROUND(ROUND(OFFSET($P29,0,AQ$13),15-13*ORÇAMENTO!$AF$7)*OFFSET(ORÇAMENTO!$W$15,ROW(AQ29)-ROW(AQ$15),0),15-13*ORÇAMENTO!$AF$11)),
         0)</f>
        <v>0</v>
      </c>
      <c r="AR29" s="453">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0</v>
      </c>
      <c r="AS29" s="453">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0</v>
      </c>
      <c r="AT29" s="453">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0</v>
      </c>
      <c r="AU29" s="453">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0</v>
      </c>
      <c r="AV29" s="453">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0</v>
      </c>
      <c r="AW29" s="453">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0</v>
      </c>
      <c r="AX29" s="453">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0</v>
      </c>
      <c r="AY29" s="453">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0</v>
      </c>
      <c r="AZ29" s="453">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0</v>
      </c>
      <c r="BA29" s="453">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0</v>
      </c>
      <c r="BC29" s="171">
        <f ca="1">IF(OR($D29&lt;&gt;"Serviço",AND(AUTOEVENTO="Manual",$M29=$A$15)),0,
         IF(OFFSET(CRONOPLE!$F$15,$M29-$A$15,BC$13)=0,10^12,OFFSET(CRONOPLE!$F$15,$M29-$A$15,BC$13)))</f>
        <v>1000000000000</v>
      </c>
      <c r="BD29" s="171">
        <f ca="1">IF(OR($D29&lt;&gt;"Serviço",AND(AUTOEVENTO="Manual",$M29=$A$15)),0,
         IF(OFFSET(CRONOPLE!$F$15,$M29-$A$15,BD$13)=0,10^12,OFFSET(CRONOPLE!$F$15,$M29-$A$15,BD$13)))</f>
        <v>1000000000000</v>
      </c>
      <c r="BE29" s="171">
        <f ca="1">IF(OR($D29&lt;&gt;"Serviço",AND(AUTOEVENTO="Manual",$M29=$A$15)),0,
         IF(OFFSET(CRONOPLE!$F$15,$M29-$A$15,BE$13)=0,10^12,OFFSET(CRONOPLE!$F$15,$M29-$A$15,BE$13)))</f>
        <v>1</v>
      </c>
      <c r="BF29" s="171">
        <f ca="1">IF(OR($D29&lt;&gt;"Serviço",AND(AUTOEVENTO="Manual",$M29=$A$15)),0,
         IF(OFFSET(CRONOPLE!$F$15,$M29-$A$15,BF$13)=0,10^12,OFFSET(CRONOPLE!$F$15,$M29-$A$15,BF$13)))</f>
        <v>1000000000000</v>
      </c>
      <c r="BG29" s="171">
        <f ca="1">IF(OR($D29&lt;&gt;"Serviço",AND(AUTOEVENTO="Manual",$M29=$A$15)),0,
         IF(OFFSET(CRONOPLE!$F$15,$M29-$A$15,BG$13)=0,10^12,OFFSET(CRONOPLE!$F$15,$M29-$A$15,BG$13)))</f>
        <v>1000000000000</v>
      </c>
      <c r="BH29" s="171">
        <f ca="1">IF(OR($D29&lt;&gt;"Serviço",AND(AUTOEVENTO="Manual",$M29=$A$15)),0,
         IF(OFFSET(CRONOPLE!$F$15,$M29-$A$15,BH$13)=0,10^12,OFFSET(CRONOPLE!$F$15,$M29-$A$15,BH$13)))</f>
        <v>1000000000000</v>
      </c>
      <c r="BI29" s="171">
        <f ca="1">IF(OR($D29&lt;&gt;"Serviço",AND(AUTOEVENTO="Manual",$M29=$A$15)),0,
         IF(OFFSET(CRONOPLE!$F$15,$M29-$A$15,BI$13)=0,10^12,OFFSET(CRONOPLE!$F$15,$M29-$A$15,BI$13)))</f>
        <v>1000000000000</v>
      </c>
      <c r="BJ29" s="171">
        <f ca="1">IF(OR($D29&lt;&gt;"Serviço",AND(AUTOEVENTO="Manual",$M29=$A$15)),0,
         IF(OFFSET(CRONOPLE!$F$15,$M29-$A$15,BJ$13)=0,10^12,OFFSET(CRONOPLE!$F$15,$M29-$A$15,BJ$13)))</f>
        <v>1000000000000</v>
      </c>
      <c r="BK29" s="171">
        <f ca="1">IF(OR($D29&lt;&gt;"Serviço",AND(AUTOEVENTO="Manual",$M29=$A$15)),0,
         IF(OFFSET(CRONOPLE!$F$15,$M29-$A$15,BK$13)=0,10^12,OFFSET(CRONOPLE!$F$15,$M29-$A$15,BK$13)))</f>
        <v>1000000000000</v>
      </c>
      <c r="BL29" s="171">
        <f ca="1">IF(OR($D29&lt;&gt;"Serviço",AND(AUTOEVENTO="Manual",$M29=$A$15)),0,
         IF(OFFSET(CRONOPLE!$F$15,$M29-$A$15,BL$13)=0,10^12,OFFSET(CRONOPLE!$F$15,$M29-$A$15,BL$13)))</f>
        <v>1000000000000</v>
      </c>
      <c r="BM29" s="171">
        <f ca="1">IF(OR($D29&lt;&gt;"Serviço",AND(AUTOEVENTO="Manual",$M29=$A$15)),0,
         IF(OFFSET(CRONOPLE!$F$15,$M29-$A$15,BM$13)=0,10^12,OFFSET(CRONOPLE!$F$15,$M29-$A$15,BM$13)))</f>
        <v>1000000000000</v>
      </c>
      <c r="BN29" s="171">
        <f ca="1">IF(OR($D29&lt;&gt;"Serviço",AND(AUTOEVENTO="Manual",$M29=$A$15)),0,
         IF(OFFSET(CRONOPLE!$F$15,$M29-$A$15,BN$13)=0,10^12,OFFSET(CRONOPLE!$F$15,$M29-$A$15,BN$13)))</f>
        <v>1000000000000</v>
      </c>
      <c r="BO29" s="171">
        <f ca="1">IF(OR($D29&lt;&gt;"Serviço",AND(AUTOEVENTO="Manual",$M29=$A$15)),0,
         IF(OFFSET(CRONOPLE!$F$15,$M29-$A$15,BO$13)=0,10^12,OFFSET(CRONOPLE!$F$15,$M29-$A$15,BO$13)))</f>
        <v>1000000000000</v>
      </c>
      <c r="BP29" s="171">
        <f ca="1">IF(OR($D29&lt;&gt;"Serviço",AND(AUTOEVENTO="Manual",$M29=$A$15)),0,
         IF(OFFSET(CRONOPLE!$F$15,$M29-$A$15,BP$13)=0,10^12,OFFSET(CRONOPLE!$F$15,$M29-$A$15,BP$13)))</f>
        <v>1000000000000</v>
      </c>
      <c r="BQ29" s="171">
        <f ca="1">IF(OR($D29&lt;&gt;"Serviço",AND(AUTOEVENTO="Manual",$M29=$A$15)),0,
         IF(OFFSET(CRONOPLE!$F$15,$M29-$A$15,BQ$13)=0,10^12,OFFSET(CRONOPLE!$F$15,$M29-$A$15,BQ$13)))</f>
        <v>1000000000000</v>
      </c>
      <c r="BR29" s="171">
        <f ca="1">IF(OR($D29&lt;&gt;"Serviço",AND(AUTOEVENTO="Manual",$M29=$A$15)),0,
         IF(OFFSET(CRONOPLE!$F$15,$M29-$A$15,BR$13)=0,10^12,OFFSET(CRONOPLE!$F$15,$M29-$A$15,BR$13)))</f>
        <v>1000000000000</v>
      </c>
      <c r="BS29" s="171">
        <f ca="1">IF(OR($D29&lt;&gt;"Serviço",AND(AUTOEVENTO="Manual",$M29=$A$15)),0,
         IF(OFFSET(CRONOPLE!$F$15,$M29-$A$15,BS$13)=0,10^12,OFFSET(CRONOPLE!$F$15,$M29-$A$15,BS$13)))</f>
        <v>1000000000000</v>
      </c>
      <c r="BT29" s="171">
        <f ca="1">IF(OR($D29&lt;&gt;"Serviço",AND(AUTOEVENTO="Manual",$M29=$A$15)),0,
         IF(OFFSET(CRONOPLE!$F$15,$M29-$A$15,BT$13)=0,10^12,OFFSET(CRONOPLE!$F$15,$M29-$A$15,BT$13)))</f>
        <v>1000000000000</v>
      </c>
      <c r="BV29" s="172">
        <f ca="1">IF(OR($D29&lt;&gt;"Serviço",AND(AUTOEVENTO="Manual",$M29=$A$15),$M29&gt;(ROW(PLE.lastrow)-ROW(PLE.firstrow))),0,
           IF(OFFSET(PLE!$G$15,$M29-$A$15,BV$13)="",10^12,OFFSET(PLE!$G$15,$M29-$A$15,BV$13)))</f>
        <v>1000000000000</v>
      </c>
      <c r="BW29" s="172">
        <f ca="1">IF(OR($D29&lt;&gt;"Serviço",AND(AUTOEVENTO="Manual",$M29=$A$15),$M29&gt;(ROW(PLE.lastrow)-ROW(PLE.firstrow))),0,
           IF(OFFSET(PLE!$G$15,$M29-$A$15,BW$13)="",10^12,OFFSET(PLE!$G$15,$M29-$A$15,BW$13)))</f>
        <v>1000000000000</v>
      </c>
      <c r="BX29" s="172">
        <f ca="1">IF(OR($D29&lt;&gt;"Serviço",AND(AUTOEVENTO="Manual",$M29=$A$15),$M29&gt;(ROW(PLE.lastrow)-ROW(PLE.firstrow))),0,
           IF(OFFSET(PLE!$G$15,$M29-$A$15,BX$13)="",10^12,OFFSET(PLE!$G$15,$M29-$A$15,BX$13)))</f>
        <v>1000000000000</v>
      </c>
      <c r="BY29" s="172">
        <f ca="1">IF(OR($D29&lt;&gt;"Serviço",AND(AUTOEVENTO="Manual",$M29=$A$15),$M29&gt;(ROW(PLE.lastrow)-ROW(PLE.firstrow))),0,
           IF(OFFSET(PLE!$G$15,$M29-$A$15,BY$13)="",10^12,OFFSET(PLE!$G$15,$M29-$A$15,BY$13)))</f>
        <v>1000000000000</v>
      </c>
      <c r="BZ29" s="172">
        <f ca="1">IF(OR($D29&lt;&gt;"Serviço",AND(AUTOEVENTO="Manual",$M29=$A$15),$M29&gt;(ROW(PLE.lastrow)-ROW(PLE.firstrow))),0,
           IF(OFFSET(PLE!$G$15,$M29-$A$15,BZ$13)="",10^12,OFFSET(PLE!$G$15,$M29-$A$15,BZ$13)))</f>
        <v>1000000000000</v>
      </c>
      <c r="CA29" s="172">
        <f ca="1">IF(OR($D29&lt;&gt;"Serviço",AND(AUTOEVENTO="Manual",$M29=$A$15),$M29&gt;(ROW(PLE.lastrow)-ROW(PLE.firstrow))),0,
           IF(OFFSET(PLE!$G$15,$M29-$A$15,CA$13)="",10^12,OFFSET(PLE!$G$15,$M29-$A$15,CA$13)))</f>
        <v>1000000000000</v>
      </c>
      <c r="CB29" s="172">
        <f ca="1">IF(OR($D29&lt;&gt;"Serviço",AND(AUTOEVENTO="Manual",$M29=$A$15),$M29&gt;(ROW(PLE.lastrow)-ROW(PLE.firstrow))),0,
           IF(OFFSET(PLE!$G$15,$M29-$A$15,CB$13)="",10^12,OFFSET(PLE!$G$15,$M29-$A$15,CB$13)))</f>
        <v>1000000000000</v>
      </c>
      <c r="CC29" s="172">
        <f ca="1">IF(OR($D29&lt;&gt;"Serviço",AND(AUTOEVENTO="Manual",$M29=$A$15),$M29&gt;(ROW(PLE.lastrow)-ROW(PLE.firstrow))),0,
           IF(OFFSET(PLE!$G$15,$M29-$A$15,CC$13)="",10^12,OFFSET(PLE!$G$15,$M29-$A$15,CC$13)))</f>
        <v>1000000000000</v>
      </c>
      <c r="CD29" s="172">
        <f ca="1">IF(OR($D29&lt;&gt;"Serviço",AND(AUTOEVENTO="Manual",$M29=$A$15),$M29&gt;(ROW(PLE.lastrow)-ROW(PLE.firstrow))),0,
           IF(OFFSET(PLE!$G$15,$M29-$A$15,CD$13)="",10^12,OFFSET(PLE!$G$15,$M29-$A$15,CD$13)))</f>
        <v>1000000000000</v>
      </c>
      <c r="CE29" s="172">
        <f ca="1">IF(OR($D29&lt;&gt;"Serviço",AND(AUTOEVENTO="Manual",$M29=$A$15),$M29&gt;(ROW(PLE.lastrow)-ROW(PLE.firstrow))),0,
           IF(OFFSET(PLE!$G$15,$M29-$A$15,CE$13)="",10^12,OFFSET(PLE!$G$15,$M29-$A$15,CE$13)))</f>
        <v>1000000000000</v>
      </c>
      <c r="CF29" s="172">
        <f ca="1">IF(OR($D29&lt;&gt;"Serviço",AND(AUTOEVENTO="Manual",$M29=$A$15),$M29&gt;(ROW(PLE.lastrow)-ROW(PLE.firstrow))),0,
           IF(OFFSET(PLE!$G$15,$M29-$A$15,CF$13)="",10^12,OFFSET(PLE!$G$15,$M29-$A$15,CF$13)))</f>
        <v>1000000000000</v>
      </c>
      <c r="CG29" s="172">
        <f ca="1">IF(OR($D29&lt;&gt;"Serviço",AND(AUTOEVENTO="Manual",$M29=$A$15),$M29&gt;(ROW(PLE.lastrow)-ROW(PLE.firstrow))),0,
           IF(OFFSET(PLE!$G$15,$M29-$A$15,CG$13)="",10^12,OFFSET(PLE!$G$15,$M29-$A$15,CG$13)))</f>
        <v>1000000000000</v>
      </c>
      <c r="CH29" s="172">
        <f ca="1">IF(OR($D29&lt;&gt;"Serviço",AND(AUTOEVENTO="Manual",$M29=$A$15),$M29&gt;(ROW(PLE.lastrow)-ROW(PLE.firstrow))),0,
           IF(OFFSET(PLE!$G$15,$M29-$A$15,CH$13)="",10^12,OFFSET(PLE!$G$15,$M29-$A$15,CH$13)))</f>
        <v>1000000000000</v>
      </c>
      <c r="CI29" s="172">
        <f ca="1">IF(OR($D29&lt;&gt;"Serviço",AND(AUTOEVENTO="Manual",$M29=$A$15),$M29&gt;(ROW(PLE.lastrow)-ROW(PLE.firstrow))),0,
           IF(OFFSET(PLE!$G$15,$M29-$A$15,CI$13)="",10^12,OFFSET(PLE!$G$15,$M29-$A$15,CI$13)))</f>
        <v>1000000000000</v>
      </c>
      <c r="CJ29" s="172">
        <f ca="1">IF(OR($D29&lt;&gt;"Serviço",AND(AUTOEVENTO="Manual",$M29=$A$15),$M29&gt;(ROW(PLE.lastrow)-ROW(PLE.firstrow))),0,
           IF(OFFSET(PLE!$G$15,$M29-$A$15,CJ$13)="",10^12,OFFSET(PLE!$G$15,$M29-$A$15,CJ$13)))</f>
        <v>1000000000000</v>
      </c>
      <c r="CK29" s="172">
        <f ca="1">IF(OR($D29&lt;&gt;"Serviço",AND(AUTOEVENTO="Manual",$M29=$A$15),$M29&gt;(ROW(PLE.lastrow)-ROW(PLE.firstrow))),0,
           IF(OFFSET(PLE!$G$15,$M29-$A$15,CK$13)="",10^12,OFFSET(PLE!$G$15,$M29-$A$15,CK$13)))</f>
        <v>1000000000000</v>
      </c>
      <c r="CL29" s="172">
        <f ca="1">IF(OR($D29&lt;&gt;"Serviço",AND(AUTOEVENTO="Manual",$M29=$A$15),$M29&gt;(ROW(PLE.lastrow)-ROW(PLE.firstrow))),0,
           IF(OFFSET(PLE!$G$15,$M29-$A$15,CL$13)="",10^12,OFFSET(PLE!$G$15,$M29-$A$15,CL$13)))</f>
        <v>1000000000000</v>
      </c>
      <c r="CM29" s="172">
        <f ca="1">IF(OR($D29&lt;&gt;"Serviço",AND(AUTOEVENTO="Manual",$M29=$A$15),$M29&gt;(ROW(PLE.lastrow)-ROW(PLE.firstrow))),0,
           IF(OFFSET(PLE!$G$15,$M29-$A$15,CM$13)="",10^12,OFFSET(PLE!$G$15,$M29-$A$15,CM$13)))</f>
        <v>1000000000000</v>
      </c>
    </row>
    <row r="30" spans="1:91" ht="26.4" x14ac:dyDescent="0.25">
      <c r="A30" s="7" t="str">
        <f t="shared" ca="1" si="11"/>
        <v>8</v>
      </c>
      <c r="B30" s="7" t="str">
        <f ca="1">OFFSET(ORÇAMENTO!C$15,ROW(B30)-ROW(B$15),0)</f>
        <v>S</v>
      </c>
      <c r="C30" s="7" t="str">
        <f ca="1">OFFSET(ORÇAMENTO!L$15,ROW(C30)-ROW(C$15),0)</f>
        <v>F</v>
      </c>
      <c r="D30" s="116" t="str">
        <f ca="1">OFFSET(ORÇAMENTO!N$15,ROW(D30)-ROW(D$15),0)</f>
        <v>Serviço</v>
      </c>
      <c r="E30" s="117" t="str">
        <f ca="1">OFFSET(ORÇAMENTO!O$15,ROW(E30)-ROW(E$15),0)</f>
        <v>1.3.7.</v>
      </c>
      <c r="F30" s="163" t="str">
        <f ca="1">OFFSET(ORÇAMENTO!R$15,ROW(F30)-ROW(F$15),0)</f>
        <v>Boca de BSTC D = 0,60 m - esconsidade 30° - areia e brita comerciais - alas esconsas</v>
      </c>
      <c r="G30" s="164" t="str">
        <f ca="1">IF($D30&lt;&gt;"Serviço","",OFFSET(ORÇAMENTO!S$15,ROW(G30)-ROW(G$15),0))</f>
        <v>un</v>
      </c>
      <c r="H30" s="122" cm="1">
        <f t="array" aca="1" ref="H30" ca="1">IF($D30&lt;&gt;"Serviço",0,IF(ACOMPANHAMENTO="BM",ROUND(OFFSET(ORÇAMENTO!AJ$15,ROW(H30)-ROW(H$15),0),15-13*ORÇAMENTO!$AF$7),SUMPRODUCT(($Q$1:$AI$1=1)*ROUND($Q30:$AI30,15-13*ORÇAMENTO!$AF$7))))</f>
        <v>2</v>
      </c>
      <c r="I30" s="468"/>
      <c r="J30" s="651" t="e" cm="1">
        <f t="array" aca="1" ref="J30" ca="1">IF(OR(B30&lt;&gt;"S",CÁLCULO.FrentesPreenchidas=0),"",IF(AND(ACOMPANHAMENTO="PLE",AUTOEVENTO="Manual",OR(H30&gt;0,ORÇAMENTO!AC30="QUANT."),OR(K30="",M30=0,N30="")),"►E",IF(AND(ACOMPANHAMENTO="PLE",ORÇAMENTO!AC30="QUANT."),"►Q",IF(AND(ACOMPANHAMENTO="PLE",H30&lt;&gt;SUMPRODUCT(($Q$1:$AI$1=1)*ROUND(Q30:AI30,15))),"►S",IF(AND(COUNTIF($P$11:$AI$11,"▼")=0,H30&gt;0,I30=""),"◄M","")))))</f>
        <v>#NAME?</v>
      </c>
      <c r="K30" s="652"/>
      <c r="L30" s="165" t="s">
        <v>764</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DRENAGEM</v>
      </c>
      <c r="O30" s="168"/>
      <c r="Q30" s="168"/>
      <c r="R30" s="169"/>
      <c r="S30" s="169">
        <v>2</v>
      </c>
      <c r="T30" s="169"/>
      <c r="U30" s="169"/>
      <c r="V30" s="169"/>
      <c r="W30" s="169"/>
      <c r="X30" s="169"/>
      <c r="Y30" s="169"/>
      <c r="Z30" s="170"/>
      <c r="AA30" s="169"/>
      <c r="AB30" s="169"/>
      <c r="AC30" s="169"/>
      <c r="AD30" s="169"/>
      <c r="AE30" s="169"/>
      <c r="AF30" s="169"/>
      <c r="AG30" s="169"/>
      <c r="AH30" s="170"/>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L30" s="453">
        <f ca="1">IF(AND($D30="Serviço",AL$12&lt;&gt;0,$H30&gt;0,OR(AUTOEVENTO&lt;&gt;"manual",$M30&lt;&gt;$A$15)),
        IF(Import.TipoArredondamento&lt;&gt;"TransfereGOV",
              ROUND(OFFSET($P30,0,AL$13),15-13*ORÇAMENTO!$AF$7)/$H30*OFFSET(ORÇAMENTO!$X$15,ROW(AL30)-ROW(AL$15),0),
              ROUND(ROUND(OFFSET($P30,0,AL$13),15-13*ORÇAMENTO!$AF$7)*OFFSET(ORÇAMENTO!$W$15,ROW(AL30)-ROW(AL$15),0),15-13*ORÇAMENTO!$AF$11)),
         0)</f>
        <v>3345.8</v>
      </c>
      <c r="AM30" s="453">
        <f ca="1">IF(AND($D30="Serviço",AM$12&lt;&gt;0,$H30&gt;0,OR(AUTOEVENTO&lt;&gt;"manual",$M30&lt;&gt;$A$15)),
        IF(Import.TipoArredondamento&lt;&gt;"TransfereGOV",
              ROUND(OFFSET($P30,0,AM$13),15-13*ORÇAMENTO!$AF$7)/$H30*OFFSET(ORÇAMENTO!$X$15,ROW(AM30)-ROW(AM$15),0),
              ROUND(ROUND(OFFSET($P30,0,AM$13),15-13*ORÇAMENTO!$AF$7)*OFFSET(ORÇAMENTO!$W$15,ROW(AM30)-ROW(AM$15),0),15-13*ORÇAMENTO!$AF$11)),
         0)</f>
        <v>0</v>
      </c>
      <c r="AN30" s="453">
        <f ca="1">IF(AND($D30="Serviço",AN$12&lt;&gt;0,$H30&gt;0,OR(AUTOEVENTO&lt;&gt;"manual",$M30&lt;&gt;$A$15)),
        IF(Import.TipoArredondamento&lt;&gt;"TransfereGOV",
              ROUND(OFFSET($P30,0,AN$13),15-13*ORÇAMENTO!$AF$7)/$H30*OFFSET(ORÇAMENTO!$X$15,ROW(AN30)-ROW(AN$15),0),
              ROUND(ROUND(OFFSET($P30,0,AN$13),15-13*ORÇAMENTO!$AF$7)*OFFSET(ORÇAMENTO!$W$15,ROW(AN30)-ROW(AN$15),0),15-13*ORÇAMENTO!$AF$11)),
         0)</f>
        <v>0</v>
      </c>
      <c r="AO30" s="453">
        <f ca="1">IF(AND($D30="Serviço",AO$12&lt;&gt;0,$H30&gt;0,OR(AUTOEVENTO&lt;&gt;"manual",$M30&lt;&gt;$A$15)),
        IF(Import.TipoArredondamento&lt;&gt;"TransfereGOV",
              ROUND(OFFSET($P30,0,AO$13),15-13*ORÇAMENTO!$AF$7)/$H30*OFFSET(ORÇAMENTO!$X$15,ROW(AO30)-ROW(AO$15),0),
              ROUND(ROUND(OFFSET($P30,0,AO$13),15-13*ORÇAMENTO!$AF$7)*OFFSET(ORÇAMENTO!$W$15,ROW(AO30)-ROW(AO$15),0),15-13*ORÇAMENTO!$AF$11)),
         0)</f>
        <v>0</v>
      </c>
      <c r="AP30" s="453">
        <f ca="1">IF(AND($D30="Serviço",AP$12&lt;&gt;0,$H30&gt;0,OR(AUTOEVENTO&lt;&gt;"manual",$M30&lt;&gt;$A$15)),
        IF(Import.TipoArredondamento&lt;&gt;"TransfereGOV",
              ROUND(OFFSET($P30,0,AP$13),15-13*ORÇAMENTO!$AF$7)/$H30*OFFSET(ORÇAMENTO!$X$15,ROW(AP30)-ROW(AP$15),0),
              ROUND(ROUND(OFFSET($P30,0,AP$13),15-13*ORÇAMENTO!$AF$7)*OFFSET(ORÇAMENTO!$W$15,ROW(AP30)-ROW(AP$15),0),15-13*ORÇAMENTO!$AF$11)),
         0)</f>
        <v>0</v>
      </c>
      <c r="AQ30" s="453">
        <f ca="1">IF(AND($D30="Serviço",AQ$12&lt;&gt;0,$H30&gt;0,OR(AUTOEVENTO&lt;&gt;"manual",$M30&lt;&gt;$A$15)),
        IF(Import.TipoArredondamento&lt;&gt;"TransfereGOV",
              ROUND(OFFSET($P30,0,AQ$13),15-13*ORÇAMENTO!$AF$7)/$H30*OFFSET(ORÇAMENTO!$X$15,ROW(AQ30)-ROW(AQ$15),0),
              ROUND(ROUND(OFFSET($P30,0,AQ$13),15-13*ORÇAMENTO!$AF$7)*OFFSET(ORÇAMENTO!$W$15,ROW(AQ30)-ROW(AQ$15),0),15-13*ORÇAMENTO!$AF$11)),
         0)</f>
        <v>0</v>
      </c>
      <c r="AR30" s="453">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0</v>
      </c>
      <c r="AS30" s="453">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0</v>
      </c>
      <c r="AT30" s="453">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0</v>
      </c>
      <c r="AU30" s="453">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0</v>
      </c>
      <c r="AV30" s="453">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0</v>
      </c>
      <c r="AW30" s="453">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0</v>
      </c>
      <c r="AX30" s="453">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0</v>
      </c>
      <c r="AY30" s="453">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0</v>
      </c>
      <c r="AZ30" s="453">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0</v>
      </c>
      <c r="BA30" s="453">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0</v>
      </c>
      <c r="BC30" s="171">
        <f ca="1">IF(OR($D30&lt;&gt;"Serviço",AND(AUTOEVENTO="Manual",$M30=$A$15)),0,
         IF(OFFSET(CRONOPLE!$F$15,$M30-$A$15,BC$13)=0,10^12,OFFSET(CRONOPLE!$F$15,$M30-$A$15,BC$13)))</f>
        <v>1000000000000</v>
      </c>
      <c r="BD30" s="171">
        <f ca="1">IF(OR($D30&lt;&gt;"Serviço",AND(AUTOEVENTO="Manual",$M30=$A$15)),0,
         IF(OFFSET(CRONOPLE!$F$15,$M30-$A$15,BD$13)=0,10^12,OFFSET(CRONOPLE!$F$15,$M30-$A$15,BD$13)))</f>
        <v>1000000000000</v>
      </c>
      <c r="BE30" s="171">
        <f ca="1">IF(OR($D30&lt;&gt;"Serviço",AND(AUTOEVENTO="Manual",$M30=$A$15)),0,
         IF(OFFSET(CRONOPLE!$F$15,$M30-$A$15,BE$13)=0,10^12,OFFSET(CRONOPLE!$F$15,$M30-$A$15,BE$13)))</f>
        <v>1</v>
      </c>
      <c r="BF30" s="171">
        <f ca="1">IF(OR($D30&lt;&gt;"Serviço",AND(AUTOEVENTO="Manual",$M30=$A$15)),0,
         IF(OFFSET(CRONOPLE!$F$15,$M30-$A$15,BF$13)=0,10^12,OFFSET(CRONOPLE!$F$15,$M30-$A$15,BF$13)))</f>
        <v>1000000000000</v>
      </c>
      <c r="BG30" s="171">
        <f ca="1">IF(OR($D30&lt;&gt;"Serviço",AND(AUTOEVENTO="Manual",$M30=$A$15)),0,
         IF(OFFSET(CRONOPLE!$F$15,$M30-$A$15,BG$13)=0,10^12,OFFSET(CRONOPLE!$F$15,$M30-$A$15,BG$13)))</f>
        <v>1000000000000</v>
      </c>
      <c r="BH30" s="171">
        <f ca="1">IF(OR($D30&lt;&gt;"Serviço",AND(AUTOEVENTO="Manual",$M30=$A$15)),0,
         IF(OFFSET(CRONOPLE!$F$15,$M30-$A$15,BH$13)=0,10^12,OFFSET(CRONOPLE!$F$15,$M30-$A$15,BH$13)))</f>
        <v>1000000000000</v>
      </c>
      <c r="BI30" s="171">
        <f ca="1">IF(OR($D30&lt;&gt;"Serviço",AND(AUTOEVENTO="Manual",$M30=$A$15)),0,
         IF(OFFSET(CRONOPLE!$F$15,$M30-$A$15,BI$13)=0,10^12,OFFSET(CRONOPLE!$F$15,$M30-$A$15,BI$13)))</f>
        <v>1000000000000</v>
      </c>
      <c r="BJ30" s="171">
        <f ca="1">IF(OR($D30&lt;&gt;"Serviço",AND(AUTOEVENTO="Manual",$M30=$A$15)),0,
         IF(OFFSET(CRONOPLE!$F$15,$M30-$A$15,BJ$13)=0,10^12,OFFSET(CRONOPLE!$F$15,$M30-$A$15,BJ$13)))</f>
        <v>1000000000000</v>
      </c>
      <c r="BK30" s="171">
        <f ca="1">IF(OR($D30&lt;&gt;"Serviço",AND(AUTOEVENTO="Manual",$M30=$A$15)),0,
         IF(OFFSET(CRONOPLE!$F$15,$M30-$A$15,BK$13)=0,10^12,OFFSET(CRONOPLE!$F$15,$M30-$A$15,BK$13)))</f>
        <v>1000000000000</v>
      </c>
      <c r="BL30" s="171">
        <f ca="1">IF(OR($D30&lt;&gt;"Serviço",AND(AUTOEVENTO="Manual",$M30=$A$15)),0,
         IF(OFFSET(CRONOPLE!$F$15,$M30-$A$15,BL$13)=0,10^12,OFFSET(CRONOPLE!$F$15,$M30-$A$15,BL$13)))</f>
        <v>1000000000000</v>
      </c>
      <c r="BM30" s="171">
        <f ca="1">IF(OR($D30&lt;&gt;"Serviço",AND(AUTOEVENTO="Manual",$M30=$A$15)),0,
         IF(OFFSET(CRONOPLE!$F$15,$M30-$A$15,BM$13)=0,10^12,OFFSET(CRONOPLE!$F$15,$M30-$A$15,BM$13)))</f>
        <v>1000000000000</v>
      </c>
      <c r="BN30" s="171">
        <f ca="1">IF(OR($D30&lt;&gt;"Serviço",AND(AUTOEVENTO="Manual",$M30=$A$15)),0,
         IF(OFFSET(CRONOPLE!$F$15,$M30-$A$15,BN$13)=0,10^12,OFFSET(CRONOPLE!$F$15,$M30-$A$15,BN$13)))</f>
        <v>1000000000000</v>
      </c>
      <c r="BO30" s="171">
        <f ca="1">IF(OR($D30&lt;&gt;"Serviço",AND(AUTOEVENTO="Manual",$M30=$A$15)),0,
         IF(OFFSET(CRONOPLE!$F$15,$M30-$A$15,BO$13)=0,10^12,OFFSET(CRONOPLE!$F$15,$M30-$A$15,BO$13)))</f>
        <v>1000000000000</v>
      </c>
      <c r="BP30" s="171">
        <f ca="1">IF(OR($D30&lt;&gt;"Serviço",AND(AUTOEVENTO="Manual",$M30=$A$15)),0,
         IF(OFFSET(CRONOPLE!$F$15,$M30-$A$15,BP$13)=0,10^12,OFFSET(CRONOPLE!$F$15,$M30-$A$15,BP$13)))</f>
        <v>1000000000000</v>
      </c>
      <c r="BQ30" s="171">
        <f ca="1">IF(OR($D30&lt;&gt;"Serviço",AND(AUTOEVENTO="Manual",$M30=$A$15)),0,
         IF(OFFSET(CRONOPLE!$F$15,$M30-$A$15,BQ$13)=0,10^12,OFFSET(CRONOPLE!$F$15,$M30-$A$15,BQ$13)))</f>
        <v>1000000000000</v>
      </c>
      <c r="BR30" s="171">
        <f ca="1">IF(OR($D30&lt;&gt;"Serviço",AND(AUTOEVENTO="Manual",$M30=$A$15)),0,
         IF(OFFSET(CRONOPLE!$F$15,$M30-$A$15,BR$13)=0,10^12,OFFSET(CRONOPLE!$F$15,$M30-$A$15,BR$13)))</f>
        <v>1000000000000</v>
      </c>
      <c r="BS30" s="171">
        <f ca="1">IF(OR($D30&lt;&gt;"Serviço",AND(AUTOEVENTO="Manual",$M30=$A$15)),0,
         IF(OFFSET(CRONOPLE!$F$15,$M30-$A$15,BS$13)=0,10^12,OFFSET(CRONOPLE!$F$15,$M30-$A$15,BS$13)))</f>
        <v>1000000000000</v>
      </c>
      <c r="BT30" s="171">
        <f ca="1">IF(OR($D30&lt;&gt;"Serviço",AND(AUTOEVENTO="Manual",$M30=$A$15)),0,
         IF(OFFSET(CRONOPLE!$F$15,$M30-$A$15,BT$13)=0,10^12,OFFSET(CRONOPLE!$F$15,$M30-$A$15,BT$13)))</f>
        <v>1000000000000</v>
      </c>
      <c r="BV30" s="172">
        <f ca="1">IF(OR($D30&lt;&gt;"Serviço",AND(AUTOEVENTO="Manual",$M30=$A$15),$M30&gt;(ROW(PLE.lastrow)-ROW(PLE.firstrow))),0,
           IF(OFFSET(PLE!$G$15,$M30-$A$15,BV$13)="",10^12,OFFSET(PLE!$G$15,$M30-$A$15,BV$13)))</f>
        <v>1000000000000</v>
      </c>
      <c r="BW30" s="172">
        <f ca="1">IF(OR($D30&lt;&gt;"Serviço",AND(AUTOEVENTO="Manual",$M30=$A$15),$M30&gt;(ROW(PLE.lastrow)-ROW(PLE.firstrow))),0,
           IF(OFFSET(PLE!$G$15,$M30-$A$15,BW$13)="",10^12,OFFSET(PLE!$G$15,$M30-$A$15,BW$13)))</f>
        <v>1000000000000</v>
      </c>
      <c r="BX30" s="172">
        <f ca="1">IF(OR($D30&lt;&gt;"Serviço",AND(AUTOEVENTO="Manual",$M30=$A$15),$M30&gt;(ROW(PLE.lastrow)-ROW(PLE.firstrow))),0,
           IF(OFFSET(PLE!$G$15,$M30-$A$15,BX$13)="",10^12,OFFSET(PLE!$G$15,$M30-$A$15,BX$13)))</f>
        <v>1000000000000</v>
      </c>
      <c r="BY30" s="172">
        <f ca="1">IF(OR($D30&lt;&gt;"Serviço",AND(AUTOEVENTO="Manual",$M30=$A$15),$M30&gt;(ROW(PLE.lastrow)-ROW(PLE.firstrow))),0,
           IF(OFFSET(PLE!$G$15,$M30-$A$15,BY$13)="",10^12,OFFSET(PLE!$G$15,$M30-$A$15,BY$13)))</f>
        <v>1000000000000</v>
      </c>
      <c r="BZ30" s="172">
        <f ca="1">IF(OR($D30&lt;&gt;"Serviço",AND(AUTOEVENTO="Manual",$M30=$A$15),$M30&gt;(ROW(PLE.lastrow)-ROW(PLE.firstrow))),0,
           IF(OFFSET(PLE!$G$15,$M30-$A$15,BZ$13)="",10^12,OFFSET(PLE!$G$15,$M30-$A$15,BZ$13)))</f>
        <v>1000000000000</v>
      </c>
      <c r="CA30" s="172">
        <f ca="1">IF(OR($D30&lt;&gt;"Serviço",AND(AUTOEVENTO="Manual",$M30=$A$15),$M30&gt;(ROW(PLE.lastrow)-ROW(PLE.firstrow))),0,
           IF(OFFSET(PLE!$G$15,$M30-$A$15,CA$13)="",10^12,OFFSET(PLE!$G$15,$M30-$A$15,CA$13)))</f>
        <v>1000000000000</v>
      </c>
      <c r="CB30" s="172">
        <f ca="1">IF(OR($D30&lt;&gt;"Serviço",AND(AUTOEVENTO="Manual",$M30=$A$15),$M30&gt;(ROW(PLE.lastrow)-ROW(PLE.firstrow))),0,
           IF(OFFSET(PLE!$G$15,$M30-$A$15,CB$13)="",10^12,OFFSET(PLE!$G$15,$M30-$A$15,CB$13)))</f>
        <v>1000000000000</v>
      </c>
      <c r="CC30" s="172">
        <f ca="1">IF(OR($D30&lt;&gt;"Serviço",AND(AUTOEVENTO="Manual",$M30=$A$15),$M30&gt;(ROW(PLE.lastrow)-ROW(PLE.firstrow))),0,
           IF(OFFSET(PLE!$G$15,$M30-$A$15,CC$13)="",10^12,OFFSET(PLE!$G$15,$M30-$A$15,CC$13)))</f>
        <v>1000000000000</v>
      </c>
      <c r="CD30" s="172">
        <f ca="1">IF(OR($D30&lt;&gt;"Serviço",AND(AUTOEVENTO="Manual",$M30=$A$15),$M30&gt;(ROW(PLE.lastrow)-ROW(PLE.firstrow))),0,
           IF(OFFSET(PLE!$G$15,$M30-$A$15,CD$13)="",10^12,OFFSET(PLE!$G$15,$M30-$A$15,CD$13)))</f>
        <v>1000000000000</v>
      </c>
      <c r="CE30" s="172">
        <f ca="1">IF(OR($D30&lt;&gt;"Serviço",AND(AUTOEVENTO="Manual",$M30=$A$15),$M30&gt;(ROW(PLE.lastrow)-ROW(PLE.firstrow))),0,
           IF(OFFSET(PLE!$G$15,$M30-$A$15,CE$13)="",10^12,OFFSET(PLE!$G$15,$M30-$A$15,CE$13)))</f>
        <v>1000000000000</v>
      </c>
      <c r="CF30" s="172">
        <f ca="1">IF(OR($D30&lt;&gt;"Serviço",AND(AUTOEVENTO="Manual",$M30=$A$15),$M30&gt;(ROW(PLE.lastrow)-ROW(PLE.firstrow))),0,
           IF(OFFSET(PLE!$G$15,$M30-$A$15,CF$13)="",10^12,OFFSET(PLE!$G$15,$M30-$A$15,CF$13)))</f>
        <v>1000000000000</v>
      </c>
      <c r="CG30" s="172">
        <f ca="1">IF(OR($D30&lt;&gt;"Serviço",AND(AUTOEVENTO="Manual",$M30=$A$15),$M30&gt;(ROW(PLE.lastrow)-ROW(PLE.firstrow))),0,
           IF(OFFSET(PLE!$G$15,$M30-$A$15,CG$13)="",10^12,OFFSET(PLE!$G$15,$M30-$A$15,CG$13)))</f>
        <v>1000000000000</v>
      </c>
      <c r="CH30" s="172">
        <f ca="1">IF(OR($D30&lt;&gt;"Serviço",AND(AUTOEVENTO="Manual",$M30=$A$15),$M30&gt;(ROW(PLE.lastrow)-ROW(PLE.firstrow))),0,
           IF(OFFSET(PLE!$G$15,$M30-$A$15,CH$13)="",10^12,OFFSET(PLE!$G$15,$M30-$A$15,CH$13)))</f>
        <v>1000000000000</v>
      </c>
      <c r="CI30" s="172">
        <f ca="1">IF(OR($D30&lt;&gt;"Serviço",AND(AUTOEVENTO="Manual",$M30=$A$15),$M30&gt;(ROW(PLE.lastrow)-ROW(PLE.firstrow))),0,
           IF(OFFSET(PLE!$G$15,$M30-$A$15,CI$13)="",10^12,OFFSET(PLE!$G$15,$M30-$A$15,CI$13)))</f>
        <v>1000000000000</v>
      </c>
      <c r="CJ30" s="172">
        <f ca="1">IF(OR($D30&lt;&gt;"Serviço",AND(AUTOEVENTO="Manual",$M30=$A$15),$M30&gt;(ROW(PLE.lastrow)-ROW(PLE.firstrow))),0,
           IF(OFFSET(PLE!$G$15,$M30-$A$15,CJ$13)="",10^12,OFFSET(PLE!$G$15,$M30-$A$15,CJ$13)))</f>
        <v>1000000000000</v>
      </c>
      <c r="CK30" s="172">
        <f ca="1">IF(OR($D30&lt;&gt;"Serviço",AND(AUTOEVENTO="Manual",$M30=$A$15),$M30&gt;(ROW(PLE.lastrow)-ROW(PLE.firstrow))),0,
           IF(OFFSET(PLE!$G$15,$M30-$A$15,CK$13)="",10^12,OFFSET(PLE!$G$15,$M30-$A$15,CK$13)))</f>
        <v>1000000000000</v>
      </c>
      <c r="CL30" s="172">
        <f ca="1">IF(OR($D30&lt;&gt;"Serviço",AND(AUTOEVENTO="Manual",$M30=$A$15),$M30&gt;(ROW(PLE.lastrow)-ROW(PLE.firstrow))),0,
           IF(OFFSET(PLE!$G$15,$M30-$A$15,CL$13)="",10^12,OFFSET(PLE!$G$15,$M30-$A$15,CL$13)))</f>
        <v>1000000000000</v>
      </c>
      <c r="CM30" s="172">
        <f ca="1">IF(OR($D30&lt;&gt;"Serviço",AND(AUTOEVENTO="Manual",$M30=$A$15),$M30&gt;(ROW(PLE.lastrow)-ROW(PLE.firstrow))),0,
           IF(OFFSET(PLE!$G$15,$M30-$A$15,CM$13)="",10^12,OFFSET(PLE!$G$15,$M30-$A$15,CM$13)))</f>
        <v>1000000000000</v>
      </c>
    </row>
    <row r="31" spans="1:91" ht="13.2" x14ac:dyDescent="0.25">
      <c r="A31" s="7" t="str">
        <f t="shared" ca="1" si="11"/>
        <v>8</v>
      </c>
      <c r="B31" s="7" t="str">
        <f ca="1">OFFSET(ORÇAMENTO!C$15,ROW(B31)-ROW(B$15),0)</f>
        <v>S</v>
      </c>
      <c r="C31" s="7" t="str">
        <f ca="1">OFFSET(ORÇAMENTO!L$15,ROW(C31)-ROW(C$15),0)</f>
        <v>F</v>
      </c>
      <c r="D31" s="116" t="str">
        <f ca="1">OFFSET(ORÇAMENTO!N$15,ROW(D31)-ROW(D$15),0)</f>
        <v>Serviço</v>
      </c>
      <c r="E31" s="117" t="str">
        <f ca="1">OFFSET(ORÇAMENTO!O$15,ROW(E31)-ROW(E$15),0)</f>
        <v>1.3.8.</v>
      </c>
      <c r="F31" s="163" t="str">
        <f ca="1">OFFSET(ORÇAMENTO!R$15,ROW(F31)-ROW(F$15),0)</f>
        <v>Dissipador de energia - DED 03 A - areia, brita e pedra de mão comerciais</v>
      </c>
      <c r="G31" s="164" t="str">
        <f ca="1">IF($D31&lt;&gt;"Serviço","",OFFSET(ORÇAMENTO!S$15,ROW(G31)-ROW(G$15),0))</f>
        <v>un</v>
      </c>
      <c r="H31" s="122" cm="1">
        <f t="array" aca="1" ref="H31" ca="1">IF($D31&lt;&gt;"Serviço",0,IF(ACOMPANHAMENTO="BM",ROUND(OFFSET(ORÇAMENTO!AJ$15,ROW(H31)-ROW(H$15),0),15-13*ORÇAMENTO!$AF$7),SUMPRODUCT(($Q$1:$AI$1=1)*ROUND($Q31:$AI31,15-13*ORÇAMENTO!$AF$7))))</f>
        <v>2</v>
      </c>
      <c r="I31" s="468"/>
      <c r="J31" s="651" t="e" cm="1">
        <f t="array" aca="1" ref="J31" ca="1">IF(OR(B31&lt;&gt;"S",CÁLCULO.FrentesPreenchidas=0),"",IF(AND(ACOMPANHAMENTO="PLE",AUTOEVENTO="Manual",OR(H31&gt;0,ORÇAMENTO!AC31="QUANT."),OR(K31="",M31=0,N31="")),"►E",IF(AND(ACOMPANHAMENTO="PLE",ORÇAMENTO!AC31="QUANT."),"►Q",IF(AND(ACOMPANHAMENTO="PLE",H31&lt;&gt;SUMPRODUCT(($Q$1:$AI$1=1)*ROUND(Q31:AI31,15))),"►S",IF(AND(COUNTIF($P$11:$AI$11,"▼")=0,H31&gt;0,I31=""),"◄M","")))))</f>
        <v>#NAME?</v>
      </c>
      <c r="K31" s="652"/>
      <c r="L31" s="165" t="s">
        <v>764</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DRENAGEM</v>
      </c>
      <c r="O31" s="168"/>
      <c r="Q31" s="168"/>
      <c r="R31" s="169"/>
      <c r="S31" s="169">
        <v>2</v>
      </c>
      <c r="T31" s="169"/>
      <c r="U31" s="169"/>
      <c r="V31" s="169"/>
      <c r="W31" s="169"/>
      <c r="X31" s="169"/>
      <c r="Y31" s="169"/>
      <c r="Z31" s="170"/>
      <c r="AA31" s="169"/>
      <c r="AB31" s="169"/>
      <c r="AC31" s="169"/>
      <c r="AD31" s="169"/>
      <c r="AE31" s="169"/>
      <c r="AF31" s="169"/>
      <c r="AG31" s="169"/>
      <c r="AH31" s="170"/>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L31" s="453">
        <f ca="1">IF(AND($D31="Serviço",AL$12&lt;&gt;0,$H31&gt;0,OR(AUTOEVENTO&lt;&gt;"manual",$M31&lt;&gt;$A$15)),
        IF(Import.TipoArredondamento&lt;&gt;"TransfereGOV",
              ROUND(OFFSET($P31,0,AL$13),15-13*ORÇAMENTO!$AF$7)/$H31*OFFSET(ORÇAMENTO!$X$15,ROW(AL31)-ROW(AL$15),0),
              ROUND(ROUND(OFFSET($P31,0,AL$13),15-13*ORÇAMENTO!$AF$7)*OFFSET(ORÇAMENTO!$W$15,ROW(AL31)-ROW(AL$15),0),15-13*ORÇAMENTO!$AF$11)),
         0)</f>
        <v>1719.54</v>
      </c>
      <c r="AM31" s="453">
        <f ca="1">IF(AND($D31="Serviço",AM$12&lt;&gt;0,$H31&gt;0,OR(AUTOEVENTO&lt;&gt;"manual",$M31&lt;&gt;$A$15)),
        IF(Import.TipoArredondamento&lt;&gt;"TransfereGOV",
              ROUND(OFFSET($P31,0,AM$13),15-13*ORÇAMENTO!$AF$7)/$H31*OFFSET(ORÇAMENTO!$X$15,ROW(AM31)-ROW(AM$15),0),
              ROUND(ROUND(OFFSET($P31,0,AM$13),15-13*ORÇAMENTO!$AF$7)*OFFSET(ORÇAMENTO!$W$15,ROW(AM31)-ROW(AM$15),0),15-13*ORÇAMENTO!$AF$11)),
         0)</f>
        <v>0</v>
      </c>
      <c r="AN31" s="453">
        <f ca="1">IF(AND($D31="Serviço",AN$12&lt;&gt;0,$H31&gt;0,OR(AUTOEVENTO&lt;&gt;"manual",$M31&lt;&gt;$A$15)),
        IF(Import.TipoArredondamento&lt;&gt;"TransfereGOV",
              ROUND(OFFSET($P31,0,AN$13),15-13*ORÇAMENTO!$AF$7)/$H31*OFFSET(ORÇAMENTO!$X$15,ROW(AN31)-ROW(AN$15),0),
              ROUND(ROUND(OFFSET($P31,0,AN$13),15-13*ORÇAMENTO!$AF$7)*OFFSET(ORÇAMENTO!$W$15,ROW(AN31)-ROW(AN$15),0),15-13*ORÇAMENTO!$AF$11)),
         0)</f>
        <v>0</v>
      </c>
      <c r="AO31" s="453">
        <f ca="1">IF(AND($D31="Serviço",AO$12&lt;&gt;0,$H31&gt;0,OR(AUTOEVENTO&lt;&gt;"manual",$M31&lt;&gt;$A$15)),
        IF(Import.TipoArredondamento&lt;&gt;"TransfereGOV",
              ROUND(OFFSET($P31,0,AO$13),15-13*ORÇAMENTO!$AF$7)/$H31*OFFSET(ORÇAMENTO!$X$15,ROW(AO31)-ROW(AO$15),0),
              ROUND(ROUND(OFFSET($P31,0,AO$13),15-13*ORÇAMENTO!$AF$7)*OFFSET(ORÇAMENTO!$W$15,ROW(AO31)-ROW(AO$15),0),15-13*ORÇAMENTO!$AF$11)),
         0)</f>
        <v>0</v>
      </c>
      <c r="AP31" s="453">
        <f ca="1">IF(AND($D31="Serviço",AP$12&lt;&gt;0,$H31&gt;0,OR(AUTOEVENTO&lt;&gt;"manual",$M31&lt;&gt;$A$15)),
        IF(Import.TipoArredondamento&lt;&gt;"TransfereGOV",
              ROUND(OFFSET($P31,0,AP$13),15-13*ORÇAMENTO!$AF$7)/$H31*OFFSET(ORÇAMENTO!$X$15,ROW(AP31)-ROW(AP$15),0),
              ROUND(ROUND(OFFSET($P31,0,AP$13),15-13*ORÇAMENTO!$AF$7)*OFFSET(ORÇAMENTO!$W$15,ROW(AP31)-ROW(AP$15),0),15-13*ORÇAMENTO!$AF$11)),
         0)</f>
        <v>0</v>
      </c>
      <c r="AQ31" s="453">
        <f ca="1">IF(AND($D31="Serviço",AQ$12&lt;&gt;0,$H31&gt;0,OR(AUTOEVENTO&lt;&gt;"manual",$M31&lt;&gt;$A$15)),
        IF(Import.TipoArredondamento&lt;&gt;"TransfereGOV",
              ROUND(OFFSET($P31,0,AQ$13),15-13*ORÇAMENTO!$AF$7)/$H31*OFFSET(ORÇAMENTO!$X$15,ROW(AQ31)-ROW(AQ$15),0),
              ROUND(ROUND(OFFSET($P31,0,AQ$13),15-13*ORÇAMENTO!$AF$7)*OFFSET(ORÇAMENTO!$W$15,ROW(AQ31)-ROW(AQ$15),0),15-13*ORÇAMENTO!$AF$11)),
         0)</f>
        <v>0</v>
      </c>
      <c r="AR31" s="453">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0</v>
      </c>
      <c r="AS31" s="453">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0</v>
      </c>
      <c r="AT31" s="453">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0</v>
      </c>
      <c r="AU31" s="453">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0</v>
      </c>
      <c r="AV31" s="453">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0</v>
      </c>
      <c r="AW31" s="453">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0</v>
      </c>
      <c r="AX31" s="453">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0</v>
      </c>
      <c r="AY31" s="453">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0</v>
      </c>
      <c r="AZ31" s="453">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0</v>
      </c>
      <c r="BA31" s="453">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0</v>
      </c>
      <c r="BC31" s="171">
        <f ca="1">IF(OR($D31&lt;&gt;"Serviço",AND(AUTOEVENTO="Manual",$M31=$A$15)),0,
         IF(OFFSET(CRONOPLE!$F$15,$M31-$A$15,BC$13)=0,10^12,OFFSET(CRONOPLE!$F$15,$M31-$A$15,BC$13)))</f>
        <v>1000000000000</v>
      </c>
      <c r="BD31" s="171">
        <f ca="1">IF(OR($D31&lt;&gt;"Serviço",AND(AUTOEVENTO="Manual",$M31=$A$15)),0,
         IF(OFFSET(CRONOPLE!$F$15,$M31-$A$15,BD$13)=0,10^12,OFFSET(CRONOPLE!$F$15,$M31-$A$15,BD$13)))</f>
        <v>1000000000000</v>
      </c>
      <c r="BE31" s="171">
        <f ca="1">IF(OR($D31&lt;&gt;"Serviço",AND(AUTOEVENTO="Manual",$M31=$A$15)),0,
         IF(OFFSET(CRONOPLE!$F$15,$M31-$A$15,BE$13)=0,10^12,OFFSET(CRONOPLE!$F$15,$M31-$A$15,BE$13)))</f>
        <v>1</v>
      </c>
      <c r="BF31" s="171">
        <f ca="1">IF(OR($D31&lt;&gt;"Serviço",AND(AUTOEVENTO="Manual",$M31=$A$15)),0,
         IF(OFFSET(CRONOPLE!$F$15,$M31-$A$15,BF$13)=0,10^12,OFFSET(CRONOPLE!$F$15,$M31-$A$15,BF$13)))</f>
        <v>1000000000000</v>
      </c>
      <c r="BG31" s="171">
        <f ca="1">IF(OR($D31&lt;&gt;"Serviço",AND(AUTOEVENTO="Manual",$M31=$A$15)),0,
         IF(OFFSET(CRONOPLE!$F$15,$M31-$A$15,BG$13)=0,10^12,OFFSET(CRONOPLE!$F$15,$M31-$A$15,BG$13)))</f>
        <v>1000000000000</v>
      </c>
      <c r="BH31" s="171">
        <f ca="1">IF(OR($D31&lt;&gt;"Serviço",AND(AUTOEVENTO="Manual",$M31=$A$15)),0,
         IF(OFFSET(CRONOPLE!$F$15,$M31-$A$15,BH$13)=0,10^12,OFFSET(CRONOPLE!$F$15,$M31-$A$15,BH$13)))</f>
        <v>1000000000000</v>
      </c>
      <c r="BI31" s="171">
        <f ca="1">IF(OR($D31&lt;&gt;"Serviço",AND(AUTOEVENTO="Manual",$M31=$A$15)),0,
         IF(OFFSET(CRONOPLE!$F$15,$M31-$A$15,BI$13)=0,10^12,OFFSET(CRONOPLE!$F$15,$M31-$A$15,BI$13)))</f>
        <v>1000000000000</v>
      </c>
      <c r="BJ31" s="171">
        <f ca="1">IF(OR($D31&lt;&gt;"Serviço",AND(AUTOEVENTO="Manual",$M31=$A$15)),0,
         IF(OFFSET(CRONOPLE!$F$15,$M31-$A$15,BJ$13)=0,10^12,OFFSET(CRONOPLE!$F$15,$M31-$A$15,BJ$13)))</f>
        <v>1000000000000</v>
      </c>
      <c r="BK31" s="171">
        <f ca="1">IF(OR($D31&lt;&gt;"Serviço",AND(AUTOEVENTO="Manual",$M31=$A$15)),0,
         IF(OFFSET(CRONOPLE!$F$15,$M31-$A$15,BK$13)=0,10^12,OFFSET(CRONOPLE!$F$15,$M31-$A$15,BK$13)))</f>
        <v>1000000000000</v>
      </c>
      <c r="BL31" s="171">
        <f ca="1">IF(OR($D31&lt;&gt;"Serviço",AND(AUTOEVENTO="Manual",$M31=$A$15)),0,
         IF(OFFSET(CRONOPLE!$F$15,$M31-$A$15,BL$13)=0,10^12,OFFSET(CRONOPLE!$F$15,$M31-$A$15,BL$13)))</f>
        <v>1000000000000</v>
      </c>
      <c r="BM31" s="171">
        <f ca="1">IF(OR($D31&lt;&gt;"Serviço",AND(AUTOEVENTO="Manual",$M31=$A$15)),0,
         IF(OFFSET(CRONOPLE!$F$15,$M31-$A$15,BM$13)=0,10^12,OFFSET(CRONOPLE!$F$15,$M31-$A$15,BM$13)))</f>
        <v>1000000000000</v>
      </c>
      <c r="BN31" s="171">
        <f ca="1">IF(OR($D31&lt;&gt;"Serviço",AND(AUTOEVENTO="Manual",$M31=$A$15)),0,
         IF(OFFSET(CRONOPLE!$F$15,$M31-$A$15,BN$13)=0,10^12,OFFSET(CRONOPLE!$F$15,$M31-$A$15,BN$13)))</f>
        <v>1000000000000</v>
      </c>
      <c r="BO31" s="171">
        <f ca="1">IF(OR($D31&lt;&gt;"Serviço",AND(AUTOEVENTO="Manual",$M31=$A$15)),0,
         IF(OFFSET(CRONOPLE!$F$15,$M31-$A$15,BO$13)=0,10^12,OFFSET(CRONOPLE!$F$15,$M31-$A$15,BO$13)))</f>
        <v>1000000000000</v>
      </c>
      <c r="BP31" s="171">
        <f ca="1">IF(OR($D31&lt;&gt;"Serviço",AND(AUTOEVENTO="Manual",$M31=$A$15)),0,
         IF(OFFSET(CRONOPLE!$F$15,$M31-$A$15,BP$13)=0,10^12,OFFSET(CRONOPLE!$F$15,$M31-$A$15,BP$13)))</f>
        <v>1000000000000</v>
      </c>
      <c r="BQ31" s="171">
        <f ca="1">IF(OR($D31&lt;&gt;"Serviço",AND(AUTOEVENTO="Manual",$M31=$A$15)),0,
         IF(OFFSET(CRONOPLE!$F$15,$M31-$A$15,BQ$13)=0,10^12,OFFSET(CRONOPLE!$F$15,$M31-$A$15,BQ$13)))</f>
        <v>1000000000000</v>
      </c>
      <c r="BR31" s="171">
        <f ca="1">IF(OR($D31&lt;&gt;"Serviço",AND(AUTOEVENTO="Manual",$M31=$A$15)),0,
         IF(OFFSET(CRONOPLE!$F$15,$M31-$A$15,BR$13)=0,10^12,OFFSET(CRONOPLE!$F$15,$M31-$A$15,BR$13)))</f>
        <v>1000000000000</v>
      </c>
      <c r="BS31" s="171">
        <f ca="1">IF(OR($D31&lt;&gt;"Serviço",AND(AUTOEVENTO="Manual",$M31=$A$15)),0,
         IF(OFFSET(CRONOPLE!$F$15,$M31-$A$15,BS$13)=0,10^12,OFFSET(CRONOPLE!$F$15,$M31-$A$15,BS$13)))</f>
        <v>1000000000000</v>
      </c>
      <c r="BT31" s="171">
        <f ca="1">IF(OR($D31&lt;&gt;"Serviço",AND(AUTOEVENTO="Manual",$M31=$A$15)),0,
         IF(OFFSET(CRONOPLE!$F$15,$M31-$A$15,BT$13)=0,10^12,OFFSET(CRONOPLE!$F$15,$M31-$A$15,BT$13)))</f>
        <v>1000000000000</v>
      </c>
      <c r="BV31" s="172">
        <f ca="1">IF(OR($D31&lt;&gt;"Serviço",AND(AUTOEVENTO="Manual",$M31=$A$15),$M31&gt;(ROW(PLE.lastrow)-ROW(PLE.firstrow))),0,
           IF(OFFSET(PLE!$G$15,$M31-$A$15,BV$13)="",10^12,OFFSET(PLE!$G$15,$M31-$A$15,BV$13)))</f>
        <v>1000000000000</v>
      </c>
      <c r="BW31" s="172">
        <f ca="1">IF(OR($D31&lt;&gt;"Serviço",AND(AUTOEVENTO="Manual",$M31=$A$15),$M31&gt;(ROW(PLE.lastrow)-ROW(PLE.firstrow))),0,
           IF(OFFSET(PLE!$G$15,$M31-$A$15,BW$13)="",10^12,OFFSET(PLE!$G$15,$M31-$A$15,BW$13)))</f>
        <v>1000000000000</v>
      </c>
      <c r="BX31" s="172">
        <f ca="1">IF(OR($D31&lt;&gt;"Serviço",AND(AUTOEVENTO="Manual",$M31=$A$15),$M31&gt;(ROW(PLE.lastrow)-ROW(PLE.firstrow))),0,
           IF(OFFSET(PLE!$G$15,$M31-$A$15,BX$13)="",10^12,OFFSET(PLE!$G$15,$M31-$A$15,BX$13)))</f>
        <v>1000000000000</v>
      </c>
      <c r="BY31" s="172">
        <f ca="1">IF(OR($D31&lt;&gt;"Serviço",AND(AUTOEVENTO="Manual",$M31=$A$15),$M31&gt;(ROW(PLE.lastrow)-ROW(PLE.firstrow))),0,
           IF(OFFSET(PLE!$G$15,$M31-$A$15,BY$13)="",10^12,OFFSET(PLE!$G$15,$M31-$A$15,BY$13)))</f>
        <v>1000000000000</v>
      </c>
      <c r="BZ31" s="172">
        <f ca="1">IF(OR($D31&lt;&gt;"Serviço",AND(AUTOEVENTO="Manual",$M31=$A$15),$M31&gt;(ROW(PLE.lastrow)-ROW(PLE.firstrow))),0,
           IF(OFFSET(PLE!$G$15,$M31-$A$15,BZ$13)="",10^12,OFFSET(PLE!$G$15,$M31-$A$15,BZ$13)))</f>
        <v>1000000000000</v>
      </c>
      <c r="CA31" s="172">
        <f ca="1">IF(OR($D31&lt;&gt;"Serviço",AND(AUTOEVENTO="Manual",$M31=$A$15),$M31&gt;(ROW(PLE.lastrow)-ROW(PLE.firstrow))),0,
           IF(OFFSET(PLE!$G$15,$M31-$A$15,CA$13)="",10^12,OFFSET(PLE!$G$15,$M31-$A$15,CA$13)))</f>
        <v>1000000000000</v>
      </c>
      <c r="CB31" s="172">
        <f ca="1">IF(OR($D31&lt;&gt;"Serviço",AND(AUTOEVENTO="Manual",$M31=$A$15),$M31&gt;(ROW(PLE.lastrow)-ROW(PLE.firstrow))),0,
           IF(OFFSET(PLE!$G$15,$M31-$A$15,CB$13)="",10^12,OFFSET(PLE!$G$15,$M31-$A$15,CB$13)))</f>
        <v>1000000000000</v>
      </c>
      <c r="CC31" s="172">
        <f ca="1">IF(OR($D31&lt;&gt;"Serviço",AND(AUTOEVENTO="Manual",$M31=$A$15),$M31&gt;(ROW(PLE.lastrow)-ROW(PLE.firstrow))),0,
           IF(OFFSET(PLE!$G$15,$M31-$A$15,CC$13)="",10^12,OFFSET(PLE!$G$15,$M31-$A$15,CC$13)))</f>
        <v>1000000000000</v>
      </c>
      <c r="CD31" s="172">
        <f ca="1">IF(OR($D31&lt;&gt;"Serviço",AND(AUTOEVENTO="Manual",$M31=$A$15),$M31&gt;(ROW(PLE.lastrow)-ROW(PLE.firstrow))),0,
           IF(OFFSET(PLE!$G$15,$M31-$A$15,CD$13)="",10^12,OFFSET(PLE!$G$15,$M31-$A$15,CD$13)))</f>
        <v>1000000000000</v>
      </c>
      <c r="CE31" s="172">
        <f ca="1">IF(OR($D31&lt;&gt;"Serviço",AND(AUTOEVENTO="Manual",$M31=$A$15),$M31&gt;(ROW(PLE.lastrow)-ROW(PLE.firstrow))),0,
           IF(OFFSET(PLE!$G$15,$M31-$A$15,CE$13)="",10^12,OFFSET(PLE!$G$15,$M31-$A$15,CE$13)))</f>
        <v>1000000000000</v>
      </c>
      <c r="CF31" s="172">
        <f ca="1">IF(OR($D31&lt;&gt;"Serviço",AND(AUTOEVENTO="Manual",$M31=$A$15),$M31&gt;(ROW(PLE.lastrow)-ROW(PLE.firstrow))),0,
           IF(OFFSET(PLE!$G$15,$M31-$A$15,CF$13)="",10^12,OFFSET(PLE!$G$15,$M31-$A$15,CF$13)))</f>
        <v>1000000000000</v>
      </c>
      <c r="CG31" s="172">
        <f ca="1">IF(OR($D31&lt;&gt;"Serviço",AND(AUTOEVENTO="Manual",$M31=$A$15),$M31&gt;(ROW(PLE.lastrow)-ROW(PLE.firstrow))),0,
           IF(OFFSET(PLE!$G$15,$M31-$A$15,CG$13)="",10^12,OFFSET(PLE!$G$15,$M31-$A$15,CG$13)))</f>
        <v>1000000000000</v>
      </c>
      <c r="CH31" s="172">
        <f ca="1">IF(OR($D31&lt;&gt;"Serviço",AND(AUTOEVENTO="Manual",$M31=$A$15),$M31&gt;(ROW(PLE.lastrow)-ROW(PLE.firstrow))),0,
           IF(OFFSET(PLE!$G$15,$M31-$A$15,CH$13)="",10^12,OFFSET(PLE!$G$15,$M31-$A$15,CH$13)))</f>
        <v>1000000000000</v>
      </c>
      <c r="CI31" s="172">
        <f ca="1">IF(OR($D31&lt;&gt;"Serviço",AND(AUTOEVENTO="Manual",$M31=$A$15),$M31&gt;(ROW(PLE.lastrow)-ROW(PLE.firstrow))),0,
           IF(OFFSET(PLE!$G$15,$M31-$A$15,CI$13)="",10^12,OFFSET(PLE!$G$15,$M31-$A$15,CI$13)))</f>
        <v>1000000000000</v>
      </c>
      <c r="CJ31" s="172">
        <f ca="1">IF(OR($D31&lt;&gt;"Serviço",AND(AUTOEVENTO="Manual",$M31=$A$15),$M31&gt;(ROW(PLE.lastrow)-ROW(PLE.firstrow))),0,
           IF(OFFSET(PLE!$G$15,$M31-$A$15,CJ$13)="",10^12,OFFSET(PLE!$G$15,$M31-$A$15,CJ$13)))</f>
        <v>1000000000000</v>
      </c>
      <c r="CK31" s="172">
        <f ca="1">IF(OR($D31&lt;&gt;"Serviço",AND(AUTOEVENTO="Manual",$M31=$A$15),$M31&gt;(ROW(PLE.lastrow)-ROW(PLE.firstrow))),0,
           IF(OFFSET(PLE!$G$15,$M31-$A$15,CK$13)="",10^12,OFFSET(PLE!$G$15,$M31-$A$15,CK$13)))</f>
        <v>1000000000000</v>
      </c>
      <c r="CL31" s="172">
        <f ca="1">IF(OR($D31&lt;&gt;"Serviço",AND(AUTOEVENTO="Manual",$M31=$A$15),$M31&gt;(ROW(PLE.lastrow)-ROW(PLE.firstrow))),0,
           IF(OFFSET(PLE!$G$15,$M31-$A$15,CL$13)="",10^12,OFFSET(PLE!$G$15,$M31-$A$15,CL$13)))</f>
        <v>1000000000000</v>
      </c>
      <c r="CM31" s="172">
        <f ca="1">IF(OR($D31&lt;&gt;"Serviço",AND(AUTOEVENTO="Manual",$M31=$A$15),$M31&gt;(ROW(PLE.lastrow)-ROW(PLE.firstrow))),0,
           IF(OFFSET(PLE!$G$15,$M31-$A$15,CM$13)="",10^12,OFFSET(PLE!$G$15,$M31-$A$15,CM$13)))</f>
        <v>1000000000000</v>
      </c>
    </row>
    <row r="32" spans="1:91" ht="39.6" x14ac:dyDescent="0.25">
      <c r="A32" s="7" t="str">
        <f t="shared" ca="1" si="11"/>
        <v>8</v>
      </c>
      <c r="B32" s="7" t="str">
        <f ca="1">OFFSET(ORÇAMENTO!C$15,ROW(B32)-ROW(B$15),0)</f>
        <v>S</v>
      </c>
      <c r="C32" s="7" t="str">
        <f ca="1">OFFSET(ORÇAMENTO!L$15,ROW(C32)-ROW(C$15),0)</f>
        <v>F</v>
      </c>
      <c r="D32" s="116" t="str">
        <f ca="1">OFFSET(ORÇAMENTO!N$15,ROW(D32)-ROW(D$15),0)</f>
        <v>Serviço</v>
      </c>
      <c r="E32" s="117" t="str">
        <f ca="1">OFFSET(ORÇAMENTO!O$15,ROW(E32)-ROW(E$15),0)</f>
        <v>1.3.9.</v>
      </c>
      <c r="F32" s="163" t="str">
        <f ca="1">OFFSET(ORÇAMENTO!R$15,ROW(F32)-ROW(F$15),0)</f>
        <v xml:space="preserve">CAIXA DE INFILTRAÇÃO EM ALVENARIA DE BLOCOS CERÂMICOS MACIÇOS COM DIMENSÕES DE 1,50 X 1,50 X 1,50M PREENCHIDA COM PEDRAS DE MÃO E REVESTIDA COM MANTA GEOTÊXTIL </v>
      </c>
      <c r="G32" s="164" t="str">
        <f ca="1">IF($D32&lt;&gt;"Serviço","",OFFSET(ORÇAMENTO!S$15,ROW(G32)-ROW(G$15),0))</f>
        <v>UN</v>
      </c>
      <c r="H32" s="122" cm="1">
        <f t="array" aca="1" ref="H32" ca="1">IF($D32&lt;&gt;"Serviço",0,IF(ACOMPANHAMENTO="BM",ROUND(OFFSET(ORÇAMENTO!AJ$15,ROW(H32)-ROW(H$15),0),15-13*ORÇAMENTO!$AF$7),SUMPRODUCT(($Q$1:$AI$1=1)*ROUND($Q32:$AI32,15-13*ORÇAMENTO!$AF$7))))</f>
        <v>2</v>
      </c>
      <c r="I32" s="468"/>
      <c r="J32" s="651" t="e" cm="1">
        <f t="array" aca="1" ref="J32" ca="1">IF(OR(B32&lt;&gt;"S",CÁLCULO.FrentesPreenchidas=0),"",IF(AND(ACOMPANHAMENTO="PLE",AUTOEVENTO="Manual",OR(H32&gt;0,ORÇAMENTO!AC32="QUANT."),OR(K32="",M32=0,N32="")),"►E",IF(AND(ACOMPANHAMENTO="PLE",ORÇAMENTO!AC32="QUANT."),"►Q",IF(AND(ACOMPANHAMENTO="PLE",H32&lt;&gt;SUMPRODUCT(($Q$1:$AI$1=1)*ROUND(Q32:AI32,15))),"►S",IF(AND(COUNTIF($P$11:$AI$11,"▼")=0,H32&gt;0,I32=""),"◄M","")))))</f>
        <v>#NAME?</v>
      </c>
      <c r="K32" s="652"/>
      <c r="L32" s="165" t="s">
        <v>764</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DRENAGEM</v>
      </c>
      <c r="O32" s="168"/>
      <c r="Q32" s="168"/>
      <c r="R32" s="169"/>
      <c r="S32" s="169">
        <v>2</v>
      </c>
      <c r="T32" s="169"/>
      <c r="U32" s="169"/>
      <c r="V32" s="169"/>
      <c r="W32" s="169"/>
      <c r="X32" s="169"/>
      <c r="Y32" s="169"/>
      <c r="Z32" s="170"/>
      <c r="AA32" s="169"/>
      <c r="AB32" s="169"/>
      <c r="AC32" s="169"/>
      <c r="AD32" s="169"/>
      <c r="AE32" s="169"/>
      <c r="AF32" s="169"/>
      <c r="AG32" s="169"/>
      <c r="AH32" s="170"/>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L32" s="453">
        <f ca="1">IF(AND($D32="Serviço",AL$12&lt;&gt;0,$H32&gt;0,OR(AUTOEVENTO&lt;&gt;"manual",$M32&lt;&gt;$A$15)),
        IF(Import.TipoArredondamento&lt;&gt;"TransfereGOV",
              ROUND(OFFSET($P32,0,AL$13),15-13*ORÇAMENTO!$AF$7)/$H32*OFFSET(ORÇAMENTO!$X$15,ROW(AL32)-ROW(AL$15),0),
              ROUND(ROUND(OFFSET($P32,0,AL$13),15-13*ORÇAMENTO!$AF$7)*OFFSET(ORÇAMENTO!$W$15,ROW(AL32)-ROW(AL$15),0),15-13*ORÇAMENTO!$AF$11)),
         0)</f>
        <v>9925.0400000000009</v>
      </c>
      <c r="AM32" s="453">
        <f ca="1">IF(AND($D32="Serviço",AM$12&lt;&gt;0,$H32&gt;0,OR(AUTOEVENTO&lt;&gt;"manual",$M32&lt;&gt;$A$15)),
        IF(Import.TipoArredondamento&lt;&gt;"TransfereGOV",
              ROUND(OFFSET($P32,0,AM$13),15-13*ORÇAMENTO!$AF$7)/$H32*OFFSET(ORÇAMENTO!$X$15,ROW(AM32)-ROW(AM$15),0),
              ROUND(ROUND(OFFSET($P32,0,AM$13),15-13*ORÇAMENTO!$AF$7)*OFFSET(ORÇAMENTO!$W$15,ROW(AM32)-ROW(AM$15),0),15-13*ORÇAMENTO!$AF$11)),
         0)</f>
        <v>0</v>
      </c>
      <c r="AN32" s="453">
        <f ca="1">IF(AND($D32="Serviço",AN$12&lt;&gt;0,$H32&gt;0,OR(AUTOEVENTO&lt;&gt;"manual",$M32&lt;&gt;$A$15)),
        IF(Import.TipoArredondamento&lt;&gt;"TransfereGOV",
              ROUND(OFFSET($P32,0,AN$13),15-13*ORÇAMENTO!$AF$7)/$H32*OFFSET(ORÇAMENTO!$X$15,ROW(AN32)-ROW(AN$15),0),
              ROUND(ROUND(OFFSET($P32,0,AN$13),15-13*ORÇAMENTO!$AF$7)*OFFSET(ORÇAMENTO!$W$15,ROW(AN32)-ROW(AN$15),0),15-13*ORÇAMENTO!$AF$11)),
         0)</f>
        <v>0</v>
      </c>
      <c r="AO32" s="453">
        <f ca="1">IF(AND($D32="Serviço",AO$12&lt;&gt;0,$H32&gt;0,OR(AUTOEVENTO&lt;&gt;"manual",$M32&lt;&gt;$A$15)),
        IF(Import.TipoArredondamento&lt;&gt;"TransfereGOV",
              ROUND(OFFSET($P32,0,AO$13),15-13*ORÇAMENTO!$AF$7)/$H32*OFFSET(ORÇAMENTO!$X$15,ROW(AO32)-ROW(AO$15),0),
              ROUND(ROUND(OFFSET($P32,0,AO$13),15-13*ORÇAMENTO!$AF$7)*OFFSET(ORÇAMENTO!$W$15,ROW(AO32)-ROW(AO$15),0),15-13*ORÇAMENTO!$AF$11)),
         0)</f>
        <v>0</v>
      </c>
      <c r="AP32" s="453">
        <f ca="1">IF(AND($D32="Serviço",AP$12&lt;&gt;0,$H32&gt;0,OR(AUTOEVENTO&lt;&gt;"manual",$M32&lt;&gt;$A$15)),
        IF(Import.TipoArredondamento&lt;&gt;"TransfereGOV",
              ROUND(OFFSET($P32,0,AP$13),15-13*ORÇAMENTO!$AF$7)/$H32*OFFSET(ORÇAMENTO!$X$15,ROW(AP32)-ROW(AP$15),0),
              ROUND(ROUND(OFFSET($P32,0,AP$13),15-13*ORÇAMENTO!$AF$7)*OFFSET(ORÇAMENTO!$W$15,ROW(AP32)-ROW(AP$15),0),15-13*ORÇAMENTO!$AF$11)),
         0)</f>
        <v>0</v>
      </c>
      <c r="AQ32" s="453">
        <f ca="1">IF(AND($D32="Serviço",AQ$12&lt;&gt;0,$H32&gt;0,OR(AUTOEVENTO&lt;&gt;"manual",$M32&lt;&gt;$A$15)),
        IF(Import.TipoArredondamento&lt;&gt;"TransfereGOV",
              ROUND(OFFSET($P32,0,AQ$13),15-13*ORÇAMENTO!$AF$7)/$H32*OFFSET(ORÇAMENTO!$X$15,ROW(AQ32)-ROW(AQ$15),0),
              ROUND(ROUND(OFFSET($P32,0,AQ$13),15-13*ORÇAMENTO!$AF$7)*OFFSET(ORÇAMENTO!$W$15,ROW(AQ32)-ROW(AQ$15),0),15-13*ORÇAMENTO!$AF$11)),
         0)</f>
        <v>0</v>
      </c>
      <c r="AR32" s="453">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0</v>
      </c>
      <c r="AS32" s="453">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0</v>
      </c>
      <c r="AT32" s="453">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0</v>
      </c>
      <c r="AU32" s="453">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0</v>
      </c>
      <c r="AV32" s="453">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0</v>
      </c>
      <c r="AW32" s="453">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0</v>
      </c>
      <c r="AX32" s="453">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0</v>
      </c>
      <c r="AY32" s="453">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0</v>
      </c>
      <c r="AZ32" s="453">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0</v>
      </c>
      <c r="BA32" s="453">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0</v>
      </c>
      <c r="BC32" s="171">
        <f ca="1">IF(OR($D32&lt;&gt;"Serviço",AND(AUTOEVENTO="Manual",$M32=$A$15)),0,
         IF(OFFSET(CRONOPLE!$F$15,$M32-$A$15,BC$13)=0,10^12,OFFSET(CRONOPLE!$F$15,$M32-$A$15,BC$13)))</f>
        <v>1000000000000</v>
      </c>
      <c r="BD32" s="171">
        <f ca="1">IF(OR($D32&lt;&gt;"Serviço",AND(AUTOEVENTO="Manual",$M32=$A$15)),0,
         IF(OFFSET(CRONOPLE!$F$15,$M32-$A$15,BD$13)=0,10^12,OFFSET(CRONOPLE!$F$15,$M32-$A$15,BD$13)))</f>
        <v>1000000000000</v>
      </c>
      <c r="BE32" s="171">
        <f ca="1">IF(OR($D32&lt;&gt;"Serviço",AND(AUTOEVENTO="Manual",$M32=$A$15)),0,
         IF(OFFSET(CRONOPLE!$F$15,$M32-$A$15,BE$13)=0,10^12,OFFSET(CRONOPLE!$F$15,$M32-$A$15,BE$13)))</f>
        <v>1</v>
      </c>
      <c r="BF32" s="171">
        <f ca="1">IF(OR($D32&lt;&gt;"Serviço",AND(AUTOEVENTO="Manual",$M32=$A$15)),0,
         IF(OFFSET(CRONOPLE!$F$15,$M32-$A$15,BF$13)=0,10^12,OFFSET(CRONOPLE!$F$15,$M32-$A$15,BF$13)))</f>
        <v>1000000000000</v>
      </c>
      <c r="BG32" s="171">
        <f ca="1">IF(OR($D32&lt;&gt;"Serviço",AND(AUTOEVENTO="Manual",$M32=$A$15)),0,
         IF(OFFSET(CRONOPLE!$F$15,$M32-$A$15,BG$13)=0,10^12,OFFSET(CRONOPLE!$F$15,$M32-$A$15,BG$13)))</f>
        <v>1000000000000</v>
      </c>
      <c r="BH32" s="171">
        <f ca="1">IF(OR($D32&lt;&gt;"Serviço",AND(AUTOEVENTO="Manual",$M32=$A$15)),0,
         IF(OFFSET(CRONOPLE!$F$15,$M32-$A$15,BH$13)=0,10^12,OFFSET(CRONOPLE!$F$15,$M32-$A$15,BH$13)))</f>
        <v>1000000000000</v>
      </c>
      <c r="BI32" s="171">
        <f ca="1">IF(OR($D32&lt;&gt;"Serviço",AND(AUTOEVENTO="Manual",$M32=$A$15)),0,
         IF(OFFSET(CRONOPLE!$F$15,$M32-$A$15,BI$13)=0,10^12,OFFSET(CRONOPLE!$F$15,$M32-$A$15,BI$13)))</f>
        <v>1000000000000</v>
      </c>
      <c r="BJ32" s="171">
        <f ca="1">IF(OR($D32&lt;&gt;"Serviço",AND(AUTOEVENTO="Manual",$M32=$A$15)),0,
         IF(OFFSET(CRONOPLE!$F$15,$M32-$A$15,BJ$13)=0,10^12,OFFSET(CRONOPLE!$F$15,$M32-$A$15,BJ$13)))</f>
        <v>1000000000000</v>
      </c>
      <c r="BK32" s="171">
        <f ca="1">IF(OR($D32&lt;&gt;"Serviço",AND(AUTOEVENTO="Manual",$M32=$A$15)),0,
         IF(OFFSET(CRONOPLE!$F$15,$M32-$A$15,BK$13)=0,10^12,OFFSET(CRONOPLE!$F$15,$M32-$A$15,BK$13)))</f>
        <v>1000000000000</v>
      </c>
      <c r="BL32" s="171">
        <f ca="1">IF(OR($D32&lt;&gt;"Serviço",AND(AUTOEVENTO="Manual",$M32=$A$15)),0,
         IF(OFFSET(CRONOPLE!$F$15,$M32-$A$15,BL$13)=0,10^12,OFFSET(CRONOPLE!$F$15,$M32-$A$15,BL$13)))</f>
        <v>1000000000000</v>
      </c>
      <c r="BM32" s="171">
        <f ca="1">IF(OR($D32&lt;&gt;"Serviço",AND(AUTOEVENTO="Manual",$M32=$A$15)),0,
         IF(OFFSET(CRONOPLE!$F$15,$M32-$A$15,BM$13)=0,10^12,OFFSET(CRONOPLE!$F$15,$M32-$A$15,BM$13)))</f>
        <v>1000000000000</v>
      </c>
      <c r="BN32" s="171">
        <f ca="1">IF(OR($D32&lt;&gt;"Serviço",AND(AUTOEVENTO="Manual",$M32=$A$15)),0,
         IF(OFFSET(CRONOPLE!$F$15,$M32-$A$15,BN$13)=0,10^12,OFFSET(CRONOPLE!$F$15,$M32-$A$15,BN$13)))</f>
        <v>1000000000000</v>
      </c>
      <c r="BO32" s="171">
        <f ca="1">IF(OR($D32&lt;&gt;"Serviço",AND(AUTOEVENTO="Manual",$M32=$A$15)),0,
         IF(OFFSET(CRONOPLE!$F$15,$M32-$A$15,BO$13)=0,10^12,OFFSET(CRONOPLE!$F$15,$M32-$A$15,BO$13)))</f>
        <v>1000000000000</v>
      </c>
      <c r="BP32" s="171">
        <f ca="1">IF(OR($D32&lt;&gt;"Serviço",AND(AUTOEVENTO="Manual",$M32=$A$15)),0,
         IF(OFFSET(CRONOPLE!$F$15,$M32-$A$15,BP$13)=0,10^12,OFFSET(CRONOPLE!$F$15,$M32-$A$15,BP$13)))</f>
        <v>1000000000000</v>
      </c>
      <c r="BQ32" s="171">
        <f ca="1">IF(OR($D32&lt;&gt;"Serviço",AND(AUTOEVENTO="Manual",$M32=$A$15)),0,
         IF(OFFSET(CRONOPLE!$F$15,$M32-$A$15,BQ$13)=0,10^12,OFFSET(CRONOPLE!$F$15,$M32-$A$15,BQ$13)))</f>
        <v>1000000000000</v>
      </c>
      <c r="BR32" s="171">
        <f ca="1">IF(OR($D32&lt;&gt;"Serviço",AND(AUTOEVENTO="Manual",$M32=$A$15)),0,
         IF(OFFSET(CRONOPLE!$F$15,$M32-$A$15,BR$13)=0,10^12,OFFSET(CRONOPLE!$F$15,$M32-$A$15,BR$13)))</f>
        <v>1000000000000</v>
      </c>
      <c r="BS32" s="171">
        <f ca="1">IF(OR($D32&lt;&gt;"Serviço",AND(AUTOEVENTO="Manual",$M32=$A$15)),0,
         IF(OFFSET(CRONOPLE!$F$15,$M32-$A$15,BS$13)=0,10^12,OFFSET(CRONOPLE!$F$15,$M32-$A$15,BS$13)))</f>
        <v>1000000000000</v>
      </c>
      <c r="BT32" s="171">
        <f ca="1">IF(OR($D32&lt;&gt;"Serviço",AND(AUTOEVENTO="Manual",$M32=$A$15)),0,
         IF(OFFSET(CRONOPLE!$F$15,$M32-$A$15,BT$13)=0,10^12,OFFSET(CRONOPLE!$F$15,$M32-$A$15,BT$13)))</f>
        <v>1000000000000</v>
      </c>
      <c r="BV32" s="172">
        <f ca="1">IF(OR($D32&lt;&gt;"Serviço",AND(AUTOEVENTO="Manual",$M32=$A$15),$M32&gt;(ROW(PLE.lastrow)-ROW(PLE.firstrow))),0,
           IF(OFFSET(PLE!$G$15,$M32-$A$15,BV$13)="",10^12,OFFSET(PLE!$G$15,$M32-$A$15,BV$13)))</f>
        <v>1000000000000</v>
      </c>
      <c r="BW32" s="172">
        <f ca="1">IF(OR($D32&lt;&gt;"Serviço",AND(AUTOEVENTO="Manual",$M32=$A$15),$M32&gt;(ROW(PLE.lastrow)-ROW(PLE.firstrow))),0,
           IF(OFFSET(PLE!$G$15,$M32-$A$15,BW$13)="",10^12,OFFSET(PLE!$G$15,$M32-$A$15,BW$13)))</f>
        <v>1000000000000</v>
      </c>
      <c r="BX32" s="172">
        <f ca="1">IF(OR($D32&lt;&gt;"Serviço",AND(AUTOEVENTO="Manual",$M32=$A$15),$M32&gt;(ROW(PLE.lastrow)-ROW(PLE.firstrow))),0,
           IF(OFFSET(PLE!$G$15,$M32-$A$15,BX$13)="",10^12,OFFSET(PLE!$G$15,$M32-$A$15,BX$13)))</f>
        <v>1000000000000</v>
      </c>
      <c r="BY32" s="172">
        <f ca="1">IF(OR($D32&lt;&gt;"Serviço",AND(AUTOEVENTO="Manual",$M32=$A$15),$M32&gt;(ROW(PLE.lastrow)-ROW(PLE.firstrow))),0,
           IF(OFFSET(PLE!$G$15,$M32-$A$15,BY$13)="",10^12,OFFSET(PLE!$G$15,$M32-$A$15,BY$13)))</f>
        <v>1000000000000</v>
      </c>
      <c r="BZ32" s="172">
        <f ca="1">IF(OR($D32&lt;&gt;"Serviço",AND(AUTOEVENTO="Manual",$M32=$A$15),$M32&gt;(ROW(PLE.lastrow)-ROW(PLE.firstrow))),0,
           IF(OFFSET(PLE!$G$15,$M32-$A$15,BZ$13)="",10^12,OFFSET(PLE!$G$15,$M32-$A$15,BZ$13)))</f>
        <v>1000000000000</v>
      </c>
      <c r="CA32" s="172">
        <f ca="1">IF(OR($D32&lt;&gt;"Serviço",AND(AUTOEVENTO="Manual",$M32=$A$15),$M32&gt;(ROW(PLE.lastrow)-ROW(PLE.firstrow))),0,
           IF(OFFSET(PLE!$G$15,$M32-$A$15,CA$13)="",10^12,OFFSET(PLE!$G$15,$M32-$A$15,CA$13)))</f>
        <v>1000000000000</v>
      </c>
      <c r="CB32" s="172">
        <f ca="1">IF(OR($D32&lt;&gt;"Serviço",AND(AUTOEVENTO="Manual",$M32=$A$15),$M32&gt;(ROW(PLE.lastrow)-ROW(PLE.firstrow))),0,
           IF(OFFSET(PLE!$G$15,$M32-$A$15,CB$13)="",10^12,OFFSET(PLE!$G$15,$M32-$A$15,CB$13)))</f>
        <v>1000000000000</v>
      </c>
      <c r="CC32" s="172">
        <f ca="1">IF(OR($D32&lt;&gt;"Serviço",AND(AUTOEVENTO="Manual",$M32=$A$15),$M32&gt;(ROW(PLE.lastrow)-ROW(PLE.firstrow))),0,
           IF(OFFSET(PLE!$G$15,$M32-$A$15,CC$13)="",10^12,OFFSET(PLE!$G$15,$M32-$A$15,CC$13)))</f>
        <v>1000000000000</v>
      </c>
      <c r="CD32" s="172">
        <f ca="1">IF(OR($D32&lt;&gt;"Serviço",AND(AUTOEVENTO="Manual",$M32=$A$15),$M32&gt;(ROW(PLE.lastrow)-ROW(PLE.firstrow))),0,
           IF(OFFSET(PLE!$G$15,$M32-$A$15,CD$13)="",10^12,OFFSET(PLE!$G$15,$M32-$A$15,CD$13)))</f>
        <v>1000000000000</v>
      </c>
      <c r="CE32" s="172">
        <f ca="1">IF(OR($D32&lt;&gt;"Serviço",AND(AUTOEVENTO="Manual",$M32=$A$15),$M32&gt;(ROW(PLE.lastrow)-ROW(PLE.firstrow))),0,
           IF(OFFSET(PLE!$G$15,$M32-$A$15,CE$13)="",10^12,OFFSET(PLE!$G$15,$M32-$A$15,CE$13)))</f>
        <v>1000000000000</v>
      </c>
      <c r="CF32" s="172">
        <f ca="1">IF(OR($D32&lt;&gt;"Serviço",AND(AUTOEVENTO="Manual",$M32=$A$15),$M32&gt;(ROW(PLE.lastrow)-ROW(PLE.firstrow))),0,
           IF(OFFSET(PLE!$G$15,$M32-$A$15,CF$13)="",10^12,OFFSET(PLE!$G$15,$M32-$A$15,CF$13)))</f>
        <v>1000000000000</v>
      </c>
      <c r="CG32" s="172">
        <f ca="1">IF(OR($D32&lt;&gt;"Serviço",AND(AUTOEVENTO="Manual",$M32=$A$15),$M32&gt;(ROW(PLE.lastrow)-ROW(PLE.firstrow))),0,
           IF(OFFSET(PLE!$G$15,$M32-$A$15,CG$13)="",10^12,OFFSET(PLE!$G$15,$M32-$A$15,CG$13)))</f>
        <v>1000000000000</v>
      </c>
      <c r="CH32" s="172">
        <f ca="1">IF(OR($D32&lt;&gt;"Serviço",AND(AUTOEVENTO="Manual",$M32=$A$15),$M32&gt;(ROW(PLE.lastrow)-ROW(PLE.firstrow))),0,
           IF(OFFSET(PLE!$G$15,$M32-$A$15,CH$13)="",10^12,OFFSET(PLE!$G$15,$M32-$A$15,CH$13)))</f>
        <v>1000000000000</v>
      </c>
      <c r="CI32" s="172">
        <f ca="1">IF(OR($D32&lt;&gt;"Serviço",AND(AUTOEVENTO="Manual",$M32=$A$15),$M32&gt;(ROW(PLE.lastrow)-ROW(PLE.firstrow))),0,
           IF(OFFSET(PLE!$G$15,$M32-$A$15,CI$13)="",10^12,OFFSET(PLE!$G$15,$M32-$A$15,CI$13)))</f>
        <v>1000000000000</v>
      </c>
      <c r="CJ32" s="172">
        <f ca="1">IF(OR($D32&lt;&gt;"Serviço",AND(AUTOEVENTO="Manual",$M32=$A$15),$M32&gt;(ROW(PLE.lastrow)-ROW(PLE.firstrow))),0,
           IF(OFFSET(PLE!$G$15,$M32-$A$15,CJ$13)="",10^12,OFFSET(PLE!$G$15,$M32-$A$15,CJ$13)))</f>
        <v>1000000000000</v>
      </c>
      <c r="CK32" s="172">
        <f ca="1">IF(OR($D32&lt;&gt;"Serviço",AND(AUTOEVENTO="Manual",$M32=$A$15),$M32&gt;(ROW(PLE.lastrow)-ROW(PLE.firstrow))),0,
           IF(OFFSET(PLE!$G$15,$M32-$A$15,CK$13)="",10^12,OFFSET(PLE!$G$15,$M32-$A$15,CK$13)))</f>
        <v>1000000000000</v>
      </c>
      <c r="CL32" s="172">
        <f ca="1">IF(OR($D32&lt;&gt;"Serviço",AND(AUTOEVENTO="Manual",$M32=$A$15),$M32&gt;(ROW(PLE.lastrow)-ROW(PLE.firstrow))),0,
           IF(OFFSET(PLE!$G$15,$M32-$A$15,CL$13)="",10^12,OFFSET(PLE!$G$15,$M32-$A$15,CL$13)))</f>
        <v>1000000000000</v>
      </c>
      <c r="CM32" s="172">
        <f ca="1">IF(OR($D32&lt;&gt;"Serviço",AND(AUTOEVENTO="Manual",$M32=$A$15),$M32&gt;(ROW(PLE.lastrow)-ROW(PLE.firstrow))),0,
           IF(OFFSET(PLE!$G$15,$M32-$A$15,CM$13)="",10^12,OFFSET(PLE!$G$15,$M32-$A$15,CM$13)))</f>
        <v>1000000000000</v>
      </c>
    </row>
    <row r="33" spans="1:91" ht="13.2" x14ac:dyDescent="0.25">
      <c r="A33" s="7" t="str">
        <f t="shared" ca="1" si="11"/>
        <v>18.</v>
      </c>
      <c r="B33" s="7">
        <f ca="1">OFFSET(ORÇAMENTO!C$15,ROW(B33)-ROW(B$15),0)</f>
        <v>2</v>
      </c>
      <c r="C33" s="7" t="str">
        <f ca="1">OFFSET(ORÇAMENTO!L$15,ROW(C33)-ROW(C$15),0)</f>
        <v>F</v>
      </c>
      <c r="D33" s="116" t="str">
        <f ca="1">OFFSET(ORÇAMENTO!N$15,ROW(D33)-ROW(D$15),0)</f>
        <v>Nível 2</v>
      </c>
      <c r="E33" s="117" t="str">
        <f ca="1">OFFSET(ORÇAMENTO!O$15,ROW(E33)-ROW(E$15),0)</f>
        <v>1.4.</v>
      </c>
      <c r="F33" s="163" t="str">
        <f ca="1">OFFSET(ORÇAMENTO!R$15,ROW(F33)-ROW(F$15),0)</f>
        <v>CAMADA DE REPERFILAMENTO</v>
      </c>
      <c r="G33" s="164" t="str">
        <f ca="1">IF($D33&lt;&gt;"Serviço","",OFFSET(ORÇAMENTO!S$15,ROW(G33)-ROW(G$15),0))</f>
        <v/>
      </c>
      <c r="H33" s="122" cm="1">
        <f t="array" aca="1" ref="H33" ca="1">IF($D33&lt;&gt;"Serviço",0,IF(ACOMPANHAMENTO="BM",ROUND(OFFSET(ORÇAMENTO!AJ$15,ROW(H33)-ROW(H$15),0),15-13*ORÇAMENTO!$AF$7),SUMPRODUCT(($Q$1:$AI$1=1)*ROUND($Q33:$AI33,15-13*ORÇAMENTO!$AF$7))))</f>
        <v>0</v>
      </c>
      <c r="I33" s="468"/>
      <c r="J33" s="651" t="str" cm="1">
        <f t="array" aca="1" ref="J33" ca="1">IF(OR(B33&lt;&gt;"S",CÁLCULO.FrentesPreenchidas=0),"",IF(AND(ACOMPANHAMENTO="PLE",AUTOEVENTO="Manual",OR(H33&gt;0,ORÇAMENTO!AC33="QUANT."),OR(K33="",M33=0,N33="")),"►E",IF(AND(ACOMPANHAMENTO="PLE",ORÇAMENTO!AC33="QUANT."),"►Q",IF(AND(ACOMPANHAMENTO="PLE",H33&lt;&gt;SUMPRODUCT(($Q$1:$AI$1=1)*ROUND(Q33:AI33,15))),"►S",IF(AND(COUNTIF($P$11:$AI$11,"▼")=0,H33&gt;0,I33=""),"◄M","")))))</f>
        <v/>
      </c>
      <c r="K33" s="652"/>
      <c r="L33" s="165" t="s">
        <v>764</v>
      </c>
      <c r="M33" s="166" t="str">
        <f ca="1">IF($D33&lt;&gt;"Serviço","",
          IF(AUTOEVENTO="manual",$A33,
                IF(ISERROR(MATCH($A33,$A$15:OFFSET($A33,-1,0),0)),MAX($M$15:OFFSET(M33,-1,0))+1,
                      INDEX($M$15:OFFSET(M33,-1,0),MATCH($A33,$A$15:OFFSET($A33,-1,0),0)))))</f>
        <v/>
      </c>
      <c r="N33" s="167" t="str">
        <f ca="1">IF($D33&lt;&gt;"Serviço","",
         IF(AUTOEVENTO="Manual",
                IF($A33=0,"&lt;-- defina o número do agrupador",
                       OFFSET(EVENTOS!$D$15,$A33-$A$15,0)),
                OFFSET($F$15,$A33,0)))</f>
        <v/>
      </c>
      <c r="O33" s="168"/>
      <c r="Q33" s="168"/>
      <c r="R33" s="169"/>
      <c r="S33" s="169"/>
      <c r="T33" s="169"/>
      <c r="U33" s="169"/>
      <c r="V33" s="169"/>
      <c r="W33" s="169"/>
      <c r="X33" s="169"/>
      <c r="Y33" s="169"/>
      <c r="Z33" s="170"/>
      <c r="AA33" s="169"/>
      <c r="AB33" s="169"/>
      <c r="AC33" s="169"/>
      <c r="AD33" s="169"/>
      <c r="AE33" s="169"/>
      <c r="AF33" s="169"/>
      <c r="AG33" s="169"/>
      <c r="AH33" s="170"/>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L33" s="453">
        <f ca="1">IF(AND($D33="Serviço",AL$12&lt;&gt;0,$H33&gt;0,OR(AUTOEVENTO&lt;&gt;"manual",$M33&lt;&gt;$A$15)),
        IF(Import.TipoArredondamento&lt;&gt;"TransfereGOV",
              ROUND(OFFSET($P33,0,AL$13),15-13*ORÇAMENTO!$AF$7)/$H33*OFFSET(ORÇAMENTO!$X$15,ROW(AL33)-ROW(AL$15),0),
              ROUND(ROUND(OFFSET($P33,0,AL$13),15-13*ORÇAMENTO!$AF$7)*OFFSET(ORÇAMENTO!$W$15,ROW(AL33)-ROW(AL$15),0),15-13*ORÇAMENTO!$AF$11)),
         0)</f>
        <v>0</v>
      </c>
      <c r="AM33" s="453">
        <f ca="1">IF(AND($D33="Serviço",AM$12&lt;&gt;0,$H33&gt;0,OR(AUTOEVENTO&lt;&gt;"manual",$M33&lt;&gt;$A$15)),
        IF(Import.TipoArredondamento&lt;&gt;"TransfereGOV",
              ROUND(OFFSET($P33,0,AM$13),15-13*ORÇAMENTO!$AF$7)/$H33*OFFSET(ORÇAMENTO!$X$15,ROW(AM33)-ROW(AM$15),0),
              ROUND(ROUND(OFFSET($P33,0,AM$13),15-13*ORÇAMENTO!$AF$7)*OFFSET(ORÇAMENTO!$W$15,ROW(AM33)-ROW(AM$15),0),15-13*ORÇAMENTO!$AF$11)),
         0)</f>
        <v>0</v>
      </c>
      <c r="AN33" s="453">
        <f ca="1">IF(AND($D33="Serviço",AN$12&lt;&gt;0,$H33&gt;0,OR(AUTOEVENTO&lt;&gt;"manual",$M33&lt;&gt;$A$15)),
        IF(Import.TipoArredondamento&lt;&gt;"TransfereGOV",
              ROUND(OFFSET($P33,0,AN$13),15-13*ORÇAMENTO!$AF$7)/$H33*OFFSET(ORÇAMENTO!$X$15,ROW(AN33)-ROW(AN$15),0),
              ROUND(ROUND(OFFSET($P33,0,AN$13),15-13*ORÇAMENTO!$AF$7)*OFFSET(ORÇAMENTO!$W$15,ROW(AN33)-ROW(AN$15),0),15-13*ORÇAMENTO!$AF$11)),
         0)</f>
        <v>0</v>
      </c>
      <c r="AO33" s="453">
        <f ca="1">IF(AND($D33="Serviço",AO$12&lt;&gt;0,$H33&gt;0,OR(AUTOEVENTO&lt;&gt;"manual",$M33&lt;&gt;$A$15)),
        IF(Import.TipoArredondamento&lt;&gt;"TransfereGOV",
              ROUND(OFFSET($P33,0,AO$13),15-13*ORÇAMENTO!$AF$7)/$H33*OFFSET(ORÇAMENTO!$X$15,ROW(AO33)-ROW(AO$15),0),
              ROUND(ROUND(OFFSET($P33,0,AO$13),15-13*ORÇAMENTO!$AF$7)*OFFSET(ORÇAMENTO!$W$15,ROW(AO33)-ROW(AO$15),0),15-13*ORÇAMENTO!$AF$11)),
         0)</f>
        <v>0</v>
      </c>
      <c r="AP33" s="453">
        <f ca="1">IF(AND($D33="Serviço",AP$12&lt;&gt;0,$H33&gt;0,OR(AUTOEVENTO&lt;&gt;"manual",$M33&lt;&gt;$A$15)),
        IF(Import.TipoArredondamento&lt;&gt;"TransfereGOV",
              ROUND(OFFSET($P33,0,AP$13),15-13*ORÇAMENTO!$AF$7)/$H33*OFFSET(ORÇAMENTO!$X$15,ROW(AP33)-ROW(AP$15),0),
              ROUND(ROUND(OFFSET($P33,0,AP$13),15-13*ORÇAMENTO!$AF$7)*OFFSET(ORÇAMENTO!$W$15,ROW(AP33)-ROW(AP$15),0),15-13*ORÇAMENTO!$AF$11)),
         0)</f>
        <v>0</v>
      </c>
      <c r="AQ33" s="453">
        <f ca="1">IF(AND($D33="Serviço",AQ$12&lt;&gt;0,$H33&gt;0,OR(AUTOEVENTO&lt;&gt;"manual",$M33&lt;&gt;$A$15)),
        IF(Import.TipoArredondamento&lt;&gt;"TransfereGOV",
              ROUND(OFFSET($P33,0,AQ$13),15-13*ORÇAMENTO!$AF$7)/$H33*OFFSET(ORÇAMENTO!$X$15,ROW(AQ33)-ROW(AQ$15),0),
              ROUND(ROUND(OFFSET($P33,0,AQ$13),15-13*ORÇAMENTO!$AF$7)*OFFSET(ORÇAMENTO!$W$15,ROW(AQ33)-ROW(AQ$15),0),15-13*ORÇAMENTO!$AF$11)),
         0)</f>
        <v>0</v>
      </c>
      <c r="AR33" s="453">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0</v>
      </c>
      <c r="AS33" s="453">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0</v>
      </c>
      <c r="AT33" s="453">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0</v>
      </c>
      <c r="AU33" s="453">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0</v>
      </c>
      <c r="AV33" s="453">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0</v>
      </c>
      <c r="AW33" s="453">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0</v>
      </c>
      <c r="AX33" s="453">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0</v>
      </c>
      <c r="AY33" s="453">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0</v>
      </c>
      <c r="AZ33" s="453">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0</v>
      </c>
      <c r="BA33" s="453">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0</v>
      </c>
      <c r="BC33" s="171">
        <f ca="1">IF(OR($D33&lt;&gt;"Serviço",AND(AUTOEVENTO="Manual",$M33=$A$15)),0,
         IF(OFFSET(CRONOPLE!$F$15,$M33-$A$15,BC$13)=0,10^12,OFFSET(CRONOPLE!$F$15,$M33-$A$15,BC$13)))</f>
        <v>0</v>
      </c>
      <c r="BD33" s="171">
        <f ca="1">IF(OR($D33&lt;&gt;"Serviço",AND(AUTOEVENTO="Manual",$M33=$A$15)),0,
         IF(OFFSET(CRONOPLE!$F$15,$M33-$A$15,BD$13)=0,10^12,OFFSET(CRONOPLE!$F$15,$M33-$A$15,BD$13)))</f>
        <v>0</v>
      </c>
      <c r="BE33" s="171">
        <f ca="1">IF(OR($D33&lt;&gt;"Serviço",AND(AUTOEVENTO="Manual",$M33=$A$15)),0,
         IF(OFFSET(CRONOPLE!$F$15,$M33-$A$15,BE$13)=0,10^12,OFFSET(CRONOPLE!$F$15,$M33-$A$15,BE$13)))</f>
        <v>0</v>
      </c>
      <c r="BF33" s="171">
        <f ca="1">IF(OR($D33&lt;&gt;"Serviço",AND(AUTOEVENTO="Manual",$M33=$A$15)),0,
         IF(OFFSET(CRONOPLE!$F$15,$M33-$A$15,BF$13)=0,10^12,OFFSET(CRONOPLE!$F$15,$M33-$A$15,BF$13)))</f>
        <v>0</v>
      </c>
      <c r="BG33" s="171">
        <f ca="1">IF(OR($D33&lt;&gt;"Serviço",AND(AUTOEVENTO="Manual",$M33=$A$15)),0,
         IF(OFFSET(CRONOPLE!$F$15,$M33-$A$15,BG$13)=0,10^12,OFFSET(CRONOPLE!$F$15,$M33-$A$15,BG$13)))</f>
        <v>0</v>
      </c>
      <c r="BH33" s="171">
        <f ca="1">IF(OR($D33&lt;&gt;"Serviço",AND(AUTOEVENTO="Manual",$M33=$A$15)),0,
         IF(OFFSET(CRONOPLE!$F$15,$M33-$A$15,BH$13)=0,10^12,OFFSET(CRONOPLE!$F$15,$M33-$A$15,BH$13)))</f>
        <v>0</v>
      </c>
      <c r="BI33" s="171">
        <f ca="1">IF(OR($D33&lt;&gt;"Serviço",AND(AUTOEVENTO="Manual",$M33=$A$15)),0,
         IF(OFFSET(CRONOPLE!$F$15,$M33-$A$15,BI$13)=0,10^12,OFFSET(CRONOPLE!$F$15,$M33-$A$15,BI$13)))</f>
        <v>0</v>
      </c>
      <c r="BJ33" s="171">
        <f ca="1">IF(OR($D33&lt;&gt;"Serviço",AND(AUTOEVENTO="Manual",$M33=$A$15)),0,
         IF(OFFSET(CRONOPLE!$F$15,$M33-$A$15,BJ$13)=0,10^12,OFFSET(CRONOPLE!$F$15,$M33-$A$15,BJ$13)))</f>
        <v>0</v>
      </c>
      <c r="BK33" s="171">
        <f ca="1">IF(OR($D33&lt;&gt;"Serviço",AND(AUTOEVENTO="Manual",$M33=$A$15)),0,
         IF(OFFSET(CRONOPLE!$F$15,$M33-$A$15,BK$13)=0,10^12,OFFSET(CRONOPLE!$F$15,$M33-$A$15,BK$13)))</f>
        <v>0</v>
      </c>
      <c r="BL33" s="171">
        <f ca="1">IF(OR($D33&lt;&gt;"Serviço",AND(AUTOEVENTO="Manual",$M33=$A$15)),0,
         IF(OFFSET(CRONOPLE!$F$15,$M33-$A$15,BL$13)=0,10^12,OFFSET(CRONOPLE!$F$15,$M33-$A$15,BL$13)))</f>
        <v>0</v>
      </c>
      <c r="BM33" s="171">
        <f ca="1">IF(OR($D33&lt;&gt;"Serviço",AND(AUTOEVENTO="Manual",$M33=$A$15)),0,
         IF(OFFSET(CRONOPLE!$F$15,$M33-$A$15,BM$13)=0,10^12,OFFSET(CRONOPLE!$F$15,$M33-$A$15,BM$13)))</f>
        <v>0</v>
      </c>
      <c r="BN33" s="171">
        <f ca="1">IF(OR($D33&lt;&gt;"Serviço",AND(AUTOEVENTO="Manual",$M33=$A$15)),0,
         IF(OFFSET(CRONOPLE!$F$15,$M33-$A$15,BN$13)=0,10^12,OFFSET(CRONOPLE!$F$15,$M33-$A$15,BN$13)))</f>
        <v>0</v>
      </c>
      <c r="BO33" s="171">
        <f ca="1">IF(OR($D33&lt;&gt;"Serviço",AND(AUTOEVENTO="Manual",$M33=$A$15)),0,
         IF(OFFSET(CRONOPLE!$F$15,$M33-$A$15,BO$13)=0,10^12,OFFSET(CRONOPLE!$F$15,$M33-$A$15,BO$13)))</f>
        <v>0</v>
      </c>
      <c r="BP33" s="171">
        <f ca="1">IF(OR($D33&lt;&gt;"Serviço",AND(AUTOEVENTO="Manual",$M33=$A$15)),0,
         IF(OFFSET(CRONOPLE!$F$15,$M33-$A$15,BP$13)=0,10^12,OFFSET(CRONOPLE!$F$15,$M33-$A$15,BP$13)))</f>
        <v>0</v>
      </c>
      <c r="BQ33" s="171">
        <f ca="1">IF(OR($D33&lt;&gt;"Serviço",AND(AUTOEVENTO="Manual",$M33=$A$15)),0,
         IF(OFFSET(CRONOPLE!$F$15,$M33-$A$15,BQ$13)=0,10^12,OFFSET(CRONOPLE!$F$15,$M33-$A$15,BQ$13)))</f>
        <v>0</v>
      </c>
      <c r="BR33" s="171">
        <f ca="1">IF(OR($D33&lt;&gt;"Serviço",AND(AUTOEVENTO="Manual",$M33=$A$15)),0,
         IF(OFFSET(CRONOPLE!$F$15,$M33-$A$15,BR$13)=0,10^12,OFFSET(CRONOPLE!$F$15,$M33-$A$15,BR$13)))</f>
        <v>0</v>
      </c>
      <c r="BS33" s="171">
        <f ca="1">IF(OR($D33&lt;&gt;"Serviço",AND(AUTOEVENTO="Manual",$M33=$A$15)),0,
         IF(OFFSET(CRONOPLE!$F$15,$M33-$A$15,BS$13)=0,10^12,OFFSET(CRONOPLE!$F$15,$M33-$A$15,BS$13)))</f>
        <v>0</v>
      </c>
      <c r="BT33" s="171">
        <f ca="1">IF(OR($D33&lt;&gt;"Serviço",AND(AUTOEVENTO="Manual",$M33=$A$15)),0,
         IF(OFFSET(CRONOPLE!$F$15,$M33-$A$15,BT$13)=0,10^12,OFFSET(CRONOPLE!$F$15,$M33-$A$15,BT$13)))</f>
        <v>0</v>
      </c>
      <c r="BV33" s="172">
        <f ca="1">IF(OR($D33&lt;&gt;"Serviço",AND(AUTOEVENTO="Manual",$M33=$A$15),$M33&gt;(ROW(PLE.lastrow)-ROW(PLE.firstrow))),0,
           IF(OFFSET(PLE!$G$15,$M33-$A$15,BV$13)="",10^12,OFFSET(PLE!$G$15,$M33-$A$15,BV$13)))</f>
        <v>0</v>
      </c>
      <c r="BW33" s="172">
        <f ca="1">IF(OR($D33&lt;&gt;"Serviço",AND(AUTOEVENTO="Manual",$M33=$A$15),$M33&gt;(ROW(PLE.lastrow)-ROW(PLE.firstrow))),0,
           IF(OFFSET(PLE!$G$15,$M33-$A$15,BW$13)="",10^12,OFFSET(PLE!$G$15,$M33-$A$15,BW$13)))</f>
        <v>0</v>
      </c>
      <c r="BX33" s="172">
        <f ca="1">IF(OR($D33&lt;&gt;"Serviço",AND(AUTOEVENTO="Manual",$M33=$A$15),$M33&gt;(ROW(PLE.lastrow)-ROW(PLE.firstrow))),0,
           IF(OFFSET(PLE!$G$15,$M33-$A$15,BX$13)="",10^12,OFFSET(PLE!$G$15,$M33-$A$15,BX$13)))</f>
        <v>0</v>
      </c>
      <c r="BY33" s="172">
        <f ca="1">IF(OR($D33&lt;&gt;"Serviço",AND(AUTOEVENTO="Manual",$M33=$A$15),$M33&gt;(ROW(PLE.lastrow)-ROW(PLE.firstrow))),0,
           IF(OFFSET(PLE!$G$15,$M33-$A$15,BY$13)="",10^12,OFFSET(PLE!$G$15,$M33-$A$15,BY$13)))</f>
        <v>0</v>
      </c>
      <c r="BZ33" s="172">
        <f ca="1">IF(OR($D33&lt;&gt;"Serviço",AND(AUTOEVENTO="Manual",$M33=$A$15),$M33&gt;(ROW(PLE.lastrow)-ROW(PLE.firstrow))),0,
           IF(OFFSET(PLE!$G$15,$M33-$A$15,BZ$13)="",10^12,OFFSET(PLE!$G$15,$M33-$A$15,BZ$13)))</f>
        <v>0</v>
      </c>
      <c r="CA33" s="172">
        <f ca="1">IF(OR($D33&lt;&gt;"Serviço",AND(AUTOEVENTO="Manual",$M33=$A$15),$M33&gt;(ROW(PLE.lastrow)-ROW(PLE.firstrow))),0,
           IF(OFFSET(PLE!$G$15,$M33-$A$15,CA$13)="",10^12,OFFSET(PLE!$G$15,$M33-$A$15,CA$13)))</f>
        <v>0</v>
      </c>
      <c r="CB33" s="172">
        <f ca="1">IF(OR($D33&lt;&gt;"Serviço",AND(AUTOEVENTO="Manual",$M33=$A$15),$M33&gt;(ROW(PLE.lastrow)-ROW(PLE.firstrow))),0,
           IF(OFFSET(PLE!$G$15,$M33-$A$15,CB$13)="",10^12,OFFSET(PLE!$G$15,$M33-$A$15,CB$13)))</f>
        <v>0</v>
      </c>
      <c r="CC33" s="172">
        <f ca="1">IF(OR($D33&lt;&gt;"Serviço",AND(AUTOEVENTO="Manual",$M33=$A$15),$M33&gt;(ROW(PLE.lastrow)-ROW(PLE.firstrow))),0,
           IF(OFFSET(PLE!$G$15,$M33-$A$15,CC$13)="",10^12,OFFSET(PLE!$G$15,$M33-$A$15,CC$13)))</f>
        <v>0</v>
      </c>
      <c r="CD33" s="172">
        <f ca="1">IF(OR($D33&lt;&gt;"Serviço",AND(AUTOEVENTO="Manual",$M33=$A$15),$M33&gt;(ROW(PLE.lastrow)-ROW(PLE.firstrow))),0,
           IF(OFFSET(PLE!$G$15,$M33-$A$15,CD$13)="",10^12,OFFSET(PLE!$G$15,$M33-$A$15,CD$13)))</f>
        <v>0</v>
      </c>
      <c r="CE33" s="172">
        <f ca="1">IF(OR($D33&lt;&gt;"Serviço",AND(AUTOEVENTO="Manual",$M33=$A$15),$M33&gt;(ROW(PLE.lastrow)-ROW(PLE.firstrow))),0,
           IF(OFFSET(PLE!$G$15,$M33-$A$15,CE$13)="",10^12,OFFSET(PLE!$G$15,$M33-$A$15,CE$13)))</f>
        <v>0</v>
      </c>
      <c r="CF33" s="172">
        <f ca="1">IF(OR($D33&lt;&gt;"Serviço",AND(AUTOEVENTO="Manual",$M33=$A$15),$M33&gt;(ROW(PLE.lastrow)-ROW(PLE.firstrow))),0,
           IF(OFFSET(PLE!$G$15,$M33-$A$15,CF$13)="",10^12,OFFSET(PLE!$G$15,$M33-$A$15,CF$13)))</f>
        <v>0</v>
      </c>
      <c r="CG33" s="172">
        <f ca="1">IF(OR($D33&lt;&gt;"Serviço",AND(AUTOEVENTO="Manual",$M33=$A$15),$M33&gt;(ROW(PLE.lastrow)-ROW(PLE.firstrow))),0,
           IF(OFFSET(PLE!$G$15,$M33-$A$15,CG$13)="",10^12,OFFSET(PLE!$G$15,$M33-$A$15,CG$13)))</f>
        <v>0</v>
      </c>
      <c r="CH33" s="172">
        <f ca="1">IF(OR($D33&lt;&gt;"Serviço",AND(AUTOEVENTO="Manual",$M33=$A$15),$M33&gt;(ROW(PLE.lastrow)-ROW(PLE.firstrow))),0,
           IF(OFFSET(PLE!$G$15,$M33-$A$15,CH$13)="",10^12,OFFSET(PLE!$G$15,$M33-$A$15,CH$13)))</f>
        <v>0</v>
      </c>
      <c r="CI33" s="172">
        <f ca="1">IF(OR($D33&lt;&gt;"Serviço",AND(AUTOEVENTO="Manual",$M33=$A$15),$M33&gt;(ROW(PLE.lastrow)-ROW(PLE.firstrow))),0,
           IF(OFFSET(PLE!$G$15,$M33-$A$15,CI$13)="",10^12,OFFSET(PLE!$G$15,$M33-$A$15,CI$13)))</f>
        <v>0</v>
      </c>
      <c r="CJ33" s="172">
        <f ca="1">IF(OR($D33&lt;&gt;"Serviço",AND(AUTOEVENTO="Manual",$M33=$A$15),$M33&gt;(ROW(PLE.lastrow)-ROW(PLE.firstrow))),0,
           IF(OFFSET(PLE!$G$15,$M33-$A$15,CJ$13)="",10^12,OFFSET(PLE!$G$15,$M33-$A$15,CJ$13)))</f>
        <v>0</v>
      </c>
      <c r="CK33" s="172">
        <f ca="1">IF(OR($D33&lt;&gt;"Serviço",AND(AUTOEVENTO="Manual",$M33=$A$15),$M33&gt;(ROW(PLE.lastrow)-ROW(PLE.firstrow))),0,
           IF(OFFSET(PLE!$G$15,$M33-$A$15,CK$13)="",10^12,OFFSET(PLE!$G$15,$M33-$A$15,CK$13)))</f>
        <v>0</v>
      </c>
      <c r="CL33" s="172">
        <f ca="1">IF(OR($D33&lt;&gt;"Serviço",AND(AUTOEVENTO="Manual",$M33=$A$15),$M33&gt;(ROW(PLE.lastrow)-ROW(PLE.firstrow))),0,
           IF(OFFSET(PLE!$G$15,$M33-$A$15,CL$13)="",10^12,OFFSET(PLE!$G$15,$M33-$A$15,CL$13)))</f>
        <v>0</v>
      </c>
      <c r="CM33" s="172">
        <f ca="1">IF(OR($D33&lt;&gt;"Serviço",AND(AUTOEVENTO="Manual",$M33=$A$15),$M33&gt;(ROW(PLE.lastrow)-ROW(PLE.firstrow))),0,
           IF(OFFSET(PLE!$G$15,$M33-$A$15,CM$13)="",10^12,OFFSET(PLE!$G$15,$M33-$A$15,CM$13)))</f>
        <v>0</v>
      </c>
    </row>
    <row r="34" spans="1:91" ht="13.2" x14ac:dyDescent="0.25">
      <c r="A34" s="7" t="str">
        <f t="shared" ca="1" si="11"/>
        <v>18</v>
      </c>
      <c r="B34" s="7" t="str">
        <f ca="1">OFFSET(ORÇAMENTO!C$15,ROW(B34)-ROW(B$15),0)</f>
        <v>S</v>
      </c>
      <c r="C34" s="7" t="str">
        <f ca="1">OFFSET(ORÇAMENTO!L$15,ROW(C34)-ROW(C$15),0)</f>
        <v>F</v>
      </c>
      <c r="D34" s="116" t="str">
        <f ca="1">OFFSET(ORÇAMENTO!N$15,ROW(D34)-ROW(D$15),0)</f>
        <v>Serviço</v>
      </c>
      <c r="E34" s="117" t="str">
        <f ca="1">OFFSET(ORÇAMENTO!O$15,ROW(E34)-ROW(E$15),0)</f>
        <v>1.4.1.</v>
      </c>
      <c r="F34" s="163" t="str">
        <f ca="1">OFFSET(ORÇAMENTO!R$15,ROW(F34)-ROW(F$15),0)</f>
        <v>Pintura de ligação</v>
      </c>
      <c r="G34" s="164" t="str">
        <f ca="1">IF($D34&lt;&gt;"Serviço","",OFFSET(ORÇAMENTO!S$15,ROW(G34)-ROW(G$15),0))</f>
        <v>m²</v>
      </c>
      <c r="H34" s="122" cm="1">
        <f t="array" aca="1" ref="H34" ca="1">IF($D34&lt;&gt;"Serviço",0,IF(ACOMPANHAMENTO="BM",ROUND(OFFSET(ORÇAMENTO!AJ$15,ROW(H34)-ROW(H$15),0),15-13*ORÇAMENTO!$AF$7),SUMPRODUCT(($Q$1:$AI$1=1)*ROUND($Q34:$AI34,15-13*ORÇAMENTO!$AF$7))))</f>
        <v>5171.87</v>
      </c>
      <c r="I34" s="468"/>
      <c r="J34" s="651" t="e" cm="1">
        <f t="array" aca="1" ref="J34" ca="1">IF(OR(B34&lt;&gt;"S",CÁLCULO.FrentesPreenchidas=0),"",IF(AND(ACOMPANHAMENTO="PLE",AUTOEVENTO="Manual",OR(H34&gt;0,ORÇAMENTO!AC34="QUANT."),OR(K34="",M34=0,N34="")),"►E",IF(AND(ACOMPANHAMENTO="PLE",ORÇAMENTO!AC34="QUANT."),"►Q",IF(AND(ACOMPANHAMENTO="PLE",H34&lt;&gt;SUMPRODUCT(($Q$1:$AI$1=1)*ROUND(Q34:AI34,15))),"►S",IF(AND(COUNTIF($P$11:$AI$11,"▼")=0,H34&gt;0,I34=""),"◄M","")))))</f>
        <v>#NAME?</v>
      </c>
      <c r="K34" s="652"/>
      <c r="L34" s="165" t="s">
        <v>764</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CAMADA DE REPERFILAMENTO</v>
      </c>
      <c r="O34" s="168"/>
      <c r="Q34" s="168"/>
      <c r="R34" s="169"/>
      <c r="S34" s="169">
        <v>5171.87</v>
      </c>
      <c r="T34" s="169"/>
      <c r="U34" s="169"/>
      <c r="V34" s="169"/>
      <c r="W34" s="169"/>
      <c r="X34" s="169"/>
      <c r="Y34" s="169"/>
      <c r="Z34" s="170"/>
      <c r="AA34" s="169"/>
      <c r="AB34" s="169"/>
      <c r="AC34" s="169"/>
      <c r="AD34" s="169"/>
      <c r="AE34" s="169"/>
      <c r="AF34" s="169"/>
      <c r="AG34" s="169"/>
      <c r="AH34" s="170"/>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L34" s="453">
        <f ca="1">IF(AND($D34="Serviço",AL$12&lt;&gt;0,$H34&gt;0,OR(AUTOEVENTO&lt;&gt;"manual",$M34&lt;&gt;$A$15)),
        IF(Import.TipoArredondamento&lt;&gt;"TransfereGOV",
              ROUND(OFFSET($P34,0,AL$13),15-13*ORÇAMENTO!$AF$7)/$H34*OFFSET(ORÇAMENTO!$X$15,ROW(AL34)-ROW(AL$15),0),
              ROUND(ROUND(OFFSET($P34,0,AL$13),15-13*ORÇAMENTO!$AF$7)*OFFSET(ORÇAMENTO!$W$15,ROW(AL34)-ROW(AL$15),0),15-13*ORÇAMENTO!$AF$11)),
         0)</f>
        <v>2947.97</v>
      </c>
      <c r="AM34" s="453">
        <f ca="1">IF(AND($D34="Serviço",AM$12&lt;&gt;0,$H34&gt;0,OR(AUTOEVENTO&lt;&gt;"manual",$M34&lt;&gt;$A$15)),
        IF(Import.TipoArredondamento&lt;&gt;"TransfereGOV",
              ROUND(OFFSET($P34,0,AM$13),15-13*ORÇAMENTO!$AF$7)/$H34*OFFSET(ORÇAMENTO!$X$15,ROW(AM34)-ROW(AM$15),0),
              ROUND(ROUND(OFFSET($P34,0,AM$13),15-13*ORÇAMENTO!$AF$7)*OFFSET(ORÇAMENTO!$W$15,ROW(AM34)-ROW(AM$15),0),15-13*ORÇAMENTO!$AF$11)),
         0)</f>
        <v>0</v>
      </c>
      <c r="AN34" s="453">
        <f ca="1">IF(AND($D34="Serviço",AN$12&lt;&gt;0,$H34&gt;0,OR(AUTOEVENTO&lt;&gt;"manual",$M34&lt;&gt;$A$15)),
        IF(Import.TipoArredondamento&lt;&gt;"TransfereGOV",
              ROUND(OFFSET($P34,0,AN$13),15-13*ORÇAMENTO!$AF$7)/$H34*OFFSET(ORÇAMENTO!$X$15,ROW(AN34)-ROW(AN$15),0),
              ROUND(ROUND(OFFSET($P34,0,AN$13),15-13*ORÇAMENTO!$AF$7)*OFFSET(ORÇAMENTO!$W$15,ROW(AN34)-ROW(AN$15),0),15-13*ORÇAMENTO!$AF$11)),
         0)</f>
        <v>0</v>
      </c>
      <c r="AO34" s="453">
        <f ca="1">IF(AND($D34="Serviço",AO$12&lt;&gt;0,$H34&gt;0,OR(AUTOEVENTO&lt;&gt;"manual",$M34&lt;&gt;$A$15)),
        IF(Import.TipoArredondamento&lt;&gt;"TransfereGOV",
              ROUND(OFFSET($P34,0,AO$13),15-13*ORÇAMENTO!$AF$7)/$H34*OFFSET(ORÇAMENTO!$X$15,ROW(AO34)-ROW(AO$15),0),
              ROUND(ROUND(OFFSET($P34,0,AO$13),15-13*ORÇAMENTO!$AF$7)*OFFSET(ORÇAMENTO!$W$15,ROW(AO34)-ROW(AO$15),0),15-13*ORÇAMENTO!$AF$11)),
         0)</f>
        <v>0</v>
      </c>
      <c r="AP34" s="453">
        <f ca="1">IF(AND($D34="Serviço",AP$12&lt;&gt;0,$H34&gt;0,OR(AUTOEVENTO&lt;&gt;"manual",$M34&lt;&gt;$A$15)),
        IF(Import.TipoArredondamento&lt;&gt;"TransfereGOV",
              ROUND(OFFSET($P34,0,AP$13),15-13*ORÇAMENTO!$AF$7)/$H34*OFFSET(ORÇAMENTO!$X$15,ROW(AP34)-ROW(AP$15),0),
              ROUND(ROUND(OFFSET($P34,0,AP$13),15-13*ORÇAMENTO!$AF$7)*OFFSET(ORÇAMENTO!$W$15,ROW(AP34)-ROW(AP$15),0),15-13*ORÇAMENTO!$AF$11)),
         0)</f>
        <v>0</v>
      </c>
      <c r="AQ34" s="453">
        <f ca="1">IF(AND($D34="Serviço",AQ$12&lt;&gt;0,$H34&gt;0,OR(AUTOEVENTO&lt;&gt;"manual",$M34&lt;&gt;$A$15)),
        IF(Import.TipoArredondamento&lt;&gt;"TransfereGOV",
              ROUND(OFFSET($P34,0,AQ$13),15-13*ORÇAMENTO!$AF$7)/$H34*OFFSET(ORÇAMENTO!$X$15,ROW(AQ34)-ROW(AQ$15),0),
              ROUND(ROUND(OFFSET($P34,0,AQ$13),15-13*ORÇAMENTO!$AF$7)*OFFSET(ORÇAMENTO!$W$15,ROW(AQ34)-ROW(AQ$15),0),15-13*ORÇAMENTO!$AF$11)),
         0)</f>
        <v>0</v>
      </c>
      <c r="AR34" s="453">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0</v>
      </c>
      <c r="AS34" s="453">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0</v>
      </c>
      <c r="AT34" s="453">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0</v>
      </c>
      <c r="AU34" s="453">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0</v>
      </c>
      <c r="AV34" s="453">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0</v>
      </c>
      <c r="AW34" s="453">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0</v>
      </c>
      <c r="AX34" s="453">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0</v>
      </c>
      <c r="AY34" s="453">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0</v>
      </c>
      <c r="AZ34" s="453">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0</v>
      </c>
      <c r="BA34" s="453">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0</v>
      </c>
      <c r="BC34" s="171">
        <f ca="1">IF(OR($D34&lt;&gt;"Serviço",AND(AUTOEVENTO="Manual",$M34=$A$15)),0,
         IF(OFFSET(CRONOPLE!$F$15,$M34-$A$15,BC$13)=0,10^12,OFFSET(CRONOPLE!$F$15,$M34-$A$15,BC$13)))</f>
        <v>1000000000000</v>
      </c>
      <c r="BD34" s="171">
        <f ca="1">IF(OR($D34&lt;&gt;"Serviço",AND(AUTOEVENTO="Manual",$M34=$A$15)),0,
         IF(OFFSET(CRONOPLE!$F$15,$M34-$A$15,BD$13)=0,10^12,OFFSET(CRONOPLE!$F$15,$M34-$A$15,BD$13)))</f>
        <v>1000000000000</v>
      </c>
      <c r="BE34" s="171">
        <f ca="1">IF(OR($D34&lt;&gt;"Serviço",AND(AUTOEVENTO="Manual",$M34=$A$15)),0,
         IF(OFFSET(CRONOPLE!$F$15,$M34-$A$15,BE$13)=0,10^12,OFFSET(CRONOPLE!$F$15,$M34-$A$15,BE$13)))</f>
        <v>1</v>
      </c>
      <c r="BF34" s="171">
        <f ca="1">IF(OR($D34&lt;&gt;"Serviço",AND(AUTOEVENTO="Manual",$M34=$A$15)),0,
         IF(OFFSET(CRONOPLE!$F$15,$M34-$A$15,BF$13)=0,10^12,OFFSET(CRONOPLE!$F$15,$M34-$A$15,BF$13)))</f>
        <v>3</v>
      </c>
      <c r="BG34" s="171">
        <f ca="1">IF(OR($D34&lt;&gt;"Serviço",AND(AUTOEVENTO="Manual",$M34=$A$15)),0,
         IF(OFFSET(CRONOPLE!$F$15,$M34-$A$15,BG$13)=0,10^12,OFFSET(CRONOPLE!$F$15,$M34-$A$15,BG$13)))</f>
        <v>3</v>
      </c>
      <c r="BH34" s="171">
        <f ca="1">IF(OR($D34&lt;&gt;"Serviço",AND(AUTOEVENTO="Manual",$M34=$A$15)),0,
         IF(OFFSET(CRONOPLE!$F$15,$M34-$A$15,BH$13)=0,10^12,OFFSET(CRONOPLE!$F$15,$M34-$A$15,BH$13)))</f>
        <v>3</v>
      </c>
      <c r="BI34" s="171">
        <f ca="1">IF(OR($D34&lt;&gt;"Serviço",AND(AUTOEVENTO="Manual",$M34=$A$15)),0,
         IF(OFFSET(CRONOPLE!$F$15,$M34-$A$15,BI$13)=0,10^12,OFFSET(CRONOPLE!$F$15,$M34-$A$15,BI$13)))</f>
        <v>2</v>
      </c>
      <c r="BJ34" s="171">
        <f ca="1">IF(OR($D34&lt;&gt;"Serviço",AND(AUTOEVENTO="Manual",$M34=$A$15)),0,
         IF(OFFSET(CRONOPLE!$F$15,$M34-$A$15,BJ$13)=0,10^12,OFFSET(CRONOPLE!$F$15,$M34-$A$15,BJ$13)))</f>
        <v>2</v>
      </c>
      <c r="BK34" s="171">
        <f ca="1">IF(OR($D34&lt;&gt;"Serviço",AND(AUTOEVENTO="Manual",$M34=$A$15)),0,
         IF(OFFSET(CRONOPLE!$F$15,$M34-$A$15,BK$13)=0,10^12,OFFSET(CRONOPLE!$F$15,$M34-$A$15,BK$13)))</f>
        <v>2</v>
      </c>
      <c r="BL34" s="171">
        <f ca="1">IF(OR($D34&lt;&gt;"Serviço",AND(AUTOEVENTO="Manual",$M34=$A$15)),0,
         IF(OFFSET(CRONOPLE!$F$15,$M34-$A$15,BL$13)=0,10^12,OFFSET(CRONOPLE!$F$15,$M34-$A$15,BL$13)))</f>
        <v>1</v>
      </c>
      <c r="BM34" s="171">
        <f ca="1">IF(OR($D34&lt;&gt;"Serviço",AND(AUTOEVENTO="Manual",$M34=$A$15)),0,
         IF(OFFSET(CRONOPLE!$F$15,$M34-$A$15,BM$13)=0,10^12,OFFSET(CRONOPLE!$F$15,$M34-$A$15,BM$13)))</f>
        <v>1</v>
      </c>
      <c r="BN34" s="171">
        <f ca="1">IF(OR($D34&lt;&gt;"Serviço",AND(AUTOEVENTO="Manual",$M34=$A$15)),0,
         IF(OFFSET(CRONOPLE!$F$15,$M34-$A$15,BN$13)=0,10^12,OFFSET(CRONOPLE!$F$15,$M34-$A$15,BN$13)))</f>
        <v>1000000000000</v>
      </c>
      <c r="BO34" s="171">
        <f ca="1">IF(OR($D34&lt;&gt;"Serviço",AND(AUTOEVENTO="Manual",$M34=$A$15)),0,
         IF(OFFSET(CRONOPLE!$F$15,$M34-$A$15,BO$13)=0,10^12,OFFSET(CRONOPLE!$F$15,$M34-$A$15,BO$13)))</f>
        <v>1000000000000</v>
      </c>
      <c r="BP34" s="171">
        <f ca="1">IF(OR($D34&lt;&gt;"Serviço",AND(AUTOEVENTO="Manual",$M34=$A$15)),0,
         IF(OFFSET(CRONOPLE!$F$15,$M34-$A$15,BP$13)=0,10^12,OFFSET(CRONOPLE!$F$15,$M34-$A$15,BP$13)))</f>
        <v>1000000000000</v>
      </c>
      <c r="BQ34" s="171">
        <f ca="1">IF(OR($D34&lt;&gt;"Serviço",AND(AUTOEVENTO="Manual",$M34=$A$15)),0,
         IF(OFFSET(CRONOPLE!$F$15,$M34-$A$15,BQ$13)=0,10^12,OFFSET(CRONOPLE!$F$15,$M34-$A$15,BQ$13)))</f>
        <v>1000000000000</v>
      </c>
      <c r="BR34" s="171">
        <f ca="1">IF(OR($D34&lt;&gt;"Serviço",AND(AUTOEVENTO="Manual",$M34=$A$15)),0,
         IF(OFFSET(CRONOPLE!$F$15,$M34-$A$15,BR$13)=0,10^12,OFFSET(CRONOPLE!$F$15,$M34-$A$15,BR$13)))</f>
        <v>1000000000000</v>
      </c>
      <c r="BS34" s="171">
        <f ca="1">IF(OR($D34&lt;&gt;"Serviço",AND(AUTOEVENTO="Manual",$M34=$A$15)),0,
         IF(OFFSET(CRONOPLE!$F$15,$M34-$A$15,BS$13)=0,10^12,OFFSET(CRONOPLE!$F$15,$M34-$A$15,BS$13)))</f>
        <v>1000000000000</v>
      </c>
      <c r="BT34" s="171">
        <f ca="1">IF(OR($D34&lt;&gt;"Serviço",AND(AUTOEVENTO="Manual",$M34=$A$15)),0,
         IF(OFFSET(CRONOPLE!$F$15,$M34-$A$15,BT$13)=0,10^12,OFFSET(CRONOPLE!$F$15,$M34-$A$15,BT$13)))</f>
        <v>1000000000000</v>
      </c>
      <c r="BV34" s="172">
        <f ca="1">IF(OR($D34&lt;&gt;"Serviço",AND(AUTOEVENTO="Manual",$M34=$A$15),$M34&gt;(ROW(PLE.lastrow)-ROW(PLE.firstrow))),0,
           IF(OFFSET(PLE!$G$15,$M34-$A$15,BV$13)="",10^12,OFFSET(PLE!$G$15,$M34-$A$15,BV$13)))</f>
        <v>1000000000000</v>
      </c>
      <c r="BW34" s="172">
        <f ca="1">IF(OR($D34&lt;&gt;"Serviço",AND(AUTOEVENTO="Manual",$M34=$A$15),$M34&gt;(ROW(PLE.lastrow)-ROW(PLE.firstrow))),0,
           IF(OFFSET(PLE!$G$15,$M34-$A$15,BW$13)="",10^12,OFFSET(PLE!$G$15,$M34-$A$15,BW$13)))</f>
        <v>1000000000000</v>
      </c>
      <c r="BX34" s="172">
        <f ca="1">IF(OR($D34&lt;&gt;"Serviço",AND(AUTOEVENTO="Manual",$M34=$A$15),$M34&gt;(ROW(PLE.lastrow)-ROW(PLE.firstrow))),0,
           IF(OFFSET(PLE!$G$15,$M34-$A$15,BX$13)="",10^12,OFFSET(PLE!$G$15,$M34-$A$15,BX$13)))</f>
        <v>1000000000000</v>
      </c>
      <c r="BY34" s="172">
        <f ca="1">IF(OR($D34&lt;&gt;"Serviço",AND(AUTOEVENTO="Manual",$M34=$A$15),$M34&gt;(ROW(PLE.lastrow)-ROW(PLE.firstrow))),0,
           IF(OFFSET(PLE!$G$15,$M34-$A$15,BY$13)="",10^12,OFFSET(PLE!$G$15,$M34-$A$15,BY$13)))</f>
        <v>1000000000000</v>
      </c>
      <c r="BZ34" s="172">
        <f ca="1">IF(OR($D34&lt;&gt;"Serviço",AND(AUTOEVENTO="Manual",$M34=$A$15),$M34&gt;(ROW(PLE.lastrow)-ROW(PLE.firstrow))),0,
           IF(OFFSET(PLE!$G$15,$M34-$A$15,BZ$13)="",10^12,OFFSET(PLE!$G$15,$M34-$A$15,BZ$13)))</f>
        <v>1000000000000</v>
      </c>
      <c r="CA34" s="172">
        <f ca="1">IF(OR($D34&lt;&gt;"Serviço",AND(AUTOEVENTO="Manual",$M34=$A$15),$M34&gt;(ROW(PLE.lastrow)-ROW(PLE.firstrow))),0,
           IF(OFFSET(PLE!$G$15,$M34-$A$15,CA$13)="",10^12,OFFSET(PLE!$G$15,$M34-$A$15,CA$13)))</f>
        <v>1000000000000</v>
      </c>
      <c r="CB34" s="172">
        <f ca="1">IF(OR($D34&lt;&gt;"Serviço",AND(AUTOEVENTO="Manual",$M34=$A$15),$M34&gt;(ROW(PLE.lastrow)-ROW(PLE.firstrow))),0,
           IF(OFFSET(PLE!$G$15,$M34-$A$15,CB$13)="",10^12,OFFSET(PLE!$G$15,$M34-$A$15,CB$13)))</f>
        <v>1000000000000</v>
      </c>
      <c r="CC34" s="172">
        <f ca="1">IF(OR($D34&lt;&gt;"Serviço",AND(AUTOEVENTO="Manual",$M34=$A$15),$M34&gt;(ROW(PLE.lastrow)-ROW(PLE.firstrow))),0,
           IF(OFFSET(PLE!$G$15,$M34-$A$15,CC$13)="",10^12,OFFSET(PLE!$G$15,$M34-$A$15,CC$13)))</f>
        <v>1000000000000</v>
      </c>
      <c r="CD34" s="172">
        <f ca="1">IF(OR($D34&lt;&gt;"Serviço",AND(AUTOEVENTO="Manual",$M34=$A$15),$M34&gt;(ROW(PLE.lastrow)-ROW(PLE.firstrow))),0,
           IF(OFFSET(PLE!$G$15,$M34-$A$15,CD$13)="",10^12,OFFSET(PLE!$G$15,$M34-$A$15,CD$13)))</f>
        <v>1000000000000</v>
      </c>
      <c r="CE34" s="172">
        <f ca="1">IF(OR($D34&lt;&gt;"Serviço",AND(AUTOEVENTO="Manual",$M34=$A$15),$M34&gt;(ROW(PLE.lastrow)-ROW(PLE.firstrow))),0,
           IF(OFFSET(PLE!$G$15,$M34-$A$15,CE$13)="",10^12,OFFSET(PLE!$G$15,$M34-$A$15,CE$13)))</f>
        <v>1000000000000</v>
      </c>
      <c r="CF34" s="172">
        <f ca="1">IF(OR($D34&lt;&gt;"Serviço",AND(AUTOEVENTO="Manual",$M34=$A$15),$M34&gt;(ROW(PLE.lastrow)-ROW(PLE.firstrow))),0,
           IF(OFFSET(PLE!$G$15,$M34-$A$15,CF$13)="",10^12,OFFSET(PLE!$G$15,$M34-$A$15,CF$13)))</f>
        <v>1000000000000</v>
      </c>
      <c r="CG34" s="172">
        <f ca="1">IF(OR($D34&lt;&gt;"Serviço",AND(AUTOEVENTO="Manual",$M34=$A$15),$M34&gt;(ROW(PLE.lastrow)-ROW(PLE.firstrow))),0,
           IF(OFFSET(PLE!$G$15,$M34-$A$15,CG$13)="",10^12,OFFSET(PLE!$G$15,$M34-$A$15,CG$13)))</f>
        <v>1000000000000</v>
      </c>
      <c r="CH34" s="172">
        <f ca="1">IF(OR($D34&lt;&gt;"Serviço",AND(AUTOEVENTO="Manual",$M34=$A$15),$M34&gt;(ROW(PLE.lastrow)-ROW(PLE.firstrow))),0,
           IF(OFFSET(PLE!$G$15,$M34-$A$15,CH$13)="",10^12,OFFSET(PLE!$G$15,$M34-$A$15,CH$13)))</f>
        <v>1000000000000</v>
      </c>
      <c r="CI34" s="172">
        <f ca="1">IF(OR($D34&lt;&gt;"Serviço",AND(AUTOEVENTO="Manual",$M34=$A$15),$M34&gt;(ROW(PLE.lastrow)-ROW(PLE.firstrow))),0,
           IF(OFFSET(PLE!$G$15,$M34-$A$15,CI$13)="",10^12,OFFSET(PLE!$G$15,$M34-$A$15,CI$13)))</f>
        <v>1000000000000</v>
      </c>
      <c r="CJ34" s="172">
        <f ca="1">IF(OR($D34&lt;&gt;"Serviço",AND(AUTOEVENTO="Manual",$M34=$A$15),$M34&gt;(ROW(PLE.lastrow)-ROW(PLE.firstrow))),0,
           IF(OFFSET(PLE!$G$15,$M34-$A$15,CJ$13)="",10^12,OFFSET(PLE!$G$15,$M34-$A$15,CJ$13)))</f>
        <v>1000000000000</v>
      </c>
      <c r="CK34" s="172">
        <f ca="1">IF(OR($D34&lt;&gt;"Serviço",AND(AUTOEVENTO="Manual",$M34=$A$15),$M34&gt;(ROW(PLE.lastrow)-ROW(PLE.firstrow))),0,
           IF(OFFSET(PLE!$G$15,$M34-$A$15,CK$13)="",10^12,OFFSET(PLE!$G$15,$M34-$A$15,CK$13)))</f>
        <v>1000000000000</v>
      </c>
      <c r="CL34" s="172">
        <f ca="1">IF(OR($D34&lt;&gt;"Serviço",AND(AUTOEVENTO="Manual",$M34=$A$15),$M34&gt;(ROW(PLE.lastrow)-ROW(PLE.firstrow))),0,
           IF(OFFSET(PLE!$G$15,$M34-$A$15,CL$13)="",10^12,OFFSET(PLE!$G$15,$M34-$A$15,CL$13)))</f>
        <v>1000000000000</v>
      </c>
      <c r="CM34" s="172">
        <f ca="1">IF(OR($D34&lt;&gt;"Serviço",AND(AUTOEVENTO="Manual",$M34=$A$15),$M34&gt;(ROW(PLE.lastrow)-ROW(PLE.firstrow))),0,
           IF(OFFSET(PLE!$G$15,$M34-$A$15,CM$13)="",10^12,OFFSET(PLE!$G$15,$M34-$A$15,CM$13)))</f>
        <v>1000000000000</v>
      </c>
    </row>
    <row r="35" spans="1:91" ht="26.4" x14ac:dyDescent="0.25">
      <c r="A35" s="7" t="str">
        <f t="shared" ca="1" si="11"/>
        <v>18</v>
      </c>
      <c r="B35" s="7" t="str">
        <f ca="1">OFFSET(ORÇAMENTO!C$15,ROW(B35)-ROW(B$15),0)</f>
        <v>S</v>
      </c>
      <c r="C35" s="7" t="str">
        <f ca="1">OFFSET(ORÇAMENTO!L$15,ROW(C35)-ROW(C$15),0)</f>
        <v>F</v>
      </c>
      <c r="D35" s="116" t="str">
        <f ca="1">OFFSET(ORÇAMENTO!N$15,ROW(D35)-ROW(D$15),0)</f>
        <v>Serviço</v>
      </c>
      <c r="E35" s="117" t="str">
        <f ca="1">OFFSET(ORÇAMENTO!O$15,ROW(E35)-ROW(E$15),0)</f>
        <v>1.4.2.</v>
      </c>
      <c r="F35" s="163" t="str">
        <f ca="1">OFFSET(ORÇAMENTO!R$15,ROW(F35)-ROW(F$15),0)</f>
        <v>EMULSÃO ASFÁLTICA RR-1C COLETADO NA ANP, ACRESCIDO DE IMPOSTOS (ICMS, PIS, COFINS)</v>
      </c>
      <c r="G35" s="164" t="str">
        <f ca="1">IF($D35&lt;&gt;"Serviço","",OFFSET(ORÇAMENTO!S$15,ROW(G35)-ROW(G$15),0))</f>
        <v>KG</v>
      </c>
      <c r="H35" s="122" cm="1">
        <f t="array" aca="1" ref="H35" ca="1">IF($D35&lt;&gt;"Serviço",0,IF(ACOMPANHAMENTO="BM",ROUND(OFFSET(ORÇAMENTO!AJ$15,ROW(H35)-ROW(H$15),0),15-13*ORÇAMENTO!$AF$7),SUMPRODUCT(($Q$1:$AI$1=1)*ROUND($Q35:$AI35,15-13*ORÇAMENTO!$AF$7))))</f>
        <v>2327.34</v>
      </c>
      <c r="I35" s="468"/>
      <c r="J35" s="651" t="e" cm="1">
        <f t="array" aca="1" ref="J35" ca="1">IF(OR(B35&lt;&gt;"S",CÁLCULO.FrentesPreenchidas=0),"",IF(AND(ACOMPANHAMENTO="PLE",AUTOEVENTO="Manual",OR(H35&gt;0,ORÇAMENTO!AC35="QUANT."),OR(K35="",M35=0,N35="")),"►E",IF(AND(ACOMPANHAMENTO="PLE",ORÇAMENTO!AC35="QUANT."),"►Q",IF(AND(ACOMPANHAMENTO="PLE",H35&lt;&gt;SUMPRODUCT(($Q$1:$AI$1=1)*ROUND(Q35:AI35,15))),"►S",IF(AND(COUNTIF($P$11:$AI$11,"▼")=0,H35&gt;0,I35=""),"◄M","")))))</f>
        <v>#NAME?</v>
      </c>
      <c r="K35" s="652"/>
      <c r="L35" s="165" t="s">
        <v>764</v>
      </c>
      <c r="M35" s="166">
        <f ca="1">IF($D35&lt;&gt;"Serviço","",
          IF(AUTOEVENTO="manual",$A35,
                IF(ISERROR(MATCH($A35,$A$15:OFFSET($A35,-1,0),0)),MAX($M$15:OFFSET(M35,-1,0))+1,
                      INDEX($M$15:OFFSET(M35,-1,0),MATCH($A35,$A$15:OFFSET($A35,-1,0),0)))))</f>
        <v>4</v>
      </c>
      <c r="N35" s="167" t="str">
        <f ca="1">IF($D35&lt;&gt;"Serviço","",
         IF(AUTOEVENTO="Manual",
                IF($A35=0,"&lt;-- defina o número do agrupador",
                       OFFSET(EVENTOS!$D$15,$A35-$A$15,0)),
                OFFSET($F$15,$A35,0)))</f>
        <v>CAMADA DE REPERFILAMENTO</v>
      </c>
      <c r="O35" s="168"/>
      <c r="Q35" s="168"/>
      <c r="R35" s="169"/>
      <c r="S35" s="169">
        <f>ROUND(S34*0.45,2)</f>
        <v>2327.34</v>
      </c>
      <c r="T35" s="169"/>
      <c r="U35" s="169"/>
      <c r="V35" s="169"/>
      <c r="W35" s="169"/>
      <c r="X35" s="169"/>
      <c r="Y35" s="169"/>
      <c r="Z35" s="170"/>
      <c r="AA35" s="169"/>
      <c r="AB35" s="169"/>
      <c r="AC35" s="169"/>
      <c r="AD35" s="169"/>
      <c r="AE35" s="169"/>
      <c r="AF35" s="169"/>
      <c r="AG35" s="169"/>
      <c r="AH35" s="170"/>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L35" s="453">
        <f ca="1">IF(AND($D35="Serviço",AL$12&lt;&gt;0,$H35&gt;0,OR(AUTOEVENTO&lt;&gt;"manual",$M35&lt;&gt;$A$15)),
        IF(Import.TipoArredondamento&lt;&gt;"TransfereGOV",
              ROUND(OFFSET($P35,0,AL$13),15-13*ORÇAMENTO!$AF$7)/$H35*OFFSET(ORÇAMENTO!$X$15,ROW(AL35)-ROW(AL$15),0),
              ROUND(ROUND(OFFSET($P35,0,AL$13),15-13*ORÇAMENTO!$AF$7)*OFFSET(ORÇAMENTO!$W$15,ROW(AL35)-ROW(AL$15),0),15-13*ORÇAMENTO!$AF$11)),
         0)</f>
        <v>9798.1</v>
      </c>
      <c r="AM35" s="453">
        <f ca="1">IF(AND($D35="Serviço",AM$12&lt;&gt;0,$H35&gt;0,OR(AUTOEVENTO&lt;&gt;"manual",$M35&lt;&gt;$A$15)),
        IF(Import.TipoArredondamento&lt;&gt;"TransfereGOV",
              ROUND(OFFSET($P35,0,AM$13),15-13*ORÇAMENTO!$AF$7)/$H35*OFFSET(ORÇAMENTO!$X$15,ROW(AM35)-ROW(AM$15),0),
              ROUND(ROUND(OFFSET($P35,0,AM$13),15-13*ORÇAMENTO!$AF$7)*OFFSET(ORÇAMENTO!$W$15,ROW(AM35)-ROW(AM$15),0),15-13*ORÇAMENTO!$AF$11)),
         0)</f>
        <v>0</v>
      </c>
      <c r="AN35" s="453">
        <f ca="1">IF(AND($D35="Serviço",AN$12&lt;&gt;0,$H35&gt;0,OR(AUTOEVENTO&lt;&gt;"manual",$M35&lt;&gt;$A$15)),
        IF(Import.TipoArredondamento&lt;&gt;"TransfereGOV",
              ROUND(OFFSET($P35,0,AN$13),15-13*ORÇAMENTO!$AF$7)/$H35*OFFSET(ORÇAMENTO!$X$15,ROW(AN35)-ROW(AN$15),0),
              ROUND(ROUND(OFFSET($P35,0,AN$13),15-13*ORÇAMENTO!$AF$7)*OFFSET(ORÇAMENTO!$W$15,ROW(AN35)-ROW(AN$15),0),15-13*ORÇAMENTO!$AF$11)),
         0)</f>
        <v>0</v>
      </c>
      <c r="AO35" s="453">
        <f ca="1">IF(AND($D35="Serviço",AO$12&lt;&gt;0,$H35&gt;0,OR(AUTOEVENTO&lt;&gt;"manual",$M35&lt;&gt;$A$15)),
        IF(Import.TipoArredondamento&lt;&gt;"TransfereGOV",
              ROUND(OFFSET($P35,0,AO$13),15-13*ORÇAMENTO!$AF$7)/$H35*OFFSET(ORÇAMENTO!$X$15,ROW(AO35)-ROW(AO$15),0),
              ROUND(ROUND(OFFSET($P35,0,AO$13),15-13*ORÇAMENTO!$AF$7)*OFFSET(ORÇAMENTO!$W$15,ROW(AO35)-ROW(AO$15),0),15-13*ORÇAMENTO!$AF$11)),
         0)</f>
        <v>0</v>
      </c>
      <c r="AP35" s="453">
        <f ca="1">IF(AND($D35="Serviço",AP$12&lt;&gt;0,$H35&gt;0,OR(AUTOEVENTO&lt;&gt;"manual",$M35&lt;&gt;$A$15)),
        IF(Import.TipoArredondamento&lt;&gt;"TransfereGOV",
              ROUND(OFFSET($P35,0,AP$13),15-13*ORÇAMENTO!$AF$7)/$H35*OFFSET(ORÇAMENTO!$X$15,ROW(AP35)-ROW(AP$15),0),
              ROUND(ROUND(OFFSET($P35,0,AP$13),15-13*ORÇAMENTO!$AF$7)*OFFSET(ORÇAMENTO!$W$15,ROW(AP35)-ROW(AP$15),0),15-13*ORÇAMENTO!$AF$11)),
         0)</f>
        <v>0</v>
      </c>
      <c r="AQ35" s="453">
        <f ca="1">IF(AND($D35="Serviço",AQ$12&lt;&gt;0,$H35&gt;0,OR(AUTOEVENTO&lt;&gt;"manual",$M35&lt;&gt;$A$15)),
        IF(Import.TipoArredondamento&lt;&gt;"TransfereGOV",
              ROUND(OFFSET($P35,0,AQ$13),15-13*ORÇAMENTO!$AF$7)/$H35*OFFSET(ORÇAMENTO!$X$15,ROW(AQ35)-ROW(AQ$15),0),
              ROUND(ROUND(OFFSET($P35,0,AQ$13),15-13*ORÇAMENTO!$AF$7)*OFFSET(ORÇAMENTO!$W$15,ROW(AQ35)-ROW(AQ$15),0),15-13*ORÇAMENTO!$AF$11)),
         0)</f>
        <v>0</v>
      </c>
      <c r="AR35" s="453">
        <f ca="1">IF(AND($D35="Serviço",AR$12&lt;&gt;0,$H35&gt;0,OR(AUTOEVENTO&lt;&gt;"manual",$M35&lt;&gt;$A$15)),
        IF(Import.TipoArredondamento&lt;&gt;"TransfereGOV",
              ROUND(OFFSET($P35,0,AR$13),15-13*ORÇAMENTO!$AF$7)/$H35*OFFSET(ORÇAMENTO!$X$15,ROW(AR35)-ROW(AR$15),0),
              ROUND(ROUND(OFFSET($P35,0,AR$13),15-13*ORÇAMENTO!$AF$7)*OFFSET(ORÇAMENTO!$W$15,ROW(AR35)-ROW(AR$15),0),15-13*ORÇAMENTO!$AF$11)),
         0)</f>
        <v>0</v>
      </c>
      <c r="AS35" s="453">
        <f ca="1">IF(AND($D35="Serviço",AS$12&lt;&gt;0,$H35&gt;0,OR(AUTOEVENTO&lt;&gt;"manual",$M35&lt;&gt;$A$15)),
        IF(Import.TipoArredondamento&lt;&gt;"TransfereGOV",
              ROUND(OFFSET($P35,0,AS$13),15-13*ORÇAMENTO!$AF$7)/$H35*OFFSET(ORÇAMENTO!$X$15,ROW(AS35)-ROW(AS$15),0),
              ROUND(ROUND(OFFSET($P35,0,AS$13),15-13*ORÇAMENTO!$AF$7)*OFFSET(ORÇAMENTO!$W$15,ROW(AS35)-ROW(AS$15),0),15-13*ORÇAMENTO!$AF$11)),
         0)</f>
        <v>0</v>
      </c>
      <c r="AT35" s="453">
        <f ca="1">IF(AND($D35="Serviço",AT$12&lt;&gt;0,$H35&gt;0,OR(AUTOEVENTO&lt;&gt;"manual",$M35&lt;&gt;$A$15)),
        IF(Import.TipoArredondamento&lt;&gt;"TransfereGOV",
              ROUND(OFFSET($P35,0,AT$13),15-13*ORÇAMENTO!$AF$7)/$H35*OFFSET(ORÇAMENTO!$X$15,ROW(AT35)-ROW(AT$15),0),
              ROUND(ROUND(OFFSET($P35,0,AT$13),15-13*ORÇAMENTO!$AF$7)*OFFSET(ORÇAMENTO!$W$15,ROW(AT35)-ROW(AT$15),0),15-13*ORÇAMENTO!$AF$11)),
         0)</f>
        <v>0</v>
      </c>
      <c r="AU35" s="453">
        <f ca="1">IF(AND($D35="Serviço",AU$12&lt;&gt;0,$H35&gt;0,OR(AUTOEVENTO&lt;&gt;"manual",$M35&lt;&gt;$A$15)),
        IF(Import.TipoArredondamento&lt;&gt;"TransfereGOV",
              ROUND(OFFSET($P35,0,AU$13),15-13*ORÇAMENTO!$AF$7)/$H35*OFFSET(ORÇAMENTO!$X$15,ROW(AU35)-ROW(AU$15),0),
              ROUND(ROUND(OFFSET($P35,0,AU$13),15-13*ORÇAMENTO!$AF$7)*OFFSET(ORÇAMENTO!$W$15,ROW(AU35)-ROW(AU$15),0),15-13*ORÇAMENTO!$AF$11)),
         0)</f>
        <v>0</v>
      </c>
      <c r="AV35" s="453">
        <f ca="1">IF(AND($D35="Serviço",AV$12&lt;&gt;0,$H35&gt;0,OR(AUTOEVENTO&lt;&gt;"manual",$M35&lt;&gt;$A$15)),
        IF(Import.TipoArredondamento&lt;&gt;"TransfereGOV",
              ROUND(OFFSET($P35,0,AV$13),15-13*ORÇAMENTO!$AF$7)/$H35*OFFSET(ORÇAMENTO!$X$15,ROW(AV35)-ROW(AV$15),0),
              ROUND(ROUND(OFFSET($P35,0,AV$13),15-13*ORÇAMENTO!$AF$7)*OFFSET(ORÇAMENTO!$W$15,ROW(AV35)-ROW(AV$15),0),15-13*ORÇAMENTO!$AF$11)),
         0)</f>
        <v>0</v>
      </c>
      <c r="AW35" s="453">
        <f ca="1">IF(AND($D35="Serviço",AW$12&lt;&gt;0,$H35&gt;0,OR(AUTOEVENTO&lt;&gt;"manual",$M35&lt;&gt;$A$15)),
        IF(Import.TipoArredondamento&lt;&gt;"TransfereGOV",
              ROUND(OFFSET($P35,0,AW$13),15-13*ORÇAMENTO!$AF$7)/$H35*OFFSET(ORÇAMENTO!$X$15,ROW(AW35)-ROW(AW$15),0),
              ROUND(ROUND(OFFSET($P35,0,AW$13),15-13*ORÇAMENTO!$AF$7)*OFFSET(ORÇAMENTO!$W$15,ROW(AW35)-ROW(AW$15),0),15-13*ORÇAMENTO!$AF$11)),
         0)</f>
        <v>0</v>
      </c>
      <c r="AX35" s="453">
        <f ca="1">IF(AND($D35="Serviço",AX$12&lt;&gt;0,$H35&gt;0,OR(AUTOEVENTO&lt;&gt;"manual",$M35&lt;&gt;$A$15)),
        IF(Import.TipoArredondamento&lt;&gt;"TransfereGOV",
              ROUND(OFFSET($P35,0,AX$13),15-13*ORÇAMENTO!$AF$7)/$H35*OFFSET(ORÇAMENTO!$X$15,ROW(AX35)-ROW(AX$15),0),
              ROUND(ROUND(OFFSET($P35,0,AX$13),15-13*ORÇAMENTO!$AF$7)*OFFSET(ORÇAMENTO!$W$15,ROW(AX35)-ROW(AX$15),0),15-13*ORÇAMENTO!$AF$11)),
         0)</f>
        <v>0</v>
      </c>
      <c r="AY35" s="453">
        <f ca="1">IF(AND($D35="Serviço",AY$12&lt;&gt;0,$H35&gt;0,OR(AUTOEVENTO&lt;&gt;"manual",$M35&lt;&gt;$A$15)),
        IF(Import.TipoArredondamento&lt;&gt;"TransfereGOV",
              ROUND(OFFSET($P35,0,AY$13),15-13*ORÇAMENTO!$AF$7)/$H35*OFFSET(ORÇAMENTO!$X$15,ROW(AY35)-ROW(AY$15),0),
              ROUND(ROUND(OFFSET($P35,0,AY$13),15-13*ORÇAMENTO!$AF$7)*OFFSET(ORÇAMENTO!$W$15,ROW(AY35)-ROW(AY$15),0),15-13*ORÇAMENTO!$AF$11)),
         0)</f>
        <v>0</v>
      </c>
      <c r="AZ35" s="453">
        <f ca="1">IF(AND($D35="Serviço",AZ$12&lt;&gt;0,$H35&gt;0,OR(AUTOEVENTO&lt;&gt;"manual",$M35&lt;&gt;$A$15)),
        IF(Import.TipoArredondamento&lt;&gt;"TransfereGOV",
              ROUND(OFFSET($P35,0,AZ$13),15-13*ORÇAMENTO!$AF$7)/$H35*OFFSET(ORÇAMENTO!$X$15,ROW(AZ35)-ROW(AZ$15),0),
              ROUND(ROUND(OFFSET($P35,0,AZ$13),15-13*ORÇAMENTO!$AF$7)*OFFSET(ORÇAMENTO!$W$15,ROW(AZ35)-ROW(AZ$15),0),15-13*ORÇAMENTO!$AF$11)),
         0)</f>
        <v>0</v>
      </c>
      <c r="BA35" s="453">
        <f ca="1">IF(AND($D35="Serviço",BA$12&lt;&gt;0,$H35&gt;0,OR(AUTOEVENTO&lt;&gt;"manual",$M35&lt;&gt;$A$15)),
        IF(Import.TipoArredondamento&lt;&gt;"TransfereGOV",
              ROUND(OFFSET($P35,0,BA$13),15-13*ORÇAMENTO!$AF$7)/$H35*OFFSET(ORÇAMENTO!$X$15,ROW(BA35)-ROW(BA$15),0),
              ROUND(ROUND(OFFSET($P35,0,BA$13),15-13*ORÇAMENTO!$AF$7)*OFFSET(ORÇAMENTO!$W$15,ROW(BA35)-ROW(BA$15),0),15-13*ORÇAMENTO!$AF$11)),
         0)</f>
        <v>0</v>
      </c>
      <c r="BC35" s="171">
        <f ca="1">IF(OR($D35&lt;&gt;"Serviço",AND(AUTOEVENTO="Manual",$M35=$A$15)),0,
         IF(OFFSET(CRONOPLE!$F$15,$M35-$A$15,BC$13)=0,10^12,OFFSET(CRONOPLE!$F$15,$M35-$A$15,BC$13)))</f>
        <v>1000000000000</v>
      </c>
      <c r="BD35" s="171">
        <f ca="1">IF(OR($D35&lt;&gt;"Serviço",AND(AUTOEVENTO="Manual",$M35=$A$15)),0,
         IF(OFFSET(CRONOPLE!$F$15,$M35-$A$15,BD$13)=0,10^12,OFFSET(CRONOPLE!$F$15,$M35-$A$15,BD$13)))</f>
        <v>1000000000000</v>
      </c>
      <c r="BE35" s="171">
        <f ca="1">IF(OR($D35&lt;&gt;"Serviço",AND(AUTOEVENTO="Manual",$M35=$A$15)),0,
         IF(OFFSET(CRONOPLE!$F$15,$M35-$A$15,BE$13)=0,10^12,OFFSET(CRONOPLE!$F$15,$M35-$A$15,BE$13)))</f>
        <v>1</v>
      </c>
      <c r="BF35" s="171">
        <f ca="1">IF(OR($D35&lt;&gt;"Serviço",AND(AUTOEVENTO="Manual",$M35=$A$15)),0,
         IF(OFFSET(CRONOPLE!$F$15,$M35-$A$15,BF$13)=0,10^12,OFFSET(CRONOPLE!$F$15,$M35-$A$15,BF$13)))</f>
        <v>3</v>
      </c>
      <c r="BG35" s="171">
        <f ca="1">IF(OR($D35&lt;&gt;"Serviço",AND(AUTOEVENTO="Manual",$M35=$A$15)),0,
         IF(OFFSET(CRONOPLE!$F$15,$M35-$A$15,BG$13)=0,10^12,OFFSET(CRONOPLE!$F$15,$M35-$A$15,BG$13)))</f>
        <v>3</v>
      </c>
      <c r="BH35" s="171">
        <f ca="1">IF(OR($D35&lt;&gt;"Serviço",AND(AUTOEVENTO="Manual",$M35=$A$15)),0,
         IF(OFFSET(CRONOPLE!$F$15,$M35-$A$15,BH$13)=0,10^12,OFFSET(CRONOPLE!$F$15,$M35-$A$15,BH$13)))</f>
        <v>3</v>
      </c>
      <c r="BI35" s="171">
        <f ca="1">IF(OR($D35&lt;&gt;"Serviço",AND(AUTOEVENTO="Manual",$M35=$A$15)),0,
         IF(OFFSET(CRONOPLE!$F$15,$M35-$A$15,BI$13)=0,10^12,OFFSET(CRONOPLE!$F$15,$M35-$A$15,BI$13)))</f>
        <v>2</v>
      </c>
      <c r="BJ35" s="171">
        <f ca="1">IF(OR($D35&lt;&gt;"Serviço",AND(AUTOEVENTO="Manual",$M35=$A$15)),0,
         IF(OFFSET(CRONOPLE!$F$15,$M35-$A$15,BJ$13)=0,10^12,OFFSET(CRONOPLE!$F$15,$M35-$A$15,BJ$13)))</f>
        <v>2</v>
      </c>
      <c r="BK35" s="171">
        <f ca="1">IF(OR($D35&lt;&gt;"Serviço",AND(AUTOEVENTO="Manual",$M35=$A$15)),0,
         IF(OFFSET(CRONOPLE!$F$15,$M35-$A$15,BK$13)=0,10^12,OFFSET(CRONOPLE!$F$15,$M35-$A$15,BK$13)))</f>
        <v>2</v>
      </c>
      <c r="BL35" s="171">
        <f ca="1">IF(OR($D35&lt;&gt;"Serviço",AND(AUTOEVENTO="Manual",$M35=$A$15)),0,
         IF(OFFSET(CRONOPLE!$F$15,$M35-$A$15,BL$13)=0,10^12,OFFSET(CRONOPLE!$F$15,$M35-$A$15,BL$13)))</f>
        <v>1</v>
      </c>
      <c r="BM35" s="171">
        <f ca="1">IF(OR($D35&lt;&gt;"Serviço",AND(AUTOEVENTO="Manual",$M35=$A$15)),0,
         IF(OFFSET(CRONOPLE!$F$15,$M35-$A$15,BM$13)=0,10^12,OFFSET(CRONOPLE!$F$15,$M35-$A$15,BM$13)))</f>
        <v>1</v>
      </c>
      <c r="BN35" s="171">
        <f ca="1">IF(OR($D35&lt;&gt;"Serviço",AND(AUTOEVENTO="Manual",$M35=$A$15)),0,
         IF(OFFSET(CRONOPLE!$F$15,$M35-$A$15,BN$13)=0,10^12,OFFSET(CRONOPLE!$F$15,$M35-$A$15,BN$13)))</f>
        <v>1000000000000</v>
      </c>
      <c r="BO35" s="171">
        <f ca="1">IF(OR($D35&lt;&gt;"Serviço",AND(AUTOEVENTO="Manual",$M35=$A$15)),0,
         IF(OFFSET(CRONOPLE!$F$15,$M35-$A$15,BO$13)=0,10^12,OFFSET(CRONOPLE!$F$15,$M35-$A$15,BO$13)))</f>
        <v>1000000000000</v>
      </c>
      <c r="BP35" s="171">
        <f ca="1">IF(OR($D35&lt;&gt;"Serviço",AND(AUTOEVENTO="Manual",$M35=$A$15)),0,
         IF(OFFSET(CRONOPLE!$F$15,$M35-$A$15,BP$13)=0,10^12,OFFSET(CRONOPLE!$F$15,$M35-$A$15,BP$13)))</f>
        <v>1000000000000</v>
      </c>
      <c r="BQ35" s="171">
        <f ca="1">IF(OR($D35&lt;&gt;"Serviço",AND(AUTOEVENTO="Manual",$M35=$A$15)),0,
         IF(OFFSET(CRONOPLE!$F$15,$M35-$A$15,BQ$13)=0,10^12,OFFSET(CRONOPLE!$F$15,$M35-$A$15,BQ$13)))</f>
        <v>1000000000000</v>
      </c>
      <c r="BR35" s="171">
        <f ca="1">IF(OR($D35&lt;&gt;"Serviço",AND(AUTOEVENTO="Manual",$M35=$A$15)),0,
         IF(OFFSET(CRONOPLE!$F$15,$M35-$A$15,BR$13)=0,10^12,OFFSET(CRONOPLE!$F$15,$M35-$A$15,BR$13)))</f>
        <v>1000000000000</v>
      </c>
      <c r="BS35" s="171">
        <f ca="1">IF(OR($D35&lt;&gt;"Serviço",AND(AUTOEVENTO="Manual",$M35=$A$15)),0,
         IF(OFFSET(CRONOPLE!$F$15,$M35-$A$15,BS$13)=0,10^12,OFFSET(CRONOPLE!$F$15,$M35-$A$15,BS$13)))</f>
        <v>1000000000000</v>
      </c>
      <c r="BT35" s="171">
        <f ca="1">IF(OR($D35&lt;&gt;"Serviço",AND(AUTOEVENTO="Manual",$M35=$A$15)),0,
         IF(OFFSET(CRONOPLE!$F$15,$M35-$A$15,BT$13)=0,10^12,OFFSET(CRONOPLE!$F$15,$M35-$A$15,BT$13)))</f>
        <v>1000000000000</v>
      </c>
      <c r="BV35" s="172">
        <f ca="1">IF(OR($D35&lt;&gt;"Serviço",AND(AUTOEVENTO="Manual",$M35=$A$15),$M35&gt;(ROW(PLE.lastrow)-ROW(PLE.firstrow))),0,
           IF(OFFSET(PLE!$G$15,$M35-$A$15,BV$13)="",10^12,OFFSET(PLE!$G$15,$M35-$A$15,BV$13)))</f>
        <v>1000000000000</v>
      </c>
      <c r="BW35" s="172">
        <f ca="1">IF(OR($D35&lt;&gt;"Serviço",AND(AUTOEVENTO="Manual",$M35=$A$15),$M35&gt;(ROW(PLE.lastrow)-ROW(PLE.firstrow))),0,
           IF(OFFSET(PLE!$G$15,$M35-$A$15,BW$13)="",10^12,OFFSET(PLE!$G$15,$M35-$A$15,BW$13)))</f>
        <v>1000000000000</v>
      </c>
      <c r="BX35" s="172">
        <f ca="1">IF(OR($D35&lt;&gt;"Serviço",AND(AUTOEVENTO="Manual",$M35=$A$15),$M35&gt;(ROW(PLE.lastrow)-ROW(PLE.firstrow))),0,
           IF(OFFSET(PLE!$G$15,$M35-$A$15,BX$13)="",10^12,OFFSET(PLE!$G$15,$M35-$A$15,BX$13)))</f>
        <v>1000000000000</v>
      </c>
      <c r="BY35" s="172">
        <f ca="1">IF(OR($D35&lt;&gt;"Serviço",AND(AUTOEVENTO="Manual",$M35=$A$15),$M35&gt;(ROW(PLE.lastrow)-ROW(PLE.firstrow))),0,
           IF(OFFSET(PLE!$G$15,$M35-$A$15,BY$13)="",10^12,OFFSET(PLE!$G$15,$M35-$A$15,BY$13)))</f>
        <v>1000000000000</v>
      </c>
      <c r="BZ35" s="172">
        <f ca="1">IF(OR($D35&lt;&gt;"Serviço",AND(AUTOEVENTO="Manual",$M35=$A$15),$M35&gt;(ROW(PLE.lastrow)-ROW(PLE.firstrow))),0,
           IF(OFFSET(PLE!$G$15,$M35-$A$15,BZ$13)="",10^12,OFFSET(PLE!$G$15,$M35-$A$15,BZ$13)))</f>
        <v>1000000000000</v>
      </c>
      <c r="CA35" s="172">
        <f ca="1">IF(OR($D35&lt;&gt;"Serviço",AND(AUTOEVENTO="Manual",$M35=$A$15),$M35&gt;(ROW(PLE.lastrow)-ROW(PLE.firstrow))),0,
           IF(OFFSET(PLE!$G$15,$M35-$A$15,CA$13)="",10^12,OFFSET(PLE!$G$15,$M35-$A$15,CA$13)))</f>
        <v>1000000000000</v>
      </c>
      <c r="CB35" s="172">
        <f ca="1">IF(OR($D35&lt;&gt;"Serviço",AND(AUTOEVENTO="Manual",$M35=$A$15),$M35&gt;(ROW(PLE.lastrow)-ROW(PLE.firstrow))),0,
           IF(OFFSET(PLE!$G$15,$M35-$A$15,CB$13)="",10^12,OFFSET(PLE!$G$15,$M35-$A$15,CB$13)))</f>
        <v>1000000000000</v>
      </c>
      <c r="CC35" s="172">
        <f ca="1">IF(OR($D35&lt;&gt;"Serviço",AND(AUTOEVENTO="Manual",$M35=$A$15),$M35&gt;(ROW(PLE.lastrow)-ROW(PLE.firstrow))),0,
           IF(OFFSET(PLE!$G$15,$M35-$A$15,CC$13)="",10^12,OFFSET(PLE!$G$15,$M35-$A$15,CC$13)))</f>
        <v>1000000000000</v>
      </c>
      <c r="CD35" s="172">
        <f ca="1">IF(OR($D35&lt;&gt;"Serviço",AND(AUTOEVENTO="Manual",$M35=$A$15),$M35&gt;(ROW(PLE.lastrow)-ROW(PLE.firstrow))),0,
           IF(OFFSET(PLE!$G$15,$M35-$A$15,CD$13)="",10^12,OFFSET(PLE!$G$15,$M35-$A$15,CD$13)))</f>
        <v>1000000000000</v>
      </c>
      <c r="CE35" s="172">
        <f ca="1">IF(OR($D35&lt;&gt;"Serviço",AND(AUTOEVENTO="Manual",$M35=$A$15),$M35&gt;(ROW(PLE.lastrow)-ROW(PLE.firstrow))),0,
           IF(OFFSET(PLE!$G$15,$M35-$A$15,CE$13)="",10^12,OFFSET(PLE!$G$15,$M35-$A$15,CE$13)))</f>
        <v>1000000000000</v>
      </c>
      <c r="CF35" s="172">
        <f ca="1">IF(OR($D35&lt;&gt;"Serviço",AND(AUTOEVENTO="Manual",$M35=$A$15),$M35&gt;(ROW(PLE.lastrow)-ROW(PLE.firstrow))),0,
           IF(OFFSET(PLE!$G$15,$M35-$A$15,CF$13)="",10^12,OFFSET(PLE!$G$15,$M35-$A$15,CF$13)))</f>
        <v>1000000000000</v>
      </c>
      <c r="CG35" s="172">
        <f ca="1">IF(OR($D35&lt;&gt;"Serviço",AND(AUTOEVENTO="Manual",$M35=$A$15),$M35&gt;(ROW(PLE.lastrow)-ROW(PLE.firstrow))),0,
           IF(OFFSET(PLE!$G$15,$M35-$A$15,CG$13)="",10^12,OFFSET(PLE!$G$15,$M35-$A$15,CG$13)))</f>
        <v>1000000000000</v>
      </c>
      <c r="CH35" s="172">
        <f ca="1">IF(OR($D35&lt;&gt;"Serviço",AND(AUTOEVENTO="Manual",$M35=$A$15),$M35&gt;(ROW(PLE.lastrow)-ROW(PLE.firstrow))),0,
           IF(OFFSET(PLE!$G$15,$M35-$A$15,CH$13)="",10^12,OFFSET(PLE!$G$15,$M35-$A$15,CH$13)))</f>
        <v>1000000000000</v>
      </c>
      <c r="CI35" s="172">
        <f ca="1">IF(OR($D35&lt;&gt;"Serviço",AND(AUTOEVENTO="Manual",$M35=$A$15),$M35&gt;(ROW(PLE.lastrow)-ROW(PLE.firstrow))),0,
           IF(OFFSET(PLE!$G$15,$M35-$A$15,CI$13)="",10^12,OFFSET(PLE!$G$15,$M35-$A$15,CI$13)))</f>
        <v>1000000000000</v>
      </c>
      <c r="CJ35" s="172">
        <f ca="1">IF(OR($D35&lt;&gt;"Serviço",AND(AUTOEVENTO="Manual",$M35=$A$15),$M35&gt;(ROW(PLE.lastrow)-ROW(PLE.firstrow))),0,
           IF(OFFSET(PLE!$G$15,$M35-$A$15,CJ$13)="",10^12,OFFSET(PLE!$G$15,$M35-$A$15,CJ$13)))</f>
        <v>1000000000000</v>
      </c>
      <c r="CK35" s="172">
        <f ca="1">IF(OR($D35&lt;&gt;"Serviço",AND(AUTOEVENTO="Manual",$M35=$A$15),$M35&gt;(ROW(PLE.lastrow)-ROW(PLE.firstrow))),0,
           IF(OFFSET(PLE!$G$15,$M35-$A$15,CK$13)="",10^12,OFFSET(PLE!$G$15,$M35-$A$15,CK$13)))</f>
        <v>1000000000000</v>
      </c>
      <c r="CL35" s="172">
        <f ca="1">IF(OR($D35&lt;&gt;"Serviço",AND(AUTOEVENTO="Manual",$M35=$A$15),$M35&gt;(ROW(PLE.lastrow)-ROW(PLE.firstrow))),0,
           IF(OFFSET(PLE!$G$15,$M35-$A$15,CL$13)="",10^12,OFFSET(PLE!$G$15,$M35-$A$15,CL$13)))</f>
        <v>1000000000000</v>
      </c>
      <c r="CM35" s="172">
        <f ca="1">IF(OR($D35&lt;&gt;"Serviço",AND(AUTOEVENTO="Manual",$M35=$A$15),$M35&gt;(ROW(PLE.lastrow)-ROW(PLE.firstrow))),0,
           IF(OFFSET(PLE!$G$15,$M35-$A$15,CM$13)="",10^12,OFFSET(PLE!$G$15,$M35-$A$15,CM$13)))</f>
        <v>1000000000000</v>
      </c>
    </row>
    <row r="36" spans="1:91" ht="26.4" x14ac:dyDescent="0.25">
      <c r="A36" s="7" t="str">
        <f t="shared" ca="1" si="11"/>
        <v>18</v>
      </c>
      <c r="B36" s="7" t="str">
        <f ca="1">OFFSET(ORÇAMENTO!C$15,ROW(B36)-ROW(B$15),0)</f>
        <v>S</v>
      </c>
      <c r="C36" s="7" t="str">
        <f ca="1">OFFSET(ORÇAMENTO!L$15,ROW(C36)-ROW(C$15),0)</f>
        <v>F</v>
      </c>
      <c r="D36" s="116" t="str">
        <f ca="1">OFFSET(ORÇAMENTO!N$15,ROW(D36)-ROW(D$15),0)</f>
        <v>Serviço</v>
      </c>
      <c r="E36" s="117" t="str">
        <f ca="1">OFFSET(ORÇAMENTO!O$15,ROW(E36)-ROW(E$15),0)</f>
        <v>1.4.3.</v>
      </c>
      <c r="F36" s="163" t="str">
        <f ca="1">OFFSET(ORÇAMENTO!R$15,ROW(F36)-ROW(F$15),0)</f>
        <v>Transporte de material betuminoso com caminhão tanque distribuidor - rodovia pavimentada</v>
      </c>
      <c r="G36" s="164" t="str">
        <f ca="1">IF($D36&lt;&gt;"Serviço","",OFFSET(ORÇAMENTO!S$15,ROW(G36)-ROW(G$15),0))</f>
        <v>tkm</v>
      </c>
      <c r="H36" s="122" cm="1">
        <f t="array" aca="1" ref="H36" ca="1">IF($D36&lt;&gt;"Serviço",0,IF(ACOMPANHAMENTO="BM",ROUND(OFFSET(ORÇAMENTO!AJ$15,ROW(H36)-ROW(H$15),0),15-13*ORÇAMENTO!$AF$7),SUMPRODUCT(($Q$1:$AI$1=1)*ROUND($Q36:$AI36,15-13*ORÇAMENTO!$AF$7))))</f>
        <v>784.31</v>
      </c>
      <c r="I36" s="468"/>
      <c r="J36" s="651" t="e" cm="1">
        <f t="array" aca="1" ref="J36" ca="1">IF(OR(B36&lt;&gt;"S",CÁLCULO.FrentesPreenchidas=0),"",IF(AND(ACOMPANHAMENTO="PLE",AUTOEVENTO="Manual",OR(H36&gt;0,ORÇAMENTO!AC36="QUANT."),OR(K36="",M36=0,N36="")),"►E",IF(AND(ACOMPANHAMENTO="PLE",ORÇAMENTO!AC36="QUANT."),"►Q",IF(AND(ACOMPANHAMENTO="PLE",H36&lt;&gt;SUMPRODUCT(($Q$1:$AI$1=1)*ROUND(Q36:AI36,15))),"►S",IF(AND(COUNTIF($P$11:$AI$11,"▼")=0,H36&gt;0,I36=""),"◄M","")))))</f>
        <v>#NAME?</v>
      </c>
      <c r="K36" s="652"/>
      <c r="L36" s="165" t="s">
        <v>764</v>
      </c>
      <c r="M36" s="166">
        <f ca="1">IF($D36&lt;&gt;"Serviço","",
          IF(AUTOEVENTO="manual",$A36,
                IF(ISERROR(MATCH($A36,$A$15:OFFSET($A36,-1,0),0)),MAX($M$15:OFFSET(M36,-1,0))+1,
                      INDEX($M$15:OFFSET(M36,-1,0),MATCH($A36,$A$15:OFFSET($A36,-1,0),0)))))</f>
        <v>4</v>
      </c>
      <c r="N36" s="167" t="str">
        <f ca="1">IF($D36&lt;&gt;"Serviço","",
         IF(AUTOEVENTO="Manual",
                IF($A36=0,"&lt;-- defina o número do agrupador",
                       OFFSET(EVENTOS!$D$15,$A36-$A$15,0)),
                OFFSET($F$15,$A36,0)))</f>
        <v>CAMADA DE REPERFILAMENTO</v>
      </c>
      <c r="O36" s="168"/>
      <c r="Q36" s="168"/>
      <c r="R36" s="169"/>
      <c r="S36" s="169">
        <f>ROUND((S35/1000)*337,2)</f>
        <v>784.31</v>
      </c>
      <c r="T36" s="169"/>
      <c r="U36" s="169"/>
      <c r="V36" s="169"/>
      <c r="W36" s="169"/>
      <c r="X36" s="169"/>
      <c r="Y36" s="169"/>
      <c r="Z36" s="170"/>
      <c r="AA36" s="169"/>
      <c r="AB36" s="169"/>
      <c r="AC36" s="169"/>
      <c r="AD36" s="169"/>
      <c r="AE36" s="169"/>
      <c r="AF36" s="169"/>
      <c r="AG36" s="169"/>
      <c r="AH36" s="170"/>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L36" s="453">
        <f ca="1">IF(AND($D36="Serviço",AL$12&lt;&gt;0,$H36&gt;0,OR(AUTOEVENTO&lt;&gt;"manual",$M36&lt;&gt;$A$15)),
        IF(Import.TipoArredondamento&lt;&gt;"TransfereGOV",
              ROUND(OFFSET($P36,0,AL$13),15-13*ORÇAMENTO!$AF$7)/$H36*OFFSET(ORÇAMENTO!$X$15,ROW(AL36)-ROW(AL$15),0),
              ROUND(ROUND(OFFSET($P36,0,AL$13),15-13*ORÇAMENTO!$AF$7)*OFFSET(ORÇAMENTO!$W$15,ROW(AL36)-ROW(AL$15),0),15-13*ORÇAMENTO!$AF$11)),
         0)</f>
        <v>1999.99</v>
      </c>
      <c r="AM36" s="453">
        <f ca="1">IF(AND($D36="Serviço",AM$12&lt;&gt;0,$H36&gt;0,OR(AUTOEVENTO&lt;&gt;"manual",$M36&lt;&gt;$A$15)),
        IF(Import.TipoArredondamento&lt;&gt;"TransfereGOV",
              ROUND(OFFSET($P36,0,AM$13),15-13*ORÇAMENTO!$AF$7)/$H36*OFFSET(ORÇAMENTO!$X$15,ROW(AM36)-ROW(AM$15),0),
              ROUND(ROUND(OFFSET($P36,0,AM$13),15-13*ORÇAMENTO!$AF$7)*OFFSET(ORÇAMENTO!$W$15,ROW(AM36)-ROW(AM$15),0),15-13*ORÇAMENTO!$AF$11)),
         0)</f>
        <v>0</v>
      </c>
      <c r="AN36" s="453">
        <f ca="1">IF(AND($D36="Serviço",AN$12&lt;&gt;0,$H36&gt;0,OR(AUTOEVENTO&lt;&gt;"manual",$M36&lt;&gt;$A$15)),
        IF(Import.TipoArredondamento&lt;&gt;"TransfereGOV",
              ROUND(OFFSET($P36,0,AN$13),15-13*ORÇAMENTO!$AF$7)/$H36*OFFSET(ORÇAMENTO!$X$15,ROW(AN36)-ROW(AN$15),0),
              ROUND(ROUND(OFFSET($P36,0,AN$13),15-13*ORÇAMENTO!$AF$7)*OFFSET(ORÇAMENTO!$W$15,ROW(AN36)-ROW(AN$15),0),15-13*ORÇAMENTO!$AF$11)),
         0)</f>
        <v>0</v>
      </c>
      <c r="AO36" s="453">
        <f ca="1">IF(AND($D36="Serviço",AO$12&lt;&gt;0,$H36&gt;0,OR(AUTOEVENTO&lt;&gt;"manual",$M36&lt;&gt;$A$15)),
        IF(Import.TipoArredondamento&lt;&gt;"TransfereGOV",
              ROUND(OFFSET($P36,0,AO$13),15-13*ORÇAMENTO!$AF$7)/$H36*OFFSET(ORÇAMENTO!$X$15,ROW(AO36)-ROW(AO$15),0),
              ROUND(ROUND(OFFSET($P36,0,AO$13),15-13*ORÇAMENTO!$AF$7)*OFFSET(ORÇAMENTO!$W$15,ROW(AO36)-ROW(AO$15),0),15-13*ORÇAMENTO!$AF$11)),
         0)</f>
        <v>0</v>
      </c>
      <c r="AP36" s="453">
        <f ca="1">IF(AND($D36="Serviço",AP$12&lt;&gt;0,$H36&gt;0,OR(AUTOEVENTO&lt;&gt;"manual",$M36&lt;&gt;$A$15)),
        IF(Import.TipoArredondamento&lt;&gt;"TransfereGOV",
              ROUND(OFFSET($P36,0,AP$13),15-13*ORÇAMENTO!$AF$7)/$H36*OFFSET(ORÇAMENTO!$X$15,ROW(AP36)-ROW(AP$15),0),
              ROUND(ROUND(OFFSET($P36,0,AP$13),15-13*ORÇAMENTO!$AF$7)*OFFSET(ORÇAMENTO!$W$15,ROW(AP36)-ROW(AP$15),0),15-13*ORÇAMENTO!$AF$11)),
         0)</f>
        <v>0</v>
      </c>
      <c r="AQ36" s="453">
        <f ca="1">IF(AND($D36="Serviço",AQ$12&lt;&gt;0,$H36&gt;0,OR(AUTOEVENTO&lt;&gt;"manual",$M36&lt;&gt;$A$15)),
        IF(Import.TipoArredondamento&lt;&gt;"TransfereGOV",
              ROUND(OFFSET($P36,0,AQ$13),15-13*ORÇAMENTO!$AF$7)/$H36*OFFSET(ORÇAMENTO!$X$15,ROW(AQ36)-ROW(AQ$15),0),
              ROUND(ROUND(OFFSET($P36,0,AQ$13),15-13*ORÇAMENTO!$AF$7)*OFFSET(ORÇAMENTO!$W$15,ROW(AQ36)-ROW(AQ$15),0),15-13*ORÇAMENTO!$AF$11)),
         0)</f>
        <v>0</v>
      </c>
      <c r="AR36" s="453">
        <f ca="1">IF(AND($D36="Serviço",AR$12&lt;&gt;0,$H36&gt;0,OR(AUTOEVENTO&lt;&gt;"manual",$M36&lt;&gt;$A$15)),
        IF(Import.TipoArredondamento&lt;&gt;"TransfereGOV",
              ROUND(OFFSET($P36,0,AR$13),15-13*ORÇAMENTO!$AF$7)/$H36*OFFSET(ORÇAMENTO!$X$15,ROW(AR36)-ROW(AR$15),0),
              ROUND(ROUND(OFFSET($P36,0,AR$13),15-13*ORÇAMENTO!$AF$7)*OFFSET(ORÇAMENTO!$W$15,ROW(AR36)-ROW(AR$15),0),15-13*ORÇAMENTO!$AF$11)),
         0)</f>
        <v>0</v>
      </c>
      <c r="AS36" s="453">
        <f ca="1">IF(AND($D36="Serviço",AS$12&lt;&gt;0,$H36&gt;0,OR(AUTOEVENTO&lt;&gt;"manual",$M36&lt;&gt;$A$15)),
        IF(Import.TipoArredondamento&lt;&gt;"TransfereGOV",
              ROUND(OFFSET($P36,0,AS$13),15-13*ORÇAMENTO!$AF$7)/$H36*OFFSET(ORÇAMENTO!$X$15,ROW(AS36)-ROW(AS$15),0),
              ROUND(ROUND(OFFSET($P36,0,AS$13),15-13*ORÇAMENTO!$AF$7)*OFFSET(ORÇAMENTO!$W$15,ROW(AS36)-ROW(AS$15),0),15-13*ORÇAMENTO!$AF$11)),
         0)</f>
        <v>0</v>
      </c>
      <c r="AT36" s="453">
        <f ca="1">IF(AND($D36="Serviço",AT$12&lt;&gt;0,$H36&gt;0,OR(AUTOEVENTO&lt;&gt;"manual",$M36&lt;&gt;$A$15)),
        IF(Import.TipoArredondamento&lt;&gt;"TransfereGOV",
              ROUND(OFFSET($P36,0,AT$13),15-13*ORÇAMENTO!$AF$7)/$H36*OFFSET(ORÇAMENTO!$X$15,ROW(AT36)-ROW(AT$15),0),
              ROUND(ROUND(OFFSET($P36,0,AT$13),15-13*ORÇAMENTO!$AF$7)*OFFSET(ORÇAMENTO!$W$15,ROW(AT36)-ROW(AT$15),0),15-13*ORÇAMENTO!$AF$11)),
         0)</f>
        <v>0</v>
      </c>
      <c r="AU36" s="453">
        <f ca="1">IF(AND($D36="Serviço",AU$12&lt;&gt;0,$H36&gt;0,OR(AUTOEVENTO&lt;&gt;"manual",$M36&lt;&gt;$A$15)),
        IF(Import.TipoArredondamento&lt;&gt;"TransfereGOV",
              ROUND(OFFSET($P36,0,AU$13),15-13*ORÇAMENTO!$AF$7)/$H36*OFFSET(ORÇAMENTO!$X$15,ROW(AU36)-ROW(AU$15),0),
              ROUND(ROUND(OFFSET($P36,0,AU$13),15-13*ORÇAMENTO!$AF$7)*OFFSET(ORÇAMENTO!$W$15,ROW(AU36)-ROW(AU$15),0),15-13*ORÇAMENTO!$AF$11)),
         0)</f>
        <v>0</v>
      </c>
      <c r="AV36" s="453">
        <f ca="1">IF(AND($D36="Serviço",AV$12&lt;&gt;0,$H36&gt;0,OR(AUTOEVENTO&lt;&gt;"manual",$M36&lt;&gt;$A$15)),
        IF(Import.TipoArredondamento&lt;&gt;"TransfereGOV",
              ROUND(OFFSET($P36,0,AV$13),15-13*ORÇAMENTO!$AF$7)/$H36*OFFSET(ORÇAMENTO!$X$15,ROW(AV36)-ROW(AV$15),0),
              ROUND(ROUND(OFFSET($P36,0,AV$13),15-13*ORÇAMENTO!$AF$7)*OFFSET(ORÇAMENTO!$W$15,ROW(AV36)-ROW(AV$15),0),15-13*ORÇAMENTO!$AF$11)),
         0)</f>
        <v>0</v>
      </c>
      <c r="AW36" s="453">
        <f ca="1">IF(AND($D36="Serviço",AW$12&lt;&gt;0,$H36&gt;0,OR(AUTOEVENTO&lt;&gt;"manual",$M36&lt;&gt;$A$15)),
        IF(Import.TipoArredondamento&lt;&gt;"TransfereGOV",
              ROUND(OFFSET($P36,0,AW$13),15-13*ORÇAMENTO!$AF$7)/$H36*OFFSET(ORÇAMENTO!$X$15,ROW(AW36)-ROW(AW$15),0),
              ROUND(ROUND(OFFSET($P36,0,AW$13),15-13*ORÇAMENTO!$AF$7)*OFFSET(ORÇAMENTO!$W$15,ROW(AW36)-ROW(AW$15),0),15-13*ORÇAMENTO!$AF$11)),
         0)</f>
        <v>0</v>
      </c>
      <c r="AX36" s="453">
        <f ca="1">IF(AND($D36="Serviço",AX$12&lt;&gt;0,$H36&gt;0,OR(AUTOEVENTO&lt;&gt;"manual",$M36&lt;&gt;$A$15)),
        IF(Import.TipoArredondamento&lt;&gt;"TransfereGOV",
              ROUND(OFFSET($P36,0,AX$13),15-13*ORÇAMENTO!$AF$7)/$H36*OFFSET(ORÇAMENTO!$X$15,ROW(AX36)-ROW(AX$15),0),
              ROUND(ROUND(OFFSET($P36,0,AX$13),15-13*ORÇAMENTO!$AF$7)*OFFSET(ORÇAMENTO!$W$15,ROW(AX36)-ROW(AX$15),0),15-13*ORÇAMENTO!$AF$11)),
         0)</f>
        <v>0</v>
      </c>
      <c r="AY36" s="453">
        <f ca="1">IF(AND($D36="Serviço",AY$12&lt;&gt;0,$H36&gt;0,OR(AUTOEVENTO&lt;&gt;"manual",$M36&lt;&gt;$A$15)),
        IF(Import.TipoArredondamento&lt;&gt;"TransfereGOV",
              ROUND(OFFSET($P36,0,AY$13),15-13*ORÇAMENTO!$AF$7)/$H36*OFFSET(ORÇAMENTO!$X$15,ROW(AY36)-ROW(AY$15),0),
              ROUND(ROUND(OFFSET($P36,0,AY$13),15-13*ORÇAMENTO!$AF$7)*OFFSET(ORÇAMENTO!$W$15,ROW(AY36)-ROW(AY$15),0),15-13*ORÇAMENTO!$AF$11)),
         0)</f>
        <v>0</v>
      </c>
      <c r="AZ36" s="453">
        <f ca="1">IF(AND($D36="Serviço",AZ$12&lt;&gt;0,$H36&gt;0,OR(AUTOEVENTO&lt;&gt;"manual",$M36&lt;&gt;$A$15)),
        IF(Import.TipoArredondamento&lt;&gt;"TransfereGOV",
              ROUND(OFFSET($P36,0,AZ$13),15-13*ORÇAMENTO!$AF$7)/$H36*OFFSET(ORÇAMENTO!$X$15,ROW(AZ36)-ROW(AZ$15),0),
              ROUND(ROUND(OFFSET($P36,0,AZ$13),15-13*ORÇAMENTO!$AF$7)*OFFSET(ORÇAMENTO!$W$15,ROW(AZ36)-ROW(AZ$15),0),15-13*ORÇAMENTO!$AF$11)),
         0)</f>
        <v>0</v>
      </c>
      <c r="BA36" s="453">
        <f ca="1">IF(AND($D36="Serviço",BA$12&lt;&gt;0,$H36&gt;0,OR(AUTOEVENTO&lt;&gt;"manual",$M36&lt;&gt;$A$15)),
        IF(Import.TipoArredondamento&lt;&gt;"TransfereGOV",
              ROUND(OFFSET($P36,0,BA$13),15-13*ORÇAMENTO!$AF$7)/$H36*OFFSET(ORÇAMENTO!$X$15,ROW(BA36)-ROW(BA$15),0),
              ROUND(ROUND(OFFSET($P36,0,BA$13),15-13*ORÇAMENTO!$AF$7)*OFFSET(ORÇAMENTO!$W$15,ROW(BA36)-ROW(BA$15),0),15-13*ORÇAMENTO!$AF$11)),
         0)</f>
        <v>0</v>
      </c>
      <c r="BC36" s="171">
        <f ca="1">IF(OR($D36&lt;&gt;"Serviço",AND(AUTOEVENTO="Manual",$M36=$A$15)),0,
         IF(OFFSET(CRONOPLE!$F$15,$M36-$A$15,BC$13)=0,10^12,OFFSET(CRONOPLE!$F$15,$M36-$A$15,BC$13)))</f>
        <v>1000000000000</v>
      </c>
      <c r="BD36" s="171">
        <f ca="1">IF(OR($D36&lt;&gt;"Serviço",AND(AUTOEVENTO="Manual",$M36=$A$15)),0,
         IF(OFFSET(CRONOPLE!$F$15,$M36-$A$15,BD$13)=0,10^12,OFFSET(CRONOPLE!$F$15,$M36-$A$15,BD$13)))</f>
        <v>1000000000000</v>
      </c>
      <c r="BE36" s="171">
        <f ca="1">IF(OR($D36&lt;&gt;"Serviço",AND(AUTOEVENTO="Manual",$M36=$A$15)),0,
         IF(OFFSET(CRONOPLE!$F$15,$M36-$A$15,BE$13)=0,10^12,OFFSET(CRONOPLE!$F$15,$M36-$A$15,BE$13)))</f>
        <v>1</v>
      </c>
      <c r="BF36" s="171">
        <f ca="1">IF(OR($D36&lt;&gt;"Serviço",AND(AUTOEVENTO="Manual",$M36=$A$15)),0,
         IF(OFFSET(CRONOPLE!$F$15,$M36-$A$15,BF$13)=0,10^12,OFFSET(CRONOPLE!$F$15,$M36-$A$15,BF$13)))</f>
        <v>3</v>
      </c>
      <c r="BG36" s="171">
        <f ca="1">IF(OR($D36&lt;&gt;"Serviço",AND(AUTOEVENTO="Manual",$M36=$A$15)),0,
         IF(OFFSET(CRONOPLE!$F$15,$M36-$A$15,BG$13)=0,10^12,OFFSET(CRONOPLE!$F$15,$M36-$A$15,BG$13)))</f>
        <v>3</v>
      </c>
      <c r="BH36" s="171">
        <f ca="1">IF(OR($D36&lt;&gt;"Serviço",AND(AUTOEVENTO="Manual",$M36=$A$15)),0,
         IF(OFFSET(CRONOPLE!$F$15,$M36-$A$15,BH$13)=0,10^12,OFFSET(CRONOPLE!$F$15,$M36-$A$15,BH$13)))</f>
        <v>3</v>
      </c>
      <c r="BI36" s="171">
        <f ca="1">IF(OR($D36&lt;&gt;"Serviço",AND(AUTOEVENTO="Manual",$M36=$A$15)),0,
         IF(OFFSET(CRONOPLE!$F$15,$M36-$A$15,BI$13)=0,10^12,OFFSET(CRONOPLE!$F$15,$M36-$A$15,BI$13)))</f>
        <v>2</v>
      </c>
      <c r="BJ36" s="171">
        <f ca="1">IF(OR($D36&lt;&gt;"Serviço",AND(AUTOEVENTO="Manual",$M36=$A$15)),0,
         IF(OFFSET(CRONOPLE!$F$15,$M36-$A$15,BJ$13)=0,10^12,OFFSET(CRONOPLE!$F$15,$M36-$A$15,BJ$13)))</f>
        <v>2</v>
      </c>
      <c r="BK36" s="171">
        <f ca="1">IF(OR($D36&lt;&gt;"Serviço",AND(AUTOEVENTO="Manual",$M36=$A$15)),0,
         IF(OFFSET(CRONOPLE!$F$15,$M36-$A$15,BK$13)=0,10^12,OFFSET(CRONOPLE!$F$15,$M36-$A$15,BK$13)))</f>
        <v>2</v>
      </c>
      <c r="BL36" s="171">
        <f ca="1">IF(OR($D36&lt;&gt;"Serviço",AND(AUTOEVENTO="Manual",$M36=$A$15)),0,
         IF(OFFSET(CRONOPLE!$F$15,$M36-$A$15,BL$13)=0,10^12,OFFSET(CRONOPLE!$F$15,$M36-$A$15,BL$13)))</f>
        <v>1</v>
      </c>
      <c r="BM36" s="171">
        <f ca="1">IF(OR($D36&lt;&gt;"Serviço",AND(AUTOEVENTO="Manual",$M36=$A$15)),0,
         IF(OFFSET(CRONOPLE!$F$15,$M36-$A$15,BM$13)=0,10^12,OFFSET(CRONOPLE!$F$15,$M36-$A$15,BM$13)))</f>
        <v>1</v>
      </c>
      <c r="BN36" s="171">
        <f ca="1">IF(OR($D36&lt;&gt;"Serviço",AND(AUTOEVENTO="Manual",$M36=$A$15)),0,
         IF(OFFSET(CRONOPLE!$F$15,$M36-$A$15,BN$13)=0,10^12,OFFSET(CRONOPLE!$F$15,$M36-$A$15,BN$13)))</f>
        <v>1000000000000</v>
      </c>
      <c r="BO36" s="171">
        <f ca="1">IF(OR($D36&lt;&gt;"Serviço",AND(AUTOEVENTO="Manual",$M36=$A$15)),0,
         IF(OFFSET(CRONOPLE!$F$15,$M36-$A$15,BO$13)=0,10^12,OFFSET(CRONOPLE!$F$15,$M36-$A$15,BO$13)))</f>
        <v>1000000000000</v>
      </c>
      <c r="BP36" s="171">
        <f ca="1">IF(OR($D36&lt;&gt;"Serviço",AND(AUTOEVENTO="Manual",$M36=$A$15)),0,
         IF(OFFSET(CRONOPLE!$F$15,$M36-$A$15,BP$13)=0,10^12,OFFSET(CRONOPLE!$F$15,$M36-$A$15,BP$13)))</f>
        <v>1000000000000</v>
      </c>
      <c r="BQ36" s="171">
        <f ca="1">IF(OR($D36&lt;&gt;"Serviço",AND(AUTOEVENTO="Manual",$M36=$A$15)),0,
         IF(OFFSET(CRONOPLE!$F$15,$M36-$A$15,BQ$13)=0,10^12,OFFSET(CRONOPLE!$F$15,$M36-$A$15,BQ$13)))</f>
        <v>1000000000000</v>
      </c>
      <c r="BR36" s="171">
        <f ca="1">IF(OR($D36&lt;&gt;"Serviço",AND(AUTOEVENTO="Manual",$M36=$A$15)),0,
         IF(OFFSET(CRONOPLE!$F$15,$M36-$A$15,BR$13)=0,10^12,OFFSET(CRONOPLE!$F$15,$M36-$A$15,BR$13)))</f>
        <v>1000000000000</v>
      </c>
      <c r="BS36" s="171">
        <f ca="1">IF(OR($D36&lt;&gt;"Serviço",AND(AUTOEVENTO="Manual",$M36=$A$15)),0,
         IF(OFFSET(CRONOPLE!$F$15,$M36-$A$15,BS$13)=0,10^12,OFFSET(CRONOPLE!$F$15,$M36-$A$15,BS$13)))</f>
        <v>1000000000000</v>
      </c>
      <c r="BT36" s="171">
        <f ca="1">IF(OR($D36&lt;&gt;"Serviço",AND(AUTOEVENTO="Manual",$M36=$A$15)),0,
         IF(OFFSET(CRONOPLE!$F$15,$M36-$A$15,BT$13)=0,10^12,OFFSET(CRONOPLE!$F$15,$M36-$A$15,BT$13)))</f>
        <v>1000000000000</v>
      </c>
      <c r="BV36" s="172">
        <f ca="1">IF(OR($D36&lt;&gt;"Serviço",AND(AUTOEVENTO="Manual",$M36=$A$15),$M36&gt;(ROW(PLE.lastrow)-ROW(PLE.firstrow))),0,
           IF(OFFSET(PLE!$G$15,$M36-$A$15,BV$13)="",10^12,OFFSET(PLE!$G$15,$M36-$A$15,BV$13)))</f>
        <v>1000000000000</v>
      </c>
      <c r="BW36" s="172">
        <f ca="1">IF(OR($D36&lt;&gt;"Serviço",AND(AUTOEVENTO="Manual",$M36=$A$15),$M36&gt;(ROW(PLE.lastrow)-ROW(PLE.firstrow))),0,
           IF(OFFSET(PLE!$G$15,$M36-$A$15,BW$13)="",10^12,OFFSET(PLE!$G$15,$M36-$A$15,BW$13)))</f>
        <v>1000000000000</v>
      </c>
      <c r="BX36" s="172">
        <f ca="1">IF(OR($D36&lt;&gt;"Serviço",AND(AUTOEVENTO="Manual",$M36=$A$15),$M36&gt;(ROW(PLE.lastrow)-ROW(PLE.firstrow))),0,
           IF(OFFSET(PLE!$G$15,$M36-$A$15,BX$13)="",10^12,OFFSET(PLE!$G$15,$M36-$A$15,BX$13)))</f>
        <v>1000000000000</v>
      </c>
      <c r="BY36" s="172">
        <f ca="1">IF(OR($D36&lt;&gt;"Serviço",AND(AUTOEVENTO="Manual",$M36=$A$15),$M36&gt;(ROW(PLE.lastrow)-ROW(PLE.firstrow))),0,
           IF(OFFSET(PLE!$G$15,$M36-$A$15,BY$13)="",10^12,OFFSET(PLE!$G$15,$M36-$A$15,BY$13)))</f>
        <v>1000000000000</v>
      </c>
      <c r="BZ36" s="172">
        <f ca="1">IF(OR($D36&lt;&gt;"Serviço",AND(AUTOEVENTO="Manual",$M36=$A$15),$M36&gt;(ROW(PLE.lastrow)-ROW(PLE.firstrow))),0,
           IF(OFFSET(PLE!$G$15,$M36-$A$15,BZ$13)="",10^12,OFFSET(PLE!$G$15,$M36-$A$15,BZ$13)))</f>
        <v>1000000000000</v>
      </c>
      <c r="CA36" s="172">
        <f ca="1">IF(OR($D36&lt;&gt;"Serviço",AND(AUTOEVENTO="Manual",$M36=$A$15),$M36&gt;(ROW(PLE.lastrow)-ROW(PLE.firstrow))),0,
           IF(OFFSET(PLE!$G$15,$M36-$A$15,CA$13)="",10^12,OFFSET(PLE!$G$15,$M36-$A$15,CA$13)))</f>
        <v>1000000000000</v>
      </c>
      <c r="CB36" s="172">
        <f ca="1">IF(OR($D36&lt;&gt;"Serviço",AND(AUTOEVENTO="Manual",$M36=$A$15),$M36&gt;(ROW(PLE.lastrow)-ROW(PLE.firstrow))),0,
           IF(OFFSET(PLE!$G$15,$M36-$A$15,CB$13)="",10^12,OFFSET(PLE!$G$15,$M36-$A$15,CB$13)))</f>
        <v>1000000000000</v>
      </c>
      <c r="CC36" s="172">
        <f ca="1">IF(OR($D36&lt;&gt;"Serviço",AND(AUTOEVENTO="Manual",$M36=$A$15),$M36&gt;(ROW(PLE.lastrow)-ROW(PLE.firstrow))),0,
           IF(OFFSET(PLE!$G$15,$M36-$A$15,CC$13)="",10^12,OFFSET(PLE!$G$15,$M36-$A$15,CC$13)))</f>
        <v>1000000000000</v>
      </c>
      <c r="CD36" s="172">
        <f ca="1">IF(OR($D36&lt;&gt;"Serviço",AND(AUTOEVENTO="Manual",$M36=$A$15),$M36&gt;(ROW(PLE.lastrow)-ROW(PLE.firstrow))),0,
           IF(OFFSET(PLE!$G$15,$M36-$A$15,CD$13)="",10^12,OFFSET(PLE!$G$15,$M36-$A$15,CD$13)))</f>
        <v>1000000000000</v>
      </c>
      <c r="CE36" s="172">
        <f ca="1">IF(OR($D36&lt;&gt;"Serviço",AND(AUTOEVENTO="Manual",$M36=$A$15),$M36&gt;(ROW(PLE.lastrow)-ROW(PLE.firstrow))),0,
           IF(OFFSET(PLE!$G$15,$M36-$A$15,CE$13)="",10^12,OFFSET(PLE!$G$15,$M36-$A$15,CE$13)))</f>
        <v>1000000000000</v>
      </c>
      <c r="CF36" s="172">
        <f ca="1">IF(OR($D36&lt;&gt;"Serviço",AND(AUTOEVENTO="Manual",$M36=$A$15),$M36&gt;(ROW(PLE.lastrow)-ROW(PLE.firstrow))),0,
           IF(OFFSET(PLE!$G$15,$M36-$A$15,CF$13)="",10^12,OFFSET(PLE!$G$15,$M36-$A$15,CF$13)))</f>
        <v>1000000000000</v>
      </c>
      <c r="CG36" s="172">
        <f ca="1">IF(OR($D36&lt;&gt;"Serviço",AND(AUTOEVENTO="Manual",$M36=$A$15),$M36&gt;(ROW(PLE.lastrow)-ROW(PLE.firstrow))),0,
           IF(OFFSET(PLE!$G$15,$M36-$A$15,CG$13)="",10^12,OFFSET(PLE!$G$15,$M36-$A$15,CG$13)))</f>
        <v>1000000000000</v>
      </c>
      <c r="CH36" s="172">
        <f ca="1">IF(OR($D36&lt;&gt;"Serviço",AND(AUTOEVENTO="Manual",$M36=$A$15),$M36&gt;(ROW(PLE.lastrow)-ROW(PLE.firstrow))),0,
           IF(OFFSET(PLE!$G$15,$M36-$A$15,CH$13)="",10^12,OFFSET(PLE!$G$15,$M36-$A$15,CH$13)))</f>
        <v>1000000000000</v>
      </c>
      <c r="CI36" s="172">
        <f ca="1">IF(OR($D36&lt;&gt;"Serviço",AND(AUTOEVENTO="Manual",$M36=$A$15),$M36&gt;(ROW(PLE.lastrow)-ROW(PLE.firstrow))),0,
           IF(OFFSET(PLE!$G$15,$M36-$A$15,CI$13)="",10^12,OFFSET(PLE!$G$15,$M36-$A$15,CI$13)))</f>
        <v>1000000000000</v>
      </c>
      <c r="CJ36" s="172">
        <f ca="1">IF(OR($D36&lt;&gt;"Serviço",AND(AUTOEVENTO="Manual",$M36=$A$15),$M36&gt;(ROW(PLE.lastrow)-ROW(PLE.firstrow))),0,
           IF(OFFSET(PLE!$G$15,$M36-$A$15,CJ$13)="",10^12,OFFSET(PLE!$G$15,$M36-$A$15,CJ$13)))</f>
        <v>1000000000000</v>
      </c>
      <c r="CK36" s="172">
        <f ca="1">IF(OR($D36&lt;&gt;"Serviço",AND(AUTOEVENTO="Manual",$M36=$A$15),$M36&gt;(ROW(PLE.lastrow)-ROW(PLE.firstrow))),0,
           IF(OFFSET(PLE!$G$15,$M36-$A$15,CK$13)="",10^12,OFFSET(PLE!$G$15,$M36-$A$15,CK$13)))</f>
        <v>1000000000000</v>
      </c>
      <c r="CL36" s="172">
        <f ca="1">IF(OR($D36&lt;&gt;"Serviço",AND(AUTOEVENTO="Manual",$M36=$A$15),$M36&gt;(ROW(PLE.lastrow)-ROW(PLE.firstrow))),0,
           IF(OFFSET(PLE!$G$15,$M36-$A$15,CL$13)="",10^12,OFFSET(PLE!$G$15,$M36-$A$15,CL$13)))</f>
        <v>1000000000000</v>
      </c>
      <c r="CM36" s="172">
        <f ca="1">IF(OR($D36&lt;&gt;"Serviço",AND(AUTOEVENTO="Manual",$M36=$A$15),$M36&gt;(ROW(PLE.lastrow)-ROW(PLE.firstrow))),0,
           IF(OFFSET(PLE!$G$15,$M36-$A$15,CM$13)="",10^12,OFFSET(PLE!$G$15,$M36-$A$15,CM$13)))</f>
        <v>1000000000000</v>
      </c>
    </row>
    <row r="37" spans="1:91" ht="13.2" x14ac:dyDescent="0.25">
      <c r="A37" s="7" t="str">
        <f t="shared" ca="1" si="11"/>
        <v>18</v>
      </c>
      <c r="B37" s="7" t="str">
        <f ca="1">OFFSET(ORÇAMENTO!C$15,ROW(B37)-ROW(B$15),0)</f>
        <v>S</v>
      </c>
      <c r="C37" s="7" t="str">
        <f ca="1">OFFSET(ORÇAMENTO!L$15,ROW(C37)-ROW(C$15),0)</f>
        <v>F</v>
      </c>
      <c r="D37" s="116" t="str">
        <f ca="1">OFFSET(ORÇAMENTO!N$15,ROW(D37)-ROW(D$15),0)</f>
        <v>Serviço</v>
      </c>
      <c r="E37" s="117" t="str">
        <f ca="1">OFFSET(ORÇAMENTO!O$15,ROW(E37)-ROW(E$15),0)</f>
        <v>1.4.4.</v>
      </c>
      <c r="F37" s="163" t="str">
        <f ca="1">OFFSET(ORÇAMENTO!R$15,ROW(F37)-ROW(F$15),0)</f>
        <v>Concreto asfáltico - faixa C-12,5 - areia extraída e brita produzida</v>
      </c>
      <c r="G37" s="164" t="str">
        <f ca="1">IF($D37&lt;&gt;"Serviço","",OFFSET(ORÇAMENTO!S$15,ROW(G37)-ROW(G$15),0))</f>
        <v>t</v>
      </c>
      <c r="H37" s="122" cm="1">
        <f t="array" aca="1" ref="H37" ca="1">IF($D37&lt;&gt;"Serviço",0,IF(ACOMPANHAMENTO="BM",ROUND(OFFSET(ORÇAMENTO!AJ$15,ROW(H37)-ROW(H$15),0),15-13*ORÇAMENTO!$AF$7),SUMPRODUCT(($Q$1:$AI$1=1)*ROUND($Q37:$AI37,15-13*ORÇAMENTO!$AF$7))))</f>
        <v>649.05999999999995</v>
      </c>
      <c r="I37" s="468"/>
      <c r="J37" s="651" t="e" cm="1">
        <f t="array" aca="1" ref="J37" ca="1">IF(OR(B37&lt;&gt;"S",CÁLCULO.FrentesPreenchidas=0),"",IF(AND(ACOMPANHAMENTO="PLE",AUTOEVENTO="Manual",OR(H37&gt;0,ORÇAMENTO!AC37="QUANT."),OR(K37="",M37=0,N37="")),"►E",IF(AND(ACOMPANHAMENTO="PLE",ORÇAMENTO!AC37="QUANT."),"►Q",IF(AND(ACOMPANHAMENTO="PLE",H37&lt;&gt;SUMPRODUCT(($Q$1:$AI$1=1)*ROUND(Q37:AI37,15))),"►S",IF(AND(COUNTIF($P$11:$AI$11,"▼")=0,H37&gt;0,I37=""),"◄M","")))))</f>
        <v>#NAME?</v>
      </c>
      <c r="K37" s="652"/>
      <c r="L37" s="165" t="s">
        <v>764</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CAMADA DE REPERFILAMENTO</v>
      </c>
      <c r="O37" s="168"/>
      <c r="Q37" s="168"/>
      <c r="R37" s="169"/>
      <c r="S37" s="169">
        <f>TRUNC(S34*0.05*2.51,2)</f>
        <v>649.05999999999995</v>
      </c>
      <c r="T37" s="169"/>
      <c r="U37" s="169"/>
      <c r="V37" s="169"/>
      <c r="W37" s="169"/>
      <c r="X37" s="169"/>
      <c r="Y37" s="169"/>
      <c r="Z37" s="170"/>
      <c r="AA37" s="169"/>
      <c r="AB37" s="169"/>
      <c r="AC37" s="169"/>
      <c r="AD37" s="169"/>
      <c r="AE37" s="169"/>
      <c r="AF37" s="169"/>
      <c r="AG37" s="169"/>
      <c r="AH37" s="170"/>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L37" s="453">
        <f ca="1">IF(AND($D37="Serviço",AL$12&lt;&gt;0,$H37&gt;0,OR(AUTOEVENTO&lt;&gt;"manual",$M37&lt;&gt;$A$15)),
        IF(Import.TipoArredondamento&lt;&gt;"TransfereGOV",
              ROUND(OFFSET($P37,0,AL$13),15-13*ORÇAMENTO!$AF$7)/$H37*OFFSET(ORÇAMENTO!$X$15,ROW(AL37)-ROW(AL$15),0),
              ROUND(ROUND(OFFSET($P37,0,AL$13),15-13*ORÇAMENTO!$AF$7)*OFFSET(ORÇAMENTO!$W$15,ROW(AL37)-ROW(AL$15),0),15-13*ORÇAMENTO!$AF$11)),
         0)</f>
        <v>113358.33</v>
      </c>
      <c r="AM37" s="453">
        <f ca="1">IF(AND($D37="Serviço",AM$12&lt;&gt;0,$H37&gt;0,OR(AUTOEVENTO&lt;&gt;"manual",$M37&lt;&gt;$A$15)),
        IF(Import.TipoArredondamento&lt;&gt;"TransfereGOV",
              ROUND(OFFSET($P37,0,AM$13),15-13*ORÇAMENTO!$AF$7)/$H37*OFFSET(ORÇAMENTO!$X$15,ROW(AM37)-ROW(AM$15),0),
              ROUND(ROUND(OFFSET($P37,0,AM$13),15-13*ORÇAMENTO!$AF$7)*OFFSET(ORÇAMENTO!$W$15,ROW(AM37)-ROW(AM$15),0),15-13*ORÇAMENTO!$AF$11)),
         0)</f>
        <v>0</v>
      </c>
      <c r="AN37" s="453">
        <f ca="1">IF(AND($D37="Serviço",AN$12&lt;&gt;0,$H37&gt;0,OR(AUTOEVENTO&lt;&gt;"manual",$M37&lt;&gt;$A$15)),
        IF(Import.TipoArredondamento&lt;&gt;"TransfereGOV",
              ROUND(OFFSET($P37,0,AN$13),15-13*ORÇAMENTO!$AF$7)/$H37*OFFSET(ORÇAMENTO!$X$15,ROW(AN37)-ROW(AN$15),0),
              ROUND(ROUND(OFFSET($P37,0,AN$13),15-13*ORÇAMENTO!$AF$7)*OFFSET(ORÇAMENTO!$W$15,ROW(AN37)-ROW(AN$15),0),15-13*ORÇAMENTO!$AF$11)),
         0)</f>
        <v>0</v>
      </c>
      <c r="AO37" s="453">
        <f ca="1">IF(AND($D37="Serviço",AO$12&lt;&gt;0,$H37&gt;0,OR(AUTOEVENTO&lt;&gt;"manual",$M37&lt;&gt;$A$15)),
        IF(Import.TipoArredondamento&lt;&gt;"TransfereGOV",
              ROUND(OFFSET($P37,0,AO$13),15-13*ORÇAMENTO!$AF$7)/$H37*OFFSET(ORÇAMENTO!$X$15,ROW(AO37)-ROW(AO$15),0),
              ROUND(ROUND(OFFSET($P37,0,AO$13),15-13*ORÇAMENTO!$AF$7)*OFFSET(ORÇAMENTO!$W$15,ROW(AO37)-ROW(AO$15),0),15-13*ORÇAMENTO!$AF$11)),
         0)</f>
        <v>0</v>
      </c>
      <c r="AP37" s="453">
        <f ca="1">IF(AND($D37="Serviço",AP$12&lt;&gt;0,$H37&gt;0,OR(AUTOEVENTO&lt;&gt;"manual",$M37&lt;&gt;$A$15)),
        IF(Import.TipoArredondamento&lt;&gt;"TransfereGOV",
              ROUND(OFFSET($P37,0,AP$13),15-13*ORÇAMENTO!$AF$7)/$H37*OFFSET(ORÇAMENTO!$X$15,ROW(AP37)-ROW(AP$15),0),
              ROUND(ROUND(OFFSET($P37,0,AP$13),15-13*ORÇAMENTO!$AF$7)*OFFSET(ORÇAMENTO!$W$15,ROW(AP37)-ROW(AP$15),0),15-13*ORÇAMENTO!$AF$11)),
         0)</f>
        <v>0</v>
      </c>
      <c r="AQ37" s="453">
        <f ca="1">IF(AND($D37="Serviço",AQ$12&lt;&gt;0,$H37&gt;0,OR(AUTOEVENTO&lt;&gt;"manual",$M37&lt;&gt;$A$15)),
        IF(Import.TipoArredondamento&lt;&gt;"TransfereGOV",
              ROUND(OFFSET($P37,0,AQ$13),15-13*ORÇAMENTO!$AF$7)/$H37*OFFSET(ORÇAMENTO!$X$15,ROW(AQ37)-ROW(AQ$15),0),
              ROUND(ROUND(OFFSET($P37,0,AQ$13),15-13*ORÇAMENTO!$AF$7)*OFFSET(ORÇAMENTO!$W$15,ROW(AQ37)-ROW(AQ$15),0),15-13*ORÇAMENTO!$AF$11)),
         0)</f>
        <v>0</v>
      </c>
      <c r="AR37" s="453">
        <f ca="1">IF(AND($D37="Serviço",AR$12&lt;&gt;0,$H37&gt;0,OR(AUTOEVENTO&lt;&gt;"manual",$M37&lt;&gt;$A$15)),
        IF(Import.TipoArredondamento&lt;&gt;"TransfereGOV",
              ROUND(OFFSET($P37,0,AR$13),15-13*ORÇAMENTO!$AF$7)/$H37*OFFSET(ORÇAMENTO!$X$15,ROW(AR37)-ROW(AR$15),0),
              ROUND(ROUND(OFFSET($P37,0,AR$13),15-13*ORÇAMENTO!$AF$7)*OFFSET(ORÇAMENTO!$W$15,ROW(AR37)-ROW(AR$15),0),15-13*ORÇAMENTO!$AF$11)),
         0)</f>
        <v>0</v>
      </c>
      <c r="AS37" s="453">
        <f ca="1">IF(AND($D37="Serviço",AS$12&lt;&gt;0,$H37&gt;0,OR(AUTOEVENTO&lt;&gt;"manual",$M37&lt;&gt;$A$15)),
        IF(Import.TipoArredondamento&lt;&gt;"TransfereGOV",
              ROUND(OFFSET($P37,0,AS$13),15-13*ORÇAMENTO!$AF$7)/$H37*OFFSET(ORÇAMENTO!$X$15,ROW(AS37)-ROW(AS$15),0),
              ROUND(ROUND(OFFSET($P37,0,AS$13),15-13*ORÇAMENTO!$AF$7)*OFFSET(ORÇAMENTO!$W$15,ROW(AS37)-ROW(AS$15),0),15-13*ORÇAMENTO!$AF$11)),
         0)</f>
        <v>0</v>
      </c>
      <c r="AT37" s="453">
        <f ca="1">IF(AND($D37="Serviço",AT$12&lt;&gt;0,$H37&gt;0,OR(AUTOEVENTO&lt;&gt;"manual",$M37&lt;&gt;$A$15)),
        IF(Import.TipoArredondamento&lt;&gt;"TransfereGOV",
              ROUND(OFFSET($P37,0,AT$13),15-13*ORÇAMENTO!$AF$7)/$H37*OFFSET(ORÇAMENTO!$X$15,ROW(AT37)-ROW(AT$15),0),
              ROUND(ROUND(OFFSET($P37,0,AT$13),15-13*ORÇAMENTO!$AF$7)*OFFSET(ORÇAMENTO!$W$15,ROW(AT37)-ROW(AT$15),0),15-13*ORÇAMENTO!$AF$11)),
         0)</f>
        <v>0</v>
      </c>
      <c r="AU37" s="453">
        <f ca="1">IF(AND($D37="Serviço",AU$12&lt;&gt;0,$H37&gt;0,OR(AUTOEVENTO&lt;&gt;"manual",$M37&lt;&gt;$A$15)),
        IF(Import.TipoArredondamento&lt;&gt;"TransfereGOV",
              ROUND(OFFSET($P37,0,AU$13),15-13*ORÇAMENTO!$AF$7)/$H37*OFFSET(ORÇAMENTO!$X$15,ROW(AU37)-ROW(AU$15),0),
              ROUND(ROUND(OFFSET($P37,0,AU$13),15-13*ORÇAMENTO!$AF$7)*OFFSET(ORÇAMENTO!$W$15,ROW(AU37)-ROW(AU$15),0),15-13*ORÇAMENTO!$AF$11)),
         0)</f>
        <v>0</v>
      </c>
      <c r="AV37" s="453">
        <f ca="1">IF(AND($D37="Serviço",AV$12&lt;&gt;0,$H37&gt;0,OR(AUTOEVENTO&lt;&gt;"manual",$M37&lt;&gt;$A$15)),
        IF(Import.TipoArredondamento&lt;&gt;"TransfereGOV",
              ROUND(OFFSET($P37,0,AV$13),15-13*ORÇAMENTO!$AF$7)/$H37*OFFSET(ORÇAMENTO!$X$15,ROW(AV37)-ROW(AV$15),0),
              ROUND(ROUND(OFFSET($P37,0,AV$13),15-13*ORÇAMENTO!$AF$7)*OFFSET(ORÇAMENTO!$W$15,ROW(AV37)-ROW(AV$15),0),15-13*ORÇAMENTO!$AF$11)),
         0)</f>
        <v>0</v>
      </c>
      <c r="AW37" s="453">
        <f ca="1">IF(AND($D37="Serviço",AW$12&lt;&gt;0,$H37&gt;0,OR(AUTOEVENTO&lt;&gt;"manual",$M37&lt;&gt;$A$15)),
        IF(Import.TipoArredondamento&lt;&gt;"TransfereGOV",
              ROUND(OFFSET($P37,0,AW$13),15-13*ORÇAMENTO!$AF$7)/$H37*OFFSET(ORÇAMENTO!$X$15,ROW(AW37)-ROW(AW$15),0),
              ROUND(ROUND(OFFSET($P37,0,AW$13),15-13*ORÇAMENTO!$AF$7)*OFFSET(ORÇAMENTO!$W$15,ROW(AW37)-ROW(AW$15),0),15-13*ORÇAMENTO!$AF$11)),
         0)</f>
        <v>0</v>
      </c>
      <c r="AX37" s="453">
        <f ca="1">IF(AND($D37="Serviço",AX$12&lt;&gt;0,$H37&gt;0,OR(AUTOEVENTO&lt;&gt;"manual",$M37&lt;&gt;$A$15)),
        IF(Import.TipoArredondamento&lt;&gt;"TransfereGOV",
              ROUND(OFFSET($P37,0,AX$13),15-13*ORÇAMENTO!$AF$7)/$H37*OFFSET(ORÇAMENTO!$X$15,ROW(AX37)-ROW(AX$15),0),
              ROUND(ROUND(OFFSET($P37,0,AX$13),15-13*ORÇAMENTO!$AF$7)*OFFSET(ORÇAMENTO!$W$15,ROW(AX37)-ROW(AX$15),0),15-13*ORÇAMENTO!$AF$11)),
         0)</f>
        <v>0</v>
      </c>
      <c r="AY37" s="453">
        <f ca="1">IF(AND($D37="Serviço",AY$12&lt;&gt;0,$H37&gt;0,OR(AUTOEVENTO&lt;&gt;"manual",$M37&lt;&gt;$A$15)),
        IF(Import.TipoArredondamento&lt;&gt;"TransfereGOV",
              ROUND(OFFSET($P37,0,AY$13),15-13*ORÇAMENTO!$AF$7)/$H37*OFFSET(ORÇAMENTO!$X$15,ROW(AY37)-ROW(AY$15),0),
              ROUND(ROUND(OFFSET($P37,0,AY$13),15-13*ORÇAMENTO!$AF$7)*OFFSET(ORÇAMENTO!$W$15,ROW(AY37)-ROW(AY$15),0),15-13*ORÇAMENTO!$AF$11)),
         0)</f>
        <v>0</v>
      </c>
      <c r="AZ37" s="453">
        <f ca="1">IF(AND($D37="Serviço",AZ$12&lt;&gt;0,$H37&gt;0,OR(AUTOEVENTO&lt;&gt;"manual",$M37&lt;&gt;$A$15)),
        IF(Import.TipoArredondamento&lt;&gt;"TransfereGOV",
              ROUND(OFFSET($P37,0,AZ$13),15-13*ORÇAMENTO!$AF$7)/$H37*OFFSET(ORÇAMENTO!$X$15,ROW(AZ37)-ROW(AZ$15),0),
              ROUND(ROUND(OFFSET($P37,0,AZ$13),15-13*ORÇAMENTO!$AF$7)*OFFSET(ORÇAMENTO!$W$15,ROW(AZ37)-ROW(AZ$15),0),15-13*ORÇAMENTO!$AF$11)),
         0)</f>
        <v>0</v>
      </c>
      <c r="BA37" s="453">
        <f ca="1">IF(AND($D37="Serviço",BA$12&lt;&gt;0,$H37&gt;0,OR(AUTOEVENTO&lt;&gt;"manual",$M37&lt;&gt;$A$15)),
        IF(Import.TipoArredondamento&lt;&gt;"TransfereGOV",
              ROUND(OFFSET($P37,0,BA$13),15-13*ORÇAMENTO!$AF$7)/$H37*OFFSET(ORÇAMENTO!$X$15,ROW(BA37)-ROW(BA$15),0),
              ROUND(ROUND(OFFSET($P37,0,BA$13),15-13*ORÇAMENTO!$AF$7)*OFFSET(ORÇAMENTO!$W$15,ROW(BA37)-ROW(BA$15),0),15-13*ORÇAMENTO!$AF$11)),
         0)</f>
        <v>0</v>
      </c>
      <c r="BC37" s="171">
        <f ca="1">IF(OR($D37&lt;&gt;"Serviço",AND(AUTOEVENTO="Manual",$M37=$A$15)),0,
         IF(OFFSET(CRONOPLE!$F$15,$M37-$A$15,BC$13)=0,10^12,OFFSET(CRONOPLE!$F$15,$M37-$A$15,BC$13)))</f>
        <v>1000000000000</v>
      </c>
      <c r="BD37" s="171">
        <f ca="1">IF(OR($D37&lt;&gt;"Serviço",AND(AUTOEVENTO="Manual",$M37=$A$15)),0,
         IF(OFFSET(CRONOPLE!$F$15,$M37-$A$15,BD$13)=0,10^12,OFFSET(CRONOPLE!$F$15,$M37-$A$15,BD$13)))</f>
        <v>1000000000000</v>
      </c>
      <c r="BE37" s="171">
        <f ca="1">IF(OR($D37&lt;&gt;"Serviço",AND(AUTOEVENTO="Manual",$M37=$A$15)),0,
         IF(OFFSET(CRONOPLE!$F$15,$M37-$A$15,BE$13)=0,10^12,OFFSET(CRONOPLE!$F$15,$M37-$A$15,BE$13)))</f>
        <v>1</v>
      </c>
      <c r="BF37" s="171">
        <f ca="1">IF(OR($D37&lt;&gt;"Serviço",AND(AUTOEVENTO="Manual",$M37=$A$15)),0,
         IF(OFFSET(CRONOPLE!$F$15,$M37-$A$15,BF$13)=0,10^12,OFFSET(CRONOPLE!$F$15,$M37-$A$15,BF$13)))</f>
        <v>3</v>
      </c>
      <c r="BG37" s="171">
        <f ca="1">IF(OR($D37&lt;&gt;"Serviço",AND(AUTOEVENTO="Manual",$M37=$A$15)),0,
         IF(OFFSET(CRONOPLE!$F$15,$M37-$A$15,BG$13)=0,10^12,OFFSET(CRONOPLE!$F$15,$M37-$A$15,BG$13)))</f>
        <v>3</v>
      </c>
      <c r="BH37" s="171">
        <f ca="1">IF(OR($D37&lt;&gt;"Serviço",AND(AUTOEVENTO="Manual",$M37=$A$15)),0,
         IF(OFFSET(CRONOPLE!$F$15,$M37-$A$15,BH$13)=0,10^12,OFFSET(CRONOPLE!$F$15,$M37-$A$15,BH$13)))</f>
        <v>3</v>
      </c>
      <c r="BI37" s="171">
        <f ca="1">IF(OR($D37&lt;&gt;"Serviço",AND(AUTOEVENTO="Manual",$M37=$A$15)),0,
         IF(OFFSET(CRONOPLE!$F$15,$M37-$A$15,BI$13)=0,10^12,OFFSET(CRONOPLE!$F$15,$M37-$A$15,BI$13)))</f>
        <v>2</v>
      </c>
      <c r="BJ37" s="171">
        <f ca="1">IF(OR($D37&lt;&gt;"Serviço",AND(AUTOEVENTO="Manual",$M37=$A$15)),0,
         IF(OFFSET(CRONOPLE!$F$15,$M37-$A$15,BJ$13)=0,10^12,OFFSET(CRONOPLE!$F$15,$M37-$A$15,BJ$13)))</f>
        <v>2</v>
      </c>
      <c r="BK37" s="171">
        <f ca="1">IF(OR($D37&lt;&gt;"Serviço",AND(AUTOEVENTO="Manual",$M37=$A$15)),0,
         IF(OFFSET(CRONOPLE!$F$15,$M37-$A$15,BK$13)=0,10^12,OFFSET(CRONOPLE!$F$15,$M37-$A$15,BK$13)))</f>
        <v>2</v>
      </c>
      <c r="BL37" s="171">
        <f ca="1">IF(OR($D37&lt;&gt;"Serviço",AND(AUTOEVENTO="Manual",$M37=$A$15)),0,
         IF(OFFSET(CRONOPLE!$F$15,$M37-$A$15,BL$13)=0,10^12,OFFSET(CRONOPLE!$F$15,$M37-$A$15,BL$13)))</f>
        <v>1</v>
      </c>
      <c r="BM37" s="171">
        <f ca="1">IF(OR($D37&lt;&gt;"Serviço",AND(AUTOEVENTO="Manual",$M37=$A$15)),0,
         IF(OFFSET(CRONOPLE!$F$15,$M37-$A$15,BM$13)=0,10^12,OFFSET(CRONOPLE!$F$15,$M37-$A$15,BM$13)))</f>
        <v>1</v>
      </c>
      <c r="BN37" s="171">
        <f ca="1">IF(OR($D37&lt;&gt;"Serviço",AND(AUTOEVENTO="Manual",$M37=$A$15)),0,
         IF(OFFSET(CRONOPLE!$F$15,$M37-$A$15,BN$13)=0,10^12,OFFSET(CRONOPLE!$F$15,$M37-$A$15,BN$13)))</f>
        <v>1000000000000</v>
      </c>
      <c r="BO37" s="171">
        <f ca="1">IF(OR($D37&lt;&gt;"Serviço",AND(AUTOEVENTO="Manual",$M37=$A$15)),0,
         IF(OFFSET(CRONOPLE!$F$15,$M37-$A$15,BO$13)=0,10^12,OFFSET(CRONOPLE!$F$15,$M37-$A$15,BO$13)))</f>
        <v>1000000000000</v>
      </c>
      <c r="BP37" s="171">
        <f ca="1">IF(OR($D37&lt;&gt;"Serviço",AND(AUTOEVENTO="Manual",$M37=$A$15)),0,
         IF(OFFSET(CRONOPLE!$F$15,$M37-$A$15,BP$13)=0,10^12,OFFSET(CRONOPLE!$F$15,$M37-$A$15,BP$13)))</f>
        <v>1000000000000</v>
      </c>
      <c r="BQ37" s="171">
        <f ca="1">IF(OR($D37&lt;&gt;"Serviço",AND(AUTOEVENTO="Manual",$M37=$A$15)),0,
         IF(OFFSET(CRONOPLE!$F$15,$M37-$A$15,BQ$13)=0,10^12,OFFSET(CRONOPLE!$F$15,$M37-$A$15,BQ$13)))</f>
        <v>1000000000000</v>
      </c>
      <c r="BR37" s="171">
        <f ca="1">IF(OR($D37&lt;&gt;"Serviço",AND(AUTOEVENTO="Manual",$M37=$A$15)),0,
         IF(OFFSET(CRONOPLE!$F$15,$M37-$A$15,BR$13)=0,10^12,OFFSET(CRONOPLE!$F$15,$M37-$A$15,BR$13)))</f>
        <v>1000000000000</v>
      </c>
      <c r="BS37" s="171">
        <f ca="1">IF(OR($D37&lt;&gt;"Serviço",AND(AUTOEVENTO="Manual",$M37=$A$15)),0,
         IF(OFFSET(CRONOPLE!$F$15,$M37-$A$15,BS$13)=0,10^12,OFFSET(CRONOPLE!$F$15,$M37-$A$15,BS$13)))</f>
        <v>1000000000000</v>
      </c>
      <c r="BT37" s="171">
        <f ca="1">IF(OR($D37&lt;&gt;"Serviço",AND(AUTOEVENTO="Manual",$M37=$A$15)),0,
         IF(OFFSET(CRONOPLE!$F$15,$M37-$A$15,BT$13)=0,10^12,OFFSET(CRONOPLE!$F$15,$M37-$A$15,BT$13)))</f>
        <v>1000000000000</v>
      </c>
      <c r="BV37" s="172">
        <f ca="1">IF(OR($D37&lt;&gt;"Serviço",AND(AUTOEVENTO="Manual",$M37=$A$15),$M37&gt;(ROW(PLE.lastrow)-ROW(PLE.firstrow))),0,
           IF(OFFSET(PLE!$G$15,$M37-$A$15,BV$13)="",10^12,OFFSET(PLE!$G$15,$M37-$A$15,BV$13)))</f>
        <v>1000000000000</v>
      </c>
      <c r="BW37" s="172">
        <f ca="1">IF(OR($D37&lt;&gt;"Serviço",AND(AUTOEVENTO="Manual",$M37=$A$15),$M37&gt;(ROW(PLE.lastrow)-ROW(PLE.firstrow))),0,
           IF(OFFSET(PLE!$G$15,$M37-$A$15,BW$13)="",10^12,OFFSET(PLE!$G$15,$M37-$A$15,BW$13)))</f>
        <v>1000000000000</v>
      </c>
      <c r="BX37" s="172">
        <f ca="1">IF(OR($D37&lt;&gt;"Serviço",AND(AUTOEVENTO="Manual",$M37=$A$15),$M37&gt;(ROW(PLE.lastrow)-ROW(PLE.firstrow))),0,
           IF(OFFSET(PLE!$G$15,$M37-$A$15,BX$13)="",10^12,OFFSET(PLE!$G$15,$M37-$A$15,BX$13)))</f>
        <v>1000000000000</v>
      </c>
      <c r="BY37" s="172">
        <f ca="1">IF(OR($D37&lt;&gt;"Serviço",AND(AUTOEVENTO="Manual",$M37=$A$15),$M37&gt;(ROW(PLE.lastrow)-ROW(PLE.firstrow))),0,
           IF(OFFSET(PLE!$G$15,$M37-$A$15,BY$13)="",10^12,OFFSET(PLE!$G$15,$M37-$A$15,BY$13)))</f>
        <v>1000000000000</v>
      </c>
      <c r="BZ37" s="172">
        <f ca="1">IF(OR($D37&lt;&gt;"Serviço",AND(AUTOEVENTO="Manual",$M37=$A$15),$M37&gt;(ROW(PLE.lastrow)-ROW(PLE.firstrow))),0,
           IF(OFFSET(PLE!$G$15,$M37-$A$15,BZ$13)="",10^12,OFFSET(PLE!$G$15,$M37-$A$15,BZ$13)))</f>
        <v>1000000000000</v>
      </c>
      <c r="CA37" s="172">
        <f ca="1">IF(OR($D37&lt;&gt;"Serviço",AND(AUTOEVENTO="Manual",$M37=$A$15),$M37&gt;(ROW(PLE.lastrow)-ROW(PLE.firstrow))),0,
           IF(OFFSET(PLE!$G$15,$M37-$A$15,CA$13)="",10^12,OFFSET(PLE!$G$15,$M37-$A$15,CA$13)))</f>
        <v>1000000000000</v>
      </c>
      <c r="CB37" s="172">
        <f ca="1">IF(OR($D37&lt;&gt;"Serviço",AND(AUTOEVENTO="Manual",$M37=$A$15),$M37&gt;(ROW(PLE.lastrow)-ROW(PLE.firstrow))),0,
           IF(OFFSET(PLE!$G$15,$M37-$A$15,CB$13)="",10^12,OFFSET(PLE!$G$15,$M37-$A$15,CB$13)))</f>
        <v>1000000000000</v>
      </c>
      <c r="CC37" s="172">
        <f ca="1">IF(OR($D37&lt;&gt;"Serviço",AND(AUTOEVENTO="Manual",$M37=$A$15),$M37&gt;(ROW(PLE.lastrow)-ROW(PLE.firstrow))),0,
           IF(OFFSET(PLE!$G$15,$M37-$A$15,CC$13)="",10^12,OFFSET(PLE!$G$15,$M37-$A$15,CC$13)))</f>
        <v>1000000000000</v>
      </c>
      <c r="CD37" s="172">
        <f ca="1">IF(OR($D37&lt;&gt;"Serviço",AND(AUTOEVENTO="Manual",$M37=$A$15),$M37&gt;(ROW(PLE.lastrow)-ROW(PLE.firstrow))),0,
           IF(OFFSET(PLE!$G$15,$M37-$A$15,CD$13)="",10^12,OFFSET(PLE!$G$15,$M37-$A$15,CD$13)))</f>
        <v>1000000000000</v>
      </c>
      <c r="CE37" s="172">
        <f ca="1">IF(OR($D37&lt;&gt;"Serviço",AND(AUTOEVENTO="Manual",$M37=$A$15),$M37&gt;(ROW(PLE.lastrow)-ROW(PLE.firstrow))),0,
           IF(OFFSET(PLE!$G$15,$M37-$A$15,CE$13)="",10^12,OFFSET(PLE!$G$15,$M37-$A$15,CE$13)))</f>
        <v>1000000000000</v>
      </c>
      <c r="CF37" s="172">
        <f ca="1">IF(OR($D37&lt;&gt;"Serviço",AND(AUTOEVENTO="Manual",$M37=$A$15),$M37&gt;(ROW(PLE.lastrow)-ROW(PLE.firstrow))),0,
           IF(OFFSET(PLE!$G$15,$M37-$A$15,CF$13)="",10^12,OFFSET(PLE!$G$15,$M37-$A$15,CF$13)))</f>
        <v>1000000000000</v>
      </c>
      <c r="CG37" s="172">
        <f ca="1">IF(OR($D37&lt;&gt;"Serviço",AND(AUTOEVENTO="Manual",$M37=$A$15),$M37&gt;(ROW(PLE.lastrow)-ROW(PLE.firstrow))),0,
           IF(OFFSET(PLE!$G$15,$M37-$A$15,CG$13)="",10^12,OFFSET(PLE!$G$15,$M37-$A$15,CG$13)))</f>
        <v>1000000000000</v>
      </c>
      <c r="CH37" s="172">
        <f ca="1">IF(OR($D37&lt;&gt;"Serviço",AND(AUTOEVENTO="Manual",$M37=$A$15),$M37&gt;(ROW(PLE.lastrow)-ROW(PLE.firstrow))),0,
           IF(OFFSET(PLE!$G$15,$M37-$A$15,CH$13)="",10^12,OFFSET(PLE!$G$15,$M37-$A$15,CH$13)))</f>
        <v>1000000000000</v>
      </c>
      <c r="CI37" s="172">
        <f ca="1">IF(OR($D37&lt;&gt;"Serviço",AND(AUTOEVENTO="Manual",$M37=$A$15),$M37&gt;(ROW(PLE.lastrow)-ROW(PLE.firstrow))),0,
           IF(OFFSET(PLE!$G$15,$M37-$A$15,CI$13)="",10^12,OFFSET(PLE!$G$15,$M37-$A$15,CI$13)))</f>
        <v>1000000000000</v>
      </c>
      <c r="CJ37" s="172">
        <f ca="1">IF(OR($D37&lt;&gt;"Serviço",AND(AUTOEVENTO="Manual",$M37=$A$15),$M37&gt;(ROW(PLE.lastrow)-ROW(PLE.firstrow))),0,
           IF(OFFSET(PLE!$G$15,$M37-$A$15,CJ$13)="",10^12,OFFSET(PLE!$G$15,$M37-$A$15,CJ$13)))</f>
        <v>1000000000000</v>
      </c>
      <c r="CK37" s="172">
        <f ca="1">IF(OR($D37&lt;&gt;"Serviço",AND(AUTOEVENTO="Manual",$M37=$A$15),$M37&gt;(ROW(PLE.lastrow)-ROW(PLE.firstrow))),0,
           IF(OFFSET(PLE!$G$15,$M37-$A$15,CK$13)="",10^12,OFFSET(PLE!$G$15,$M37-$A$15,CK$13)))</f>
        <v>1000000000000</v>
      </c>
      <c r="CL37" s="172">
        <f ca="1">IF(OR($D37&lt;&gt;"Serviço",AND(AUTOEVENTO="Manual",$M37=$A$15),$M37&gt;(ROW(PLE.lastrow)-ROW(PLE.firstrow))),0,
           IF(OFFSET(PLE!$G$15,$M37-$A$15,CL$13)="",10^12,OFFSET(PLE!$G$15,$M37-$A$15,CL$13)))</f>
        <v>1000000000000</v>
      </c>
      <c r="CM37" s="172">
        <f ca="1">IF(OR($D37&lt;&gt;"Serviço",AND(AUTOEVENTO="Manual",$M37=$A$15),$M37&gt;(ROW(PLE.lastrow)-ROW(PLE.firstrow))),0,
           IF(OFFSET(PLE!$G$15,$M37-$A$15,CM$13)="",10^12,OFFSET(PLE!$G$15,$M37-$A$15,CM$13)))</f>
        <v>1000000000000</v>
      </c>
    </row>
    <row r="38" spans="1:91" ht="13.2" x14ac:dyDescent="0.25">
      <c r="A38" s="7" t="str">
        <f t="shared" ca="1" si="11"/>
        <v>18</v>
      </c>
      <c r="B38" s="7" t="str">
        <f ca="1">OFFSET(ORÇAMENTO!C$15,ROW(B38)-ROW(B$15),0)</f>
        <v>S</v>
      </c>
      <c r="C38" s="7" t="str">
        <f ca="1">OFFSET(ORÇAMENTO!L$15,ROW(C38)-ROW(C$15),0)</f>
        <v>F</v>
      </c>
      <c r="D38" s="116" t="str">
        <f ca="1">OFFSET(ORÇAMENTO!N$15,ROW(D38)-ROW(D$15),0)</f>
        <v>Serviço</v>
      </c>
      <c r="E38" s="117" t="str">
        <f ca="1">OFFSET(ORÇAMENTO!O$15,ROW(E38)-ROW(E$15),0)</f>
        <v>1.4.5.</v>
      </c>
      <c r="F38" s="163" t="str">
        <f ca="1">OFFSET(ORÇAMENTO!R$15,ROW(F38)-ROW(F$15),0)</f>
        <v>Transporte com caminhão basculante de 10 m³ - rodovia pavimentada</v>
      </c>
      <c r="G38" s="164" t="str">
        <f ca="1">IF($D38&lt;&gt;"Serviço","",OFFSET(ORÇAMENTO!S$15,ROW(G38)-ROW(G$15),0))</f>
        <v>tkm</v>
      </c>
      <c r="H38" s="122" cm="1">
        <f t="array" aca="1" ref="H38" ca="1">IF($D38&lt;&gt;"Serviço",0,IF(ACOMPANHAMENTO="BM",ROUND(OFFSET(ORÇAMENTO!AJ$15,ROW(H38)-ROW(H$15),0),15-13*ORÇAMENTO!$AF$7),SUMPRODUCT(($Q$1:$AI$1=1)*ROUND($Q38:$AI38,15-13*ORÇAMENTO!$AF$7))))</f>
        <v>13630.26</v>
      </c>
      <c r="I38" s="468"/>
      <c r="J38" s="651" t="e" cm="1">
        <f t="array" aca="1" ref="J38" ca="1">IF(OR(B38&lt;&gt;"S",CÁLCULO.FrentesPreenchidas=0),"",IF(AND(ACOMPANHAMENTO="PLE",AUTOEVENTO="Manual",OR(H38&gt;0,ORÇAMENTO!AC38="QUANT."),OR(K38="",M38=0,N38="")),"►E",IF(AND(ACOMPANHAMENTO="PLE",ORÇAMENTO!AC38="QUANT."),"►Q",IF(AND(ACOMPANHAMENTO="PLE",H38&lt;&gt;SUMPRODUCT(($Q$1:$AI$1=1)*ROUND(Q38:AI38,15))),"►S",IF(AND(COUNTIF($P$11:$AI$11,"▼")=0,H38&gt;0,I38=""),"◄M","")))))</f>
        <v>#NAME?</v>
      </c>
      <c r="K38" s="652"/>
      <c r="L38" s="165" t="s">
        <v>764</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CAMADA DE REPERFILAMENTO</v>
      </c>
      <c r="O38" s="168"/>
      <c r="Q38" s="168"/>
      <c r="R38" s="169"/>
      <c r="S38" s="169">
        <f>S37*21</f>
        <v>13630.259999999998</v>
      </c>
      <c r="T38" s="169"/>
      <c r="U38" s="169"/>
      <c r="V38" s="169"/>
      <c r="W38" s="169"/>
      <c r="X38" s="169"/>
      <c r="Y38" s="169"/>
      <c r="Z38" s="170"/>
      <c r="AA38" s="169"/>
      <c r="AB38" s="169"/>
      <c r="AC38" s="169"/>
      <c r="AD38" s="169"/>
      <c r="AE38" s="169"/>
      <c r="AF38" s="169"/>
      <c r="AG38" s="169"/>
      <c r="AH38" s="170"/>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L38" s="453">
        <f ca="1">IF(AND($D38="Serviço",AL$12&lt;&gt;0,$H38&gt;0,OR(AUTOEVENTO&lt;&gt;"manual",$M38&lt;&gt;$A$15)),
        IF(Import.TipoArredondamento&lt;&gt;"TransfereGOV",
              ROUND(OFFSET($P38,0,AL$13),15-13*ORÇAMENTO!$AF$7)/$H38*OFFSET(ORÇAMENTO!$X$15,ROW(AL38)-ROW(AL$15),0),
              ROUND(ROUND(OFFSET($P38,0,AL$13),15-13*ORÇAMENTO!$AF$7)*OFFSET(ORÇAMENTO!$W$15,ROW(AL38)-ROW(AL$15),0),15-13*ORÇAMENTO!$AF$11)),
         0)</f>
        <v>13766.56</v>
      </c>
      <c r="AM38" s="453">
        <f ca="1">IF(AND($D38="Serviço",AM$12&lt;&gt;0,$H38&gt;0,OR(AUTOEVENTO&lt;&gt;"manual",$M38&lt;&gt;$A$15)),
        IF(Import.TipoArredondamento&lt;&gt;"TransfereGOV",
              ROUND(OFFSET($P38,0,AM$13),15-13*ORÇAMENTO!$AF$7)/$H38*OFFSET(ORÇAMENTO!$X$15,ROW(AM38)-ROW(AM$15),0),
              ROUND(ROUND(OFFSET($P38,0,AM$13),15-13*ORÇAMENTO!$AF$7)*OFFSET(ORÇAMENTO!$W$15,ROW(AM38)-ROW(AM$15),0),15-13*ORÇAMENTO!$AF$11)),
         0)</f>
        <v>0</v>
      </c>
      <c r="AN38" s="453">
        <f ca="1">IF(AND($D38="Serviço",AN$12&lt;&gt;0,$H38&gt;0,OR(AUTOEVENTO&lt;&gt;"manual",$M38&lt;&gt;$A$15)),
        IF(Import.TipoArredondamento&lt;&gt;"TransfereGOV",
              ROUND(OFFSET($P38,0,AN$13),15-13*ORÇAMENTO!$AF$7)/$H38*OFFSET(ORÇAMENTO!$X$15,ROW(AN38)-ROW(AN$15),0),
              ROUND(ROUND(OFFSET($P38,0,AN$13),15-13*ORÇAMENTO!$AF$7)*OFFSET(ORÇAMENTO!$W$15,ROW(AN38)-ROW(AN$15),0),15-13*ORÇAMENTO!$AF$11)),
         0)</f>
        <v>0</v>
      </c>
      <c r="AO38" s="453">
        <f ca="1">IF(AND($D38="Serviço",AO$12&lt;&gt;0,$H38&gt;0,OR(AUTOEVENTO&lt;&gt;"manual",$M38&lt;&gt;$A$15)),
        IF(Import.TipoArredondamento&lt;&gt;"TransfereGOV",
              ROUND(OFFSET($P38,0,AO$13),15-13*ORÇAMENTO!$AF$7)/$H38*OFFSET(ORÇAMENTO!$X$15,ROW(AO38)-ROW(AO$15),0),
              ROUND(ROUND(OFFSET($P38,0,AO$13),15-13*ORÇAMENTO!$AF$7)*OFFSET(ORÇAMENTO!$W$15,ROW(AO38)-ROW(AO$15),0),15-13*ORÇAMENTO!$AF$11)),
         0)</f>
        <v>0</v>
      </c>
      <c r="AP38" s="453">
        <f ca="1">IF(AND($D38="Serviço",AP$12&lt;&gt;0,$H38&gt;0,OR(AUTOEVENTO&lt;&gt;"manual",$M38&lt;&gt;$A$15)),
        IF(Import.TipoArredondamento&lt;&gt;"TransfereGOV",
              ROUND(OFFSET($P38,0,AP$13),15-13*ORÇAMENTO!$AF$7)/$H38*OFFSET(ORÇAMENTO!$X$15,ROW(AP38)-ROW(AP$15),0),
              ROUND(ROUND(OFFSET($P38,0,AP$13),15-13*ORÇAMENTO!$AF$7)*OFFSET(ORÇAMENTO!$W$15,ROW(AP38)-ROW(AP$15),0),15-13*ORÇAMENTO!$AF$11)),
         0)</f>
        <v>0</v>
      </c>
      <c r="AQ38" s="453">
        <f ca="1">IF(AND($D38="Serviço",AQ$12&lt;&gt;0,$H38&gt;0,OR(AUTOEVENTO&lt;&gt;"manual",$M38&lt;&gt;$A$15)),
        IF(Import.TipoArredondamento&lt;&gt;"TransfereGOV",
              ROUND(OFFSET($P38,0,AQ$13),15-13*ORÇAMENTO!$AF$7)/$H38*OFFSET(ORÇAMENTO!$X$15,ROW(AQ38)-ROW(AQ$15),0),
              ROUND(ROUND(OFFSET($P38,0,AQ$13),15-13*ORÇAMENTO!$AF$7)*OFFSET(ORÇAMENTO!$W$15,ROW(AQ38)-ROW(AQ$15),0),15-13*ORÇAMENTO!$AF$11)),
         0)</f>
        <v>0</v>
      </c>
      <c r="AR38" s="453">
        <f ca="1">IF(AND($D38="Serviço",AR$12&lt;&gt;0,$H38&gt;0,OR(AUTOEVENTO&lt;&gt;"manual",$M38&lt;&gt;$A$15)),
        IF(Import.TipoArredondamento&lt;&gt;"TransfereGOV",
              ROUND(OFFSET($P38,0,AR$13),15-13*ORÇAMENTO!$AF$7)/$H38*OFFSET(ORÇAMENTO!$X$15,ROW(AR38)-ROW(AR$15),0),
              ROUND(ROUND(OFFSET($P38,0,AR$13),15-13*ORÇAMENTO!$AF$7)*OFFSET(ORÇAMENTO!$W$15,ROW(AR38)-ROW(AR$15),0),15-13*ORÇAMENTO!$AF$11)),
         0)</f>
        <v>0</v>
      </c>
      <c r="AS38" s="453">
        <f ca="1">IF(AND($D38="Serviço",AS$12&lt;&gt;0,$H38&gt;0,OR(AUTOEVENTO&lt;&gt;"manual",$M38&lt;&gt;$A$15)),
        IF(Import.TipoArredondamento&lt;&gt;"TransfereGOV",
              ROUND(OFFSET($P38,0,AS$13),15-13*ORÇAMENTO!$AF$7)/$H38*OFFSET(ORÇAMENTO!$X$15,ROW(AS38)-ROW(AS$15),0),
              ROUND(ROUND(OFFSET($P38,0,AS$13),15-13*ORÇAMENTO!$AF$7)*OFFSET(ORÇAMENTO!$W$15,ROW(AS38)-ROW(AS$15),0),15-13*ORÇAMENTO!$AF$11)),
         0)</f>
        <v>0</v>
      </c>
      <c r="AT38" s="453">
        <f ca="1">IF(AND($D38="Serviço",AT$12&lt;&gt;0,$H38&gt;0,OR(AUTOEVENTO&lt;&gt;"manual",$M38&lt;&gt;$A$15)),
        IF(Import.TipoArredondamento&lt;&gt;"TransfereGOV",
              ROUND(OFFSET($P38,0,AT$13),15-13*ORÇAMENTO!$AF$7)/$H38*OFFSET(ORÇAMENTO!$X$15,ROW(AT38)-ROW(AT$15),0),
              ROUND(ROUND(OFFSET($P38,0,AT$13),15-13*ORÇAMENTO!$AF$7)*OFFSET(ORÇAMENTO!$W$15,ROW(AT38)-ROW(AT$15),0),15-13*ORÇAMENTO!$AF$11)),
         0)</f>
        <v>0</v>
      </c>
      <c r="AU38" s="453">
        <f ca="1">IF(AND($D38="Serviço",AU$12&lt;&gt;0,$H38&gt;0,OR(AUTOEVENTO&lt;&gt;"manual",$M38&lt;&gt;$A$15)),
        IF(Import.TipoArredondamento&lt;&gt;"TransfereGOV",
              ROUND(OFFSET($P38,0,AU$13),15-13*ORÇAMENTO!$AF$7)/$H38*OFFSET(ORÇAMENTO!$X$15,ROW(AU38)-ROW(AU$15),0),
              ROUND(ROUND(OFFSET($P38,0,AU$13),15-13*ORÇAMENTO!$AF$7)*OFFSET(ORÇAMENTO!$W$15,ROW(AU38)-ROW(AU$15),0),15-13*ORÇAMENTO!$AF$11)),
         0)</f>
        <v>0</v>
      </c>
      <c r="AV38" s="453">
        <f ca="1">IF(AND($D38="Serviço",AV$12&lt;&gt;0,$H38&gt;0,OR(AUTOEVENTO&lt;&gt;"manual",$M38&lt;&gt;$A$15)),
        IF(Import.TipoArredondamento&lt;&gt;"TransfereGOV",
              ROUND(OFFSET($P38,0,AV$13),15-13*ORÇAMENTO!$AF$7)/$H38*OFFSET(ORÇAMENTO!$X$15,ROW(AV38)-ROW(AV$15),0),
              ROUND(ROUND(OFFSET($P38,0,AV$13),15-13*ORÇAMENTO!$AF$7)*OFFSET(ORÇAMENTO!$W$15,ROW(AV38)-ROW(AV$15),0),15-13*ORÇAMENTO!$AF$11)),
         0)</f>
        <v>0</v>
      </c>
      <c r="AW38" s="453">
        <f ca="1">IF(AND($D38="Serviço",AW$12&lt;&gt;0,$H38&gt;0,OR(AUTOEVENTO&lt;&gt;"manual",$M38&lt;&gt;$A$15)),
        IF(Import.TipoArredondamento&lt;&gt;"TransfereGOV",
              ROUND(OFFSET($P38,0,AW$13),15-13*ORÇAMENTO!$AF$7)/$H38*OFFSET(ORÇAMENTO!$X$15,ROW(AW38)-ROW(AW$15),0),
              ROUND(ROUND(OFFSET($P38,0,AW$13),15-13*ORÇAMENTO!$AF$7)*OFFSET(ORÇAMENTO!$W$15,ROW(AW38)-ROW(AW$15),0),15-13*ORÇAMENTO!$AF$11)),
         0)</f>
        <v>0</v>
      </c>
      <c r="AX38" s="453">
        <f ca="1">IF(AND($D38="Serviço",AX$12&lt;&gt;0,$H38&gt;0,OR(AUTOEVENTO&lt;&gt;"manual",$M38&lt;&gt;$A$15)),
        IF(Import.TipoArredondamento&lt;&gt;"TransfereGOV",
              ROUND(OFFSET($P38,0,AX$13),15-13*ORÇAMENTO!$AF$7)/$H38*OFFSET(ORÇAMENTO!$X$15,ROW(AX38)-ROW(AX$15),0),
              ROUND(ROUND(OFFSET($P38,0,AX$13),15-13*ORÇAMENTO!$AF$7)*OFFSET(ORÇAMENTO!$W$15,ROW(AX38)-ROW(AX$15),0),15-13*ORÇAMENTO!$AF$11)),
         0)</f>
        <v>0</v>
      </c>
      <c r="AY38" s="453">
        <f ca="1">IF(AND($D38="Serviço",AY$12&lt;&gt;0,$H38&gt;0,OR(AUTOEVENTO&lt;&gt;"manual",$M38&lt;&gt;$A$15)),
        IF(Import.TipoArredondamento&lt;&gt;"TransfereGOV",
              ROUND(OFFSET($P38,0,AY$13),15-13*ORÇAMENTO!$AF$7)/$H38*OFFSET(ORÇAMENTO!$X$15,ROW(AY38)-ROW(AY$15),0),
              ROUND(ROUND(OFFSET($P38,0,AY$13),15-13*ORÇAMENTO!$AF$7)*OFFSET(ORÇAMENTO!$W$15,ROW(AY38)-ROW(AY$15),0),15-13*ORÇAMENTO!$AF$11)),
         0)</f>
        <v>0</v>
      </c>
      <c r="AZ38" s="453">
        <f ca="1">IF(AND($D38="Serviço",AZ$12&lt;&gt;0,$H38&gt;0,OR(AUTOEVENTO&lt;&gt;"manual",$M38&lt;&gt;$A$15)),
        IF(Import.TipoArredondamento&lt;&gt;"TransfereGOV",
              ROUND(OFFSET($P38,0,AZ$13),15-13*ORÇAMENTO!$AF$7)/$H38*OFFSET(ORÇAMENTO!$X$15,ROW(AZ38)-ROW(AZ$15),0),
              ROUND(ROUND(OFFSET($P38,0,AZ$13),15-13*ORÇAMENTO!$AF$7)*OFFSET(ORÇAMENTO!$W$15,ROW(AZ38)-ROW(AZ$15),0),15-13*ORÇAMENTO!$AF$11)),
         0)</f>
        <v>0</v>
      </c>
      <c r="BA38" s="453">
        <f ca="1">IF(AND($D38="Serviço",BA$12&lt;&gt;0,$H38&gt;0,OR(AUTOEVENTO&lt;&gt;"manual",$M38&lt;&gt;$A$15)),
        IF(Import.TipoArredondamento&lt;&gt;"TransfereGOV",
              ROUND(OFFSET($P38,0,BA$13),15-13*ORÇAMENTO!$AF$7)/$H38*OFFSET(ORÇAMENTO!$X$15,ROW(BA38)-ROW(BA$15),0),
              ROUND(ROUND(OFFSET($P38,0,BA$13),15-13*ORÇAMENTO!$AF$7)*OFFSET(ORÇAMENTO!$W$15,ROW(BA38)-ROW(BA$15),0),15-13*ORÇAMENTO!$AF$11)),
         0)</f>
        <v>0</v>
      </c>
      <c r="BC38" s="171">
        <f ca="1">IF(OR($D38&lt;&gt;"Serviço",AND(AUTOEVENTO="Manual",$M38=$A$15)),0,
         IF(OFFSET(CRONOPLE!$F$15,$M38-$A$15,BC$13)=0,10^12,OFFSET(CRONOPLE!$F$15,$M38-$A$15,BC$13)))</f>
        <v>1000000000000</v>
      </c>
      <c r="BD38" s="171">
        <f ca="1">IF(OR($D38&lt;&gt;"Serviço",AND(AUTOEVENTO="Manual",$M38=$A$15)),0,
         IF(OFFSET(CRONOPLE!$F$15,$M38-$A$15,BD$13)=0,10^12,OFFSET(CRONOPLE!$F$15,$M38-$A$15,BD$13)))</f>
        <v>1000000000000</v>
      </c>
      <c r="BE38" s="171">
        <f ca="1">IF(OR($D38&lt;&gt;"Serviço",AND(AUTOEVENTO="Manual",$M38=$A$15)),0,
         IF(OFFSET(CRONOPLE!$F$15,$M38-$A$15,BE$13)=0,10^12,OFFSET(CRONOPLE!$F$15,$M38-$A$15,BE$13)))</f>
        <v>1</v>
      </c>
      <c r="BF38" s="171">
        <f ca="1">IF(OR($D38&lt;&gt;"Serviço",AND(AUTOEVENTO="Manual",$M38=$A$15)),0,
         IF(OFFSET(CRONOPLE!$F$15,$M38-$A$15,BF$13)=0,10^12,OFFSET(CRONOPLE!$F$15,$M38-$A$15,BF$13)))</f>
        <v>3</v>
      </c>
      <c r="BG38" s="171">
        <f ca="1">IF(OR($D38&lt;&gt;"Serviço",AND(AUTOEVENTO="Manual",$M38=$A$15)),0,
         IF(OFFSET(CRONOPLE!$F$15,$M38-$A$15,BG$13)=0,10^12,OFFSET(CRONOPLE!$F$15,$M38-$A$15,BG$13)))</f>
        <v>3</v>
      </c>
      <c r="BH38" s="171">
        <f ca="1">IF(OR($D38&lt;&gt;"Serviço",AND(AUTOEVENTO="Manual",$M38=$A$15)),0,
         IF(OFFSET(CRONOPLE!$F$15,$M38-$A$15,BH$13)=0,10^12,OFFSET(CRONOPLE!$F$15,$M38-$A$15,BH$13)))</f>
        <v>3</v>
      </c>
      <c r="BI38" s="171">
        <f ca="1">IF(OR($D38&lt;&gt;"Serviço",AND(AUTOEVENTO="Manual",$M38=$A$15)),0,
         IF(OFFSET(CRONOPLE!$F$15,$M38-$A$15,BI$13)=0,10^12,OFFSET(CRONOPLE!$F$15,$M38-$A$15,BI$13)))</f>
        <v>2</v>
      </c>
      <c r="BJ38" s="171">
        <f ca="1">IF(OR($D38&lt;&gt;"Serviço",AND(AUTOEVENTO="Manual",$M38=$A$15)),0,
         IF(OFFSET(CRONOPLE!$F$15,$M38-$A$15,BJ$13)=0,10^12,OFFSET(CRONOPLE!$F$15,$M38-$A$15,BJ$13)))</f>
        <v>2</v>
      </c>
      <c r="BK38" s="171">
        <f ca="1">IF(OR($D38&lt;&gt;"Serviço",AND(AUTOEVENTO="Manual",$M38=$A$15)),0,
         IF(OFFSET(CRONOPLE!$F$15,$M38-$A$15,BK$13)=0,10^12,OFFSET(CRONOPLE!$F$15,$M38-$A$15,BK$13)))</f>
        <v>2</v>
      </c>
      <c r="BL38" s="171">
        <f ca="1">IF(OR($D38&lt;&gt;"Serviço",AND(AUTOEVENTO="Manual",$M38=$A$15)),0,
         IF(OFFSET(CRONOPLE!$F$15,$M38-$A$15,BL$13)=0,10^12,OFFSET(CRONOPLE!$F$15,$M38-$A$15,BL$13)))</f>
        <v>1</v>
      </c>
      <c r="BM38" s="171">
        <f ca="1">IF(OR($D38&lt;&gt;"Serviço",AND(AUTOEVENTO="Manual",$M38=$A$15)),0,
         IF(OFFSET(CRONOPLE!$F$15,$M38-$A$15,BM$13)=0,10^12,OFFSET(CRONOPLE!$F$15,$M38-$A$15,BM$13)))</f>
        <v>1</v>
      </c>
      <c r="BN38" s="171">
        <f ca="1">IF(OR($D38&lt;&gt;"Serviço",AND(AUTOEVENTO="Manual",$M38=$A$15)),0,
         IF(OFFSET(CRONOPLE!$F$15,$M38-$A$15,BN$13)=0,10^12,OFFSET(CRONOPLE!$F$15,$M38-$A$15,BN$13)))</f>
        <v>1000000000000</v>
      </c>
      <c r="BO38" s="171">
        <f ca="1">IF(OR($D38&lt;&gt;"Serviço",AND(AUTOEVENTO="Manual",$M38=$A$15)),0,
         IF(OFFSET(CRONOPLE!$F$15,$M38-$A$15,BO$13)=0,10^12,OFFSET(CRONOPLE!$F$15,$M38-$A$15,BO$13)))</f>
        <v>1000000000000</v>
      </c>
      <c r="BP38" s="171">
        <f ca="1">IF(OR($D38&lt;&gt;"Serviço",AND(AUTOEVENTO="Manual",$M38=$A$15)),0,
         IF(OFFSET(CRONOPLE!$F$15,$M38-$A$15,BP$13)=0,10^12,OFFSET(CRONOPLE!$F$15,$M38-$A$15,BP$13)))</f>
        <v>1000000000000</v>
      </c>
      <c r="BQ38" s="171">
        <f ca="1">IF(OR($D38&lt;&gt;"Serviço",AND(AUTOEVENTO="Manual",$M38=$A$15)),0,
         IF(OFFSET(CRONOPLE!$F$15,$M38-$A$15,BQ$13)=0,10^12,OFFSET(CRONOPLE!$F$15,$M38-$A$15,BQ$13)))</f>
        <v>1000000000000</v>
      </c>
      <c r="BR38" s="171">
        <f ca="1">IF(OR($D38&lt;&gt;"Serviço",AND(AUTOEVENTO="Manual",$M38=$A$15)),0,
         IF(OFFSET(CRONOPLE!$F$15,$M38-$A$15,BR$13)=0,10^12,OFFSET(CRONOPLE!$F$15,$M38-$A$15,BR$13)))</f>
        <v>1000000000000</v>
      </c>
      <c r="BS38" s="171">
        <f ca="1">IF(OR($D38&lt;&gt;"Serviço",AND(AUTOEVENTO="Manual",$M38=$A$15)),0,
         IF(OFFSET(CRONOPLE!$F$15,$M38-$A$15,BS$13)=0,10^12,OFFSET(CRONOPLE!$F$15,$M38-$A$15,BS$13)))</f>
        <v>1000000000000</v>
      </c>
      <c r="BT38" s="171">
        <f ca="1">IF(OR($D38&lt;&gt;"Serviço",AND(AUTOEVENTO="Manual",$M38=$A$15)),0,
         IF(OFFSET(CRONOPLE!$F$15,$M38-$A$15,BT$13)=0,10^12,OFFSET(CRONOPLE!$F$15,$M38-$A$15,BT$13)))</f>
        <v>1000000000000</v>
      </c>
      <c r="BV38" s="172">
        <f ca="1">IF(OR($D38&lt;&gt;"Serviço",AND(AUTOEVENTO="Manual",$M38=$A$15),$M38&gt;(ROW(PLE.lastrow)-ROW(PLE.firstrow))),0,
           IF(OFFSET(PLE!$G$15,$M38-$A$15,BV$13)="",10^12,OFFSET(PLE!$G$15,$M38-$A$15,BV$13)))</f>
        <v>1000000000000</v>
      </c>
      <c r="BW38" s="172">
        <f ca="1">IF(OR($D38&lt;&gt;"Serviço",AND(AUTOEVENTO="Manual",$M38=$A$15),$M38&gt;(ROW(PLE.lastrow)-ROW(PLE.firstrow))),0,
           IF(OFFSET(PLE!$G$15,$M38-$A$15,BW$13)="",10^12,OFFSET(PLE!$G$15,$M38-$A$15,BW$13)))</f>
        <v>1000000000000</v>
      </c>
      <c r="BX38" s="172">
        <f ca="1">IF(OR($D38&lt;&gt;"Serviço",AND(AUTOEVENTO="Manual",$M38=$A$15),$M38&gt;(ROW(PLE.lastrow)-ROW(PLE.firstrow))),0,
           IF(OFFSET(PLE!$G$15,$M38-$A$15,BX$13)="",10^12,OFFSET(PLE!$G$15,$M38-$A$15,BX$13)))</f>
        <v>1000000000000</v>
      </c>
      <c r="BY38" s="172">
        <f ca="1">IF(OR($D38&lt;&gt;"Serviço",AND(AUTOEVENTO="Manual",$M38=$A$15),$M38&gt;(ROW(PLE.lastrow)-ROW(PLE.firstrow))),0,
           IF(OFFSET(PLE!$G$15,$M38-$A$15,BY$13)="",10^12,OFFSET(PLE!$G$15,$M38-$A$15,BY$13)))</f>
        <v>1000000000000</v>
      </c>
      <c r="BZ38" s="172">
        <f ca="1">IF(OR($D38&lt;&gt;"Serviço",AND(AUTOEVENTO="Manual",$M38=$A$15),$M38&gt;(ROW(PLE.lastrow)-ROW(PLE.firstrow))),0,
           IF(OFFSET(PLE!$G$15,$M38-$A$15,BZ$13)="",10^12,OFFSET(PLE!$G$15,$M38-$A$15,BZ$13)))</f>
        <v>1000000000000</v>
      </c>
      <c r="CA38" s="172">
        <f ca="1">IF(OR($D38&lt;&gt;"Serviço",AND(AUTOEVENTO="Manual",$M38=$A$15),$M38&gt;(ROW(PLE.lastrow)-ROW(PLE.firstrow))),0,
           IF(OFFSET(PLE!$G$15,$M38-$A$15,CA$13)="",10^12,OFFSET(PLE!$G$15,$M38-$A$15,CA$13)))</f>
        <v>1000000000000</v>
      </c>
      <c r="CB38" s="172">
        <f ca="1">IF(OR($D38&lt;&gt;"Serviço",AND(AUTOEVENTO="Manual",$M38=$A$15),$M38&gt;(ROW(PLE.lastrow)-ROW(PLE.firstrow))),0,
           IF(OFFSET(PLE!$G$15,$M38-$A$15,CB$13)="",10^12,OFFSET(PLE!$G$15,$M38-$A$15,CB$13)))</f>
        <v>1000000000000</v>
      </c>
      <c r="CC38" s="172">
        <f ca="1">IF(OR($D38&lt;&gt;"Serviço",AND(AUTOEVENTO="Manual",$M38=$A$15),$M38&gt;(ROW(PLE.lastrow)-ROW(PLE.firstrow))),0,
           IF(OFFSET(PLE!$G$15,$M38-$A$15,CC$13)="",10^12,OFFSET(PLE!$G$15,$M38-$A$15,CC$13)))</f>
        <v>1000000000000</v>
      </c>
      <c r="CD38" s="172">
        <f ca="1">IF(OR($D38&lt;&gt;"Serviço",AND(AUTOEVENTO="Manual",$M38=$A$15),$M38&gt;(ROW(PLE.lastrow)-ROW(PLE.firstrow))),0,
           IF(OFFSET(PLE!$G$15,$M38-$A$15,CD$13)="",10^12,OFFSET(PLE!$G$15,$M38-$A$15,CD$13)))</f>
        <v>1000000000000</v>
      </c>
      <c r="CE38" s="172">
        <f ca="1">IF(OR($D38&lt;&gt;"Serviço",AND(AUTOEVENTO="Manual",$M38=$A$15),$M38&gt;(ROW(PLE.lastrow)-ROW(PLE.firstrow))),0,
           IF(OFFSET(PLE!$G$15,$M38-$A$15,CE$13)="",10^12,OFFSET(PLE!$G$15,$M38-$A$15,CE$13)))</f>
        <v>1000000000000</v>
      </c>
      <c r="CF38" s="172">
        <f ca="1">IF(OR($D38&lt;&gt;"Serviço",AND(AUTOEVENTO="Manual",$M38=$A$15),$M38&gt;(ROW(PLE.lastrow)-ROW(PLE.firstrow))),0,
           IF(OFFSET(PLE!$G$15,$M38-$A$15,CF$13)="",10^12,OFFSET(PLE!$G$15,$M38-$A$15,CF$13)))</f>
        <v>1000000000000</v>
      </c>
      <c r="CG38" s="172">
        <f ca="1">IF(OR($D38&lt;&gt;"Serviço",AND(AUTOEVENTO="Manual",$M38=$A$15),$M38&gt;(ROW(PLE.lastrow)-ROW(PLE.firstrow))),0,
           IF(OFFSET(PLE!$G$15,$M38-$A$15,CG$13)="",10^12,OFFSET(PLE!$G$15,$M38-$A$15,CG$13)))</f>
        <v>1000000000000</v>
      </c>
      <c r="CH38" s="172">
        <f ca="1">IF(OR($D38&lt;&gt;"Serviço",AND(AUTOEVENTO="Manual",$M38=$A$15),$M38&gt;(ROW(PLE.lastrow)-ROW(PLE.firstrow))),0,
           IF(OFFSET(PLE!$G$15,$M38-$A$15,CH$13)="",10^12,OFFSET(PLE!$G$15,$M38-$A$15,CH$13)))</f>
        <v>1000000000000</v>
      </c>
      <c r="CI38" s="172">
        <f ca="1">IF(OR($D38&lt;&gt;"Serviço",AND(AUTOEVENTO="Manual",$M38=$A$15),$M38&gt;(ROW(PLE.lastrow)-ROW(PLE.firstrow))),0,
           IF(OFFSET(PLE!$G$15,$M38-$A$15,CI$13)="",10^12,OFFSET(PLE!$G$15,$M38-$A$15,CI$13)))</f>
        <v>1000000000000</v>
      </c>
      <c r="CJ38" s="172">
        <f ca="1">IF(OR($D38&lt;&gt;"Serviço",AND(AUTOEVENTO="Manual",$M38=$A$15),$M38&gt;(ROW(PLE.lastrow)-ROW(PLE.firstrow))),0,
           IF(OFFSET(PLE!$G$15,$M38-$A$15,CJ$13)="",10^12,OFFSET(PLE!$G$15,$M38-$A$15,CJ$13)))</f>
        <v>1000000000000</v>
      </c>
      <c r="CK38" s="172">
        <f ca="1">IF(OR($D38&lt;&gt;"Serviço",AND(AUTOEVENTO="Manual",$M38=$A$15),$M38&gt;(ROW(PLE.lastrow)-ROW(PLE.firstrow))),0,
           IF(OFFSET(PLE!$G$15,$M38-$A$15,CK$13)="",10^12,OFFSET(PLE!$G$15,$M38-$A$15,CK$13)))</f>
        <v>1000000000000</v>
      </c>
      <c r="CL38" s="172">
        <f ca="1">IF(OR($D38&lt;&gt;"Serviço",AND(AUTOEVENTO="Manual",$M38=$A$15),$M38&gt;(ROW(PLE.lastrow)-ROW(PLE.firstrow))),0,
           IF(OFFSET(PLE!$G$15,$M38-$A$15,CL$13)="",10^12,OFFSET(PLE!$G$15,$M38-$A$15,CL$13)))</f>
        <v>1000000000000</v>
      </c>
      <c r="CM38" s="172">
        <f ca="1">IF(OR($D38&lt;&gt;"Serviço",AND(AUTOEVENTO="Manual",$M38=$A$15),$M38&gt;(ROW(PLE.lastrow)-ROW(PLE.firstrow))),0,
           IF(OFFSET(PLE!$G$15,$M38-$A$15,CM$13)="",10^12,OFFSET(PLE!$G$15,$M38-$A$15,CM$13)))</f>
        <v>1000000000000</v>
      </c>
    </row>
    <row r="39" spans="1:91" ht="26.4" x14ac:dyDescent="0.25">
      <c r="A39" s="7" t="str">
        <f t="shared" ca="1" si="11"/>
        <v>18</v>
      </c>
      <c r="B39" s="7" t="str">
        <f ca="1">OFFSET(ORÇAMENTO!C$15,ROW(B39)-ROW(B$15),0)</f>
        <v>S</v>
      </c>
      <c r="C39" s="7" t="str">
        <f ca="1">OFFSET(ORÇAMENTO!L$15,ROW(C39)-ROW(C$15),0)</f>
        <v>F</v>
      </c>
      <c r="D39" s="116" t="str">
        <f ca="1">OFFSET(ORÇAMENTO!N$15,ROW(D39)-ROW(D$15),0)</f>
        <v>Serviço</v>
      </c>
      <c r="E39" s="117" t="str">
        <f ca="1">OFFSET(ORÇAMENTO!O$15,ROW(E39)-ROW(E$15),0)</f>
        <v>1.4.6.</v>
      </c>
      <c r="F39" s="163" t="str">
        <f ca="1">OFFSET(ORÇAMENTO!R$15,ROW(F39)-ROW(F$15),0)</f>
        <v>CIMENTO ASFÁLTICO CAP 50-70, COLETADO NA ANP, ACRESCIDO DE IMPOSTOS (ICMS, PIS, CONFINS)</v>
      </c>
      <c r="G39" s="164" t="str">
        <f ca="1">IF($D39&lt;&gt;"Serviço","",OFFSET(ORÇAMENTO!S$15,ROW(G39)-ROW(G$15),0))</f>
        <v>KG</v>
      </c>
      <c r="H39" s="122" cm="1">
        <f t="array" aca="1" ref="H39" ca="1">IF($D39&lt;&gt;"Serviço",0,IF(ACOMPANHAMENTO="BM",ROUND(OFFSET(ORÇAMENTO!AJ$15,ROW(H39)-ROW(H$15),0),15-13*ORÇAMENTO!$AF$7),SUMPRODUCT(($Q$1:$AI$1=1)*ROUND($Q39:$AI39,15-13*ORÇAMENTO!$AF$7))))</f>
        <v>36737.339999999997</v>
      </c>
      <c r="I39" s="468"/>
      <c r="J39" s="651" t="e" cm="1">
        <f t="array" aca="1" ref="J39" ca="1">IF(OR(B39&lt;&gt;"S",CÁLCULO.FrentesPreenchidas=0),"",IF(AND(ACOMPANHAMENTO="PLE",AUTOEVENTO="Manual",OR(H39&gt;0,ORÇAMENTO!AC39="QUANT."),OR(K39="",M39=0,N39="")),"►E",IF(AND(ACOMPANHAMENTO="PLE",ORÇAMENTO!AC39="QUANT."),"►Q",IF(AND(ACOMPANHAMENTO="PLE",H39&lt;&gt;SUMPRODUCT(($Q$1:$AI$1=1)*ROUND(Q39:AI39,15))),"►S",IF(AND(COUNTIF($P$11:$AI$11,"▼")=0,H39&gt;0,I39=""),"◄M","")))))</f>
        <v>#NAME?</v>
      </c>
      <c r="K39" s="652"/>
      <c r="L39" s="165" t="s">
        <v>764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CAMADA DE REPERFILAMENTO</v>
      </c>
      <c r="O39" s="168"/>
      <c r="Q39" s="168"/>
      <c r="R39" s="169"/>
      <c r="S39" s="169">
        <f>TRUNC(S34*0.05*2.51*56.6,2)</f>
        <v>36737.339999999997</v>
      </c>
      <c r="T39" s="169"/>
      <c r="U39" s="169"/>
      <c r="V39" s="169"/>
      <c r="W39" s="169"/>
      <c r="X39" s="169"/>
      <c r="Y39" s="169"/>
      <c r="Z39" s="170"/>
      <c r="AA39" s="169"/>
      <c r="AB39" s="169"/>
      <c r="AC39" s="169"/>
      <c r="AD39" s="169"/>
      <c r="AE39" s="169"/>
      <c r="AF39" s="169"/>
      <c r="AG39" s="169"/>
      <c r="AH39" s="170"/>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L39" s="453">
        <f ca="1">IF(AND($D39="Serviço",AL$12&lt;&gt;0,$H39&gt;0,OR(AUTOEVENTO&lt;&gt;"manual",$M39&lt;&gt;$A$15)),
        IF(Import.TipoArredondamento&lt;&gt;"TransfereGOV",
              ROUND(OFFSET($P39,0,AL$13),15-13*ORÇAMENTO!$AF$7)/$H39*OFFSET(ORÇAMENTO!$X$15,ROW(AL39)-ROW(AL$15),0),
              ROUND(ROUND(OFFSET($P39,0,AL$13),15-13*ORÇAMENTO!$AF$7)*OFFSET(ORÇAMENTO!$W$15,ROW(AL39)-ROW(AL$15),0),15-13*ORÇAMENTO!$AF$11)),
         0)</f>
        <v>205361.73</v>
      </c>
      <c r="AM39" s="453">
        <f ca="1">IF(AND($D39="Serviço",AM$12&lt;&gt;0,$H39&gt;0,OR(AUTOEVENTO&lt;&gt;"manual",$M39&lt;&gt;$A$15)),
        IF(Import.TipoArredondamento&lt;&gt;"TransfereGOV",
              ROUND(OFFSET($P39,0,AM$13),15-13*ORÇAMENTO!$AF$7)/$H39*OFFSET(ORÇAMENTO!$X$15,ROW(AM39)-ROW(AM$15),0),
              ROUND(ROUND(OFFSET($P39,0,AM$13),15-13*ORÇAMENTO!$AF$7)*OFFSET(ORÇAMENTO!$W$15,ROW(AM39)-ROW(AM$15),0),15-13*ORÇAMENTO!$AF$11)),
         0)</f>
        <v>0</v>
      </c>
      <c r="AN39" s="453">
        <f ca="1">IF(AND($D39="Serviço",AN$12&lt;&gt;0,$H39&gt;0,OR(AUTOEVENTO&lt;&gt;"manual",$M39&lt;&gt;$A$15)),
        IF(Import.TipoArredondamento&lt;&gt;"TransfereGOV",
              ROUND(OFFSET($P39,0,AN$13),15-13*ORÇAMENTO!$AF$7)/$H39*OFFSET(ORÇAMENTO!$X$15,ROW(AN39)-ROW(AN$15),0),
              ROUND(ROUND(OFFSET($P39,0,AN$13),15-13*ORÇAMENTO!$AF$7)*OFFSET(ORÇAMENTO!$W$15,ROW(AN39)-ROW(AN$15),0),15-13*ORÇAMENTO!$AF$11)),
         0)</f>
        <v>0</v>
      </c>
      <c r="AO39" s="453">
        <f ca="1">IF(AND($D39="Serviço",AO$12&lt;&gt;0,$H39&gt;0,OR(AUTOEVENTO&lt;&gt;"manual",$M39&lt;&gt;$A$15)),
        IF(Import.TipoArredondamento&lt;&gt;"TransfereGOV",
              ROUND(OFFSET($P39,0,AO$13),15-13*ORÇAMENTO!$AF$7)/$H39*OFFSET(ORÇAMENTO!$X$15,ROW(AO39)-ROW(AO$15),0),
              ROUND(ROUND(OFFSET($P39,0,AO$13),15-13*ORÇAMENTO!$AF$7)*OFFSET(ORÇAMENTO!$W$15,ROW(AO39)-ROW(AO$15),0),15-13*ORÇAMENTO!$AF$11)),
         0)</f>
        <v>0</v>
      </c>
      <c r="AP39" s="453">
        <f ca="1">IF(AND($D39="Serviço",AP$12&lt;&gt;0,$H39&gt;0,OR(AUTOEVENTO&lt;&gt;"manual",$M39&lt;&gt;$A$15)),
        IF(Import.TipoArredondamento&lt;&gt;"TransfereGOV",
              ROUND(OFFSET($P39,0,AP$13),15-13*ORÇAMENTO!$AF$7)/$H39*OFFSET(ORÇAMENTO!$X$15,ROW(AP39)-ROW(AP$15),0),
              ROUND(ROUND(OFFSET($P39,0,AP$13),15-13*ORÇAMENTO!$AF$7)*OFFSET(ORÇAMENTO!$W$15,ROW(AP39)-ROW(AP$15),0),15-13*ORÇAMENTO!$AF$11)),
         0)</f>
        <v>0</v>
      </c>
      <c r="AQ39" s="453">
        <f ca="1">IF(AND($D39="Serviço",AQ$12&lt;&gt;0,$H39&gt;0,OR(AUTOEVENTO&lt;&gt;"manual",$M39&lt;&gt;$A$15)),
        IF(Import.TipoArredondamento&lt;&gt;"TransfereGOV",
              ROUND(OFFSET($P39,0,AQ$13),15-13*ORÇAMENTO!$AF$7)/$H39*OFFSET(ORÇAMENTO!$X$15,ROW(AQ39)-ROW(AQ$15),0),
              ROUND(ROUND(OFFSET($P39,0,AQ$13),15-13*ORÇAMENTO!$AF$7)*OFFSET(ORÇAMENTO!$W$15,ROW(AQ39)-ROW(AQ$15),0),15-13*ORÇAMENTO!$AF$11)),
         0)</f>
        <v>0</v>
      </c>
      <c r="AR39" s="453">
        <f ca="1">IF(AND($D39="Serviço",AR$12&lt;&gt;0,$H39&gt;0,OR(AUTOEVENTO&lt;&gt;"manual",$M39&lt;&gt;$A$15)),
        IF(Import.TipoArredondamento&lt;&gt;"TransfereGOV",
              ROUND(OFFSET($P39,0,AR$13),15-13*ORÇAMENTO!$AF$7)/$H39*OFFSET(ORÇAMENTO!$X$15,ROW(AR39)-ROW(AR$15),0),
              ROUND(ROUND(OFFSET($P39,0,AR$13),15-13*ORÇAMENTO!$AF$7)*OFFSET(ORÇAMENTO!$W$15,ROW(AR39)-ROW(AR$15),0),15-13*ORÇAMENTO!$AF$11)),
         0)</f>
        <v>0</v>
      </c>
      <c r="AS39" s="453">
        <f ca="1">IF(AND($D39="Serviço",AS$12&lt;&gt;0,$H39&gt;0,OR(AUTOEVENTO&lt;&gt;"manual",$M39&lt;&gt;$A$15)),
        IF(Import.TipoArredondamento&lt;&gt;"TransfereGOV",
              ROUND(OFFSET($P39,0,AS$13),15-13*ORÇAMENTO!$AF$7)/$H39*OFFSET(ORÇAMENTO!$X$15,ROW(AS39)-ROW(AS$15),0),
              ROUND(ROUND(OFFSET($P39,0,AS$13),15-13*ORÇAMENTO!$AF$7)*OFFSET(ORÇAMENTO!$W$15,ROW(AS39)-ROW(AS$15),0),15-13*ORÇAMENTO!$AF$11)),
         0)</f>
        <v>0</v>
      </c>
      <c r="AT39" s="453">
        <f ca="1">IF(AND($D39="Serviço",AT$12&lt;&gt;0,$H39&gt;0,OR(AUTOEVENTO&lt;&gt;"manual",$M39&lt;&gt;$A$15)),
        IF(Import.TipoArredondamento&lt;&gt;"TransfereGOV",
              ROUND(OFFSET($P39,0,AT$13),15-13*ORÇAMENTO!$AF$7)/$H39*OFFSET(ORÇAMENTO!$X$15,ROW(AT39)-ROW(AT$15),0),
              ROUND(ROUND(OFFSET($P39,0,AT$13),15-13*ORÇAMENTO!$AF$7)*OFFSET(ORÇAMENTO!$W$15,ROW(AT39)-ROW(AT$15),0),15-13*ORÇAMENTO!$AF$11)),
         0)</f>
        <v>0</v>
      </c>
      <c r="AU39" s="453">
        <f ca="1">IF(AND($D39="Serviço",AU$12&lt;&gt;0,$H39&gt;0,OR(AUTOEVENTO&lt;&gt;"manual",$M39&lt;&gt;$A$15)),
        IF(Import.TipoArredondamento&lt;&gt;"TransfereGOV",
              ROUND(OFFSET($P39,0,AU$13),15-13*ORÇAMENTO!$AF$7)/$H39*OFFSET(ORÇAMENTO!$X$15,ROW(AU39)-ROW(AU$15),0),
              ROUND(ROUND(OFFSET($P39,0,AU$13),15-13*ORÇAMENTO!$AF$7)*OFFSET(ORÇAMENTO!$W$15,ROW(AU39)-ROW(AU$15),0),15-13*ORÇAMENTO!$AF$11)),
         0)</f>
        <v>0</v>
      </c>
      <c r="AV39" s="453">
        <f ca="1">IF(AND($D39="Serviço",AV$12&lt;&gt;0,$H39&gt;0,OR(AUTOEVENTO&lt;&gt;"manual",$M39&lt;&gt;$A$15)),
        IF(Import.TipoArredondamento&lt;&gt;"TransfereGOV",
              ROUND(OFFSET($P39,0,AV$13),15-13*ORÇAMENTO!$AF$7)/$H39*OFFSET(ORÇAMENTO!$X$15,ROW(AV39)-ROW(AV$15),0),
              ROUND(ROUND(OFFSET($P39,0,AV$13),15-13*ORÇAMENTO!$AF$7)*OFFSET(ORÇAMENTO!$W$15,ROW(AV39)-ROW(AV$15),0),15-13*ORÇAMENTO!$AF$11)),
         0)</f>
        <v>0</v>
      </c>
      <c r="AW39" s="453">
        <f ca="1">IF(AND($D39="Serviço",AW$12&lt;&gt;0,$H39&gt;0,OR(AUTOEVENTO&lt;&gt;"manual",$M39&lt;&gt;$A$15)),
        IF(Import.TipoArredondamento&lt;&gt;"TransfereGOV",
              ROUND(OFFSET($P39,0,AW$13),15-13*ORÇAMENTO!$AF$7)/$H39*OFFSET(ORÇAMENTO!$X$15,ROW(AW39)-ROW(AW$15),0),
              ROUND(ROUND(OFFSET($P39,0,AW$13),15-13*ORÇAMENTO!$AF$7)*OFFSET(ORÇAMENTO!$W$15,ROW(AW39)-ROW(AW$15),0),15-13*ORÇAMENTO!$AF$11)),
         0)</f>
        <v>0</v>
      </c>
      <c r="AX39" s="453">
        <f ca="1">IF(AND($D39="Serviço",AX$12&lt;&gt;0,$H39&gt;0,OR(AUTOEVENTO&lt;&gt;"manual",$M39&lt;&gt;$A$15)),
        IF(Import.TipoArredondamento&lt;&gt;"TransfereGOV",
              ROUND(OFFSET($P39,0,AX$13),15-13*ORÇAMENTO!$AF$7)/$H39*OFFSET(ORÇAMENTO!$X$15,ROW(AX39)-ROW(AX$15),0),
              ROUND(ROUND(OFFSET($P39,0,AX$13),15-13*ORÇAMENTO!$AF$7)*OFFSET(ORÇAMENTO!$W$15,ROW(AX39)-ROW(AX$15),0),15-13*ORÇAMENTO!$AF$11)),
         0)</f>
        <v>0</v>
      </c>
      <c r="AY39" s="453">
        <f ca="1">IF(AND($D39="Serviço",AY$12&lt;&gt;0,$H39&gt;0,OR(AUTOEVENTO&lt;&gt;"manual",$M39&lt;&gt;$A$15)),
        IF(Import.TipoArredondamento&lt;&gt;"TransfereGOV",
              ROUND(OFFSET($P39,0,AY$13),15-13*ORÇAMENTO!$AF$7)/$H39*OFFSET(ORÇAMENTO!$X$15,ROW(AY39)-ROW(AY$15),0),
              ROUND(ROUND(OFFSET($P39,0,AY$13),15-13*ORÇAMENTO!$AF$7)*OFFSET(ORÇAMENTO!$W$15,ROW(AY39)-ROW(AY$15),0),15-13*ORÇAMENTO!$AF$11)),
         0)</f>
        <v>0</v>
      </c>
      <c r="AZ39" s="453">
        <f ca="1">IF(AND($D39="Serviço",AZ$12&lt;&gt;0,$H39&gt;0,OR(AUTOEVENTO&lt;&gt;"manual",$M39&lt;&gt;$A$15)),
        IF(Import.TipoArredondamento&lt;&gt;"TransfereGOV",
              ROUND(OFFSET($P39,0,AZ$13),15-13*ORÇAMENTO!$AF$7)/$H39*OFFSET(ORÇAMENTO!$X$15,ROW(AZ39)-ROW(AZ$15),0),
              ROUND(ROUND(OFFSET($P39,0,AZ$13),15-13*ORÇAMENTO!$AF$7)*OFFSET(ORÇAMENTO!$W$15,ROW(AZ39)-ROW(AZ$15),0),15-13*ORÇAMENTO!$AF$11)),
         0)</f>
        <v>0</v>
      </c>
      <c r="BA39" s="453">
        <f ca="1">IF(AND($D39="Serviço",BA$12&lt;&gt;0,$H39&gt;0,OR(AUTOEVENTO&lt;&gt;"manual",$M39&lt;&gt;$A$15)),
        IF(Import.TipoArredondamento&lt;&gt;"TransfereGOV",
              ROUND(OFFSET($P39,0,BA$13),15-13*ORÇAMENTO!$AF$7)/$H39*OFFSET(ORÇAMENTO!$X$15,ROW(BA39)-ROW(BA$15),0),
              ROUND(ROUND(OFFSET($P39,0,BA$13),15-13*ORÇAMENTO!$AF$7)*OFFSET(ORÇAMENTO!$W$15,ROW(BA39)-ROW(BA$15),0),15-13*ORÇAMENTO!$AF$11)),
         0)</f>
        <v>0</v>
      </c>
      <c r="BC39" s="171">
        <f ca="1">IF(OR($D39&lt;&gt;"Serviço",AND(AUTOEVENTO="Manual",$M39=$A$15)),0,
         IF(OFFSET(CRONOPLE!$F$15,$M39-$A$15,BC$13)=0,10^12,OFFSET(CRONOPLE!$F$15,$M39-$A$15,BC$13)))</f>
        <v>1000000000000</v>
      </c>
      <c r="BD39" s="171">
        <f ca="1">IF(OR($D39&lt;&gt;"Serviço",AND(AUTOEVENTO="Manual",$M39=$A$15)),0,
         IF(OFFSET(CRONOPLE!$F$15,$M39-$A$15,BD$13)=0,10^12,OFFSET(CRONOPLE!$F$15,$M39-$A$15,BD$13)))</f>
        <v>1000000000000</v>
      </c>
      <c r="BE39" s="171">
        <f ca="1">IF(OR($D39&lt;&gt;"Serviço",AND(AUTOEVENTO="Manual",$M39=$A$15)),0,
         IF(OFFSET(CRONOPLE!$F$15,$M39-$A$15,BE$13)=0,10^12,OFFSET(CRONOPLE!$F$15,$M39-$A$15,BE$13)))</f>
        <v>1</v>
      </c>
      <c r="BF39" s="171">
        <f ca="1">IF(OR($D39&lt;&gt;"Serviço",AND(AUTOEVENTO="Manual",$M39=$A$15)),0,
         IF(OFFSET(CRONOPLE!$F$15,$M39-$A$15,BF$13)=0,10^12,OFFSET(CRONOPLE!$F$15,$M39-$A$15,BF$13)))</f>
        <v>3</v>
      </c>
      <c r="BG39" s="171">
        <f ca="1">IF(OR($D39&lt;&gt;"Serviço",AND(AUTOEVENTO="Manual",$M39=$A$15)),0,
         IF(OFFSET(CRONOPLE!$F$15,$M39-$A$15,BG$13)=0,10^12,OFFSET(CRONOPLE!$F$15,$M39-$A$15,BG$13)))</f>
        <v>3</v>
      </c>
      <c r="BH39" s="171">
        <f ca="1">IF(OR($D39&lt;&gt;"Serviço",AND(AUTOEVENTO="Manual",$M39=$A$15)),0,
         IF(OFFSET(CRONOPLE!$F$15,$M39-$A$15,BH$13)=0,10^12,OFFSET(CRONOPLE!$F$15,$M39-$A$15,BH$13)))</f>
        <v>3</v>
      </c>
      <c r="BI39" s="171">
        <f ca="1">IF(OR($D39&lt;&gt;"Serviço",AND(AUTOEVENTO="Manual",$M39=$A$15)),0,
         IF(OFFSET(CRONOPLE!$F$15,$M39-$A$15,BI$13)=0,10^12,OFFSET(CRONOPLE!$F$15,$M39-$A$15,BI$13)))</f>
        <v>2</v>
      </c>
      <c r="BJ39" s="171">
        <f ca="1">IF(OR($D39&lt;&gt;"Serviço",AND(AUTOEVENTO="Manual",$M39=$A$15)),0,
         IF(OFFSET(CRONOPLE!$F$15,$M39-$A$15,BJ$13)=0,10^12,OFFSET(CRONOPLE!$F$15,$M39-$A$15,BJ$13)))</f>
        <v>2</v>
      </c>
      <c r="BK39" s="171">
        <f ca="1">IF(OR($D39&lt;&gt;"Serviço",AND(AUTOEVENTO="Manual",$M39=$A$15)),0,
         IF(OFFSET(CRONOPLE!$F$15,$M39-$A$15,BK$13)=0,10^12,OFFSET(CRONOPLE!$F$15,$M39-$A$15,BK$13)))</f>
        <v>2</v>
      </c>
      <c r="BL39" s="171">
        <f ca="1">IF(OR($D39&lt;&gt;"Serviço",AND(AUTOEVENTO="Manual",$M39=$A$15)),0,
         IF(OFFSET(CRONOPLE!$F$15,$M39-$A$15,BL$13)=0,10^12,OFFSET(CRONOPLE!$F$15,$M39-$A$15,BL$13)))</f>
        <v>1</v>
      </c>
      <c r="BM39" s="171">
        <f ca="1">IF(OR($D39&lt;&gt;"Serviço",AND(AUTOEVENTO="Manual",$M39=$A$15)),0,
         IF(OFFSET(CRONOPLE!$F$15,$M39-$A$15,BM$13)=0,10^12,OFFSET(CRONOPLE!$F$15,$M39-$A$15,BM$13)))</f>
        <v>1</v>
      </c>
      <c r="BN39" s="171">
        <f ca="1">IF(OR($D39&lt;&gt;"Serviço",AND(AUTOEVENTO="Manual",$M39=$A$15)),0,
         IF(OFFSET(CRONOPLE!$F$15,$M39-$A$15,BN$13)=0,10^12,OFFSET(CRONOPLE!$F$15,$M39-$A$15,BN$13)))</f>
        <v>1000000000000</v>
      </c>
      <c r="BO39" s="171">
        <f ca="1">IF(OR($D39&lt;&gt;"Serviço",AND(AUTOEVENTO="Manual",$M39=$A$15)),0,
         IF(OFFSET(CRONOPLE!$F$15,$M39-$A$15,BO$13)=0,10^12,OFFSET(CRONOPLE!$F$15,$M39-$A$15,BO$13)))</f>
        <v>1000000000000</v>
      </c>
      <c r="BP39" s="171">
        <f ca="1">IF(OR($D39&lt;&gt;"Serviço",AND(AUTOEVENTO="Manual",$M39=$A$15)),0,
         IF(OFFSET(CRONOPLE!$F$15,$M39-$A$15,BP$13)=0,10^12,OFFSET(CRONOPLE!$F$15,$M39-$A$15,BP$13)))</f>
        <v>1000000000000</v>
      </c>
      <c r="BQ39" s="171">
        <f ca="1">IF(OR($D39&lt;&gt;"Serviço",AND(AUTOEVENTO="Manual",$M39=$A$15)),0,
         IF(OFFSET(CRONOPLE!$F$15,$M39-$A$15,BQ$13)=0,10^12,OFFSET(CRONOPLE!$F$15,$M39-$A$15,BQ$13)))</f>
        <v>1000000000000</v>
      </c>
      <c r="BR39" s="171">
        <f ca="1">IF(OR($D39&lt;&gt;"Serviço",AND(AUTOEVENTO="Manual",$M39=$A$15)),0,
         IF(OFFSET(CRONOPLE!$F$15,$M39-$A$15,BR$13)=0,10^12,OFFSET(CRONOPLE!$F$15,$M39-$A$15,BR$13)))</f>
        <v>1000000000000</v>
      </c>
      <c r="BS39" s="171">
        <f ca="1">IF(OR($D39&lt;&gt;"Serviço",AND(AUTOEVENTO="Manual",$M39=$A$15)),0,
         IF(OFFSET(CRONOPLE!$F$15,$M39-$A$15,BS$13)=0,10^12,OFFSET(CRONOPLE!$F$15,$M39-$A$15,BS$13)))</f>
        <v>1000000000000</v>
      </c>
      <c r="BT39" s="171">
        <f ca="1">IF(OR($D39&lt;&gt;"Serviço",AND(AUTOEVENTO="Manual",$M39=$A$15)),0,
         IF(OFFSET(CRONOPLE!$F$15,$M39-$A$15,BT$13)=0,10^12,OFFSET(CRONOPLE!$F$15,$M39-$A$15,BT$13)))</f>
        <v>1000000000000</v>
      </c>
      <c r="BV39" s="172">
        <f ca="1">IF(OR($D39&lt;&gt;"Serviço",AND(AUTOEVENTO="Manual",$M39=$A$15),$M39&gt;(ROW(PLE.lastrow)-ROW(PLE.firstrow))),0,
           IF(OFFSET(PLE!$G$15,$M39-$A$15,BV$13)="",10^12,OFFSET(PLE!$G$15,$M39-$A$15,BV$13)))</f>
        <v>1000000000000</v>
      </c>
      <c r="BW39" s="172">
        <f ca="1">IF(OR($D39&lt;&gt;"Serviço",AND(AUTOEVENTO="Manual",$M39=$A$15),$M39&gt;(ROW(PLE.lastrow)-ROW(PLE.firstrow))),0,
           IF(OFFSET(PLE!$G$15,$M39-$A$15,BW$13)="",10^12,OFFSET(PLE!$G$15,$M39-$A$15,BW$13)))</f>
        <v>1000000000000</v>
      </c>
      <c r="BX39" s="172">
        <f ca="1">IF(OR($D39&lt;&gt;"Serviço",AND(AUTOEVENTO="Manual",$M39=$A$15),$M39&gt;(ROW(PLE.lastrow)-ROW(PLE.firstrow))),0,
           IF(OFFSET(PLE!$G$15,$M39-$A$15,BX$13)="",10^12,OFFSET(PLE!$G$15,$M39-$A$15,BX$13)))</f>
        <v>1000000000000</v>
      </c>
      <c r="BY39" s="172">
        <f ca="1">IF(OR($D39&lt;&gt;"Serviço",AND(AUTOEVENTO="Manual",$M39=$A$15),$M39&gt;(ROW(PLE.lastrow)-ROW(PLE.firstrow))),0,
           IF(OFFSET(PLE!$G$15,$M39-$A$15,BY$13)="",10^12,OFFSET(PLE!$G$15,$M39-$A$15,BY$13)))</f>
        <v>1000000000000</v>
      </c>
      <c r="BZ39" s="172">
        <f ca="1">IF(OR($D39&lt;&gt;"Serviço",AND(AUTOEVENTO="Manual",$M39=$A$15),$M39&gt;(ROW(PLE.lastrow)-ROW(PLE.firstrow))),0,
           IF(OFFSET(PLE!$G$15,$M39-$A$15,BZ$13)="",10^12,OFFSET(PLE!$G$15,$M39-$A$15,BZ$13)))</f>
        <v>1000000000000</v>
      </c>
      <c r="CA39" s="172">
        <f ca="1">IF(OR($D39&lt;&gt;"Serviço",AND(AUTOEVENTO="Manual",$M39=$A$15),$M39&gt;(ROW(PLE.lastrow)-ROW(PLE.firstrow))),0,
           IF(OFFSET(PLE!$G$15,$M39-$A$15,CA$13)="",10^12,OFFSET(PLE!$G$15,$M39-$A$15,CA$13)))</f>
        <v>1000000000000</v>
      </c>
      <c r="CB39" s="172">
        <f ca="1">IF(OR($D39&lt;&gt;"Serviço",AND(AUTOEVENTO="Manual",$M39=$A$15),$M39&gt;(ROW(PLE.lastrow)-ROW(PLE.firstrow))),0,
           IF(OFFSET(PLE!$G$15,$M39-$A$15,CB$13)="",10^12,OFFSET(PLE!$G$15,$M39-$A$15,CB$13)))</f>
        <v>1000000000000</v>
      </c>
      <c r="CC39" s="172">
        <f ca="1">IF(OR($D39&lt;&gt;"Serviço",AND(AUTOEVENTO="Manual",$M39=$A$15),$M39&gt;(ROW(PLE.lastrow)-ROW(PLE.firstrow))),0,
           IF(OFFSET(PLE!$G$15,$M39-$A$15,CC$13)="",10^12,OFFSET(PLE!$G$15,$M39-$A$15,CC$13)))</f>
        <v>1000000000000</v>
      </c>
      <c r="CD39" s="172">
        <f ca="1">IF(OR($D39&lt;&gt;"Serviço",AND(AUTOEVENTO="Manual",$M39=$A$15),$M39&gt;(ROW(PLE.lastrow)-ROW(PLE.firstrow))),0,
           IF(OFFSET(PLE!$G$15,$M39-$A$15,CD$13)="",10^12,OFFSET(PLE!$G$15,$M39-$A$15,CD$13)))</f>
        <v>1000000000000</v>
      </c>
      <c r="CE39" s="172">
        <f ca="1">IF(OR($D39&lt;&gt;"Serviço",AND(AUTOEVENTO="Manual",$M39=$A$15),$M39&gt;(ROW(PLE.lastrow)-ROW(PLE.firstrow))),0,
           IF(OFFSET(PLE!$G$15,$M39-$A$15,CE$13)="",10^12,OFFSET(PLE!$G$15,$M39-$A$15,CE$13)))</f>
        <v>1000000000000</v>
      </c>
      <c r="CF39" s="172">
        <f ca="1">IF(OR($D39&lt;&gt;"Serviço",AND(AUTOEVENTO="Manual",$M39=$A$15),$M39&gt;(ROW(PLE.lastrow)-ROW(PLE.firstrow))),0,
           IF(OFFSET(PLE!$G$15,$M39-$A$15,CF$13)="",10^12,OFFSET(PLE!$G$15,$M39-$A$15,CF$13)))</f>
        <v>1000000000000</v>
      </c>
      <c r="CG39" s="172">
        <f ca="1">IF(OR($D39&lt;&gt;"Serviço",AND(AUTOEVENTO="Manual",$M39=$A$15),$M39&gt;(ROW(PLE.lastrow)-ROW(PLE.firstrow))),0,
           IF(OFFSET(PLE!$G$15,$M39-$A$15,CG$13)="",10^12,OFFSET(PLE!$G$15,$M39-$A$15,CG$13)))</f>
        <v>1000000000000</v>
      </c>
      <c r="CH39" s="172">
        <f ca="1">IF(OR($D39&lt;&gt;"Serviço",AND(AUTOEVENTO="Manual",$M39=$A$15),$M39&gt;(ROW(PLE.lastrow)-ROW(PLE.firstrow))),0,
           IF(OFFSET(PLE!$G$15,$M39-$A$15,CH$13)="",10^12,OFFSET(PLE!$G$15,$M39-$A$15,CH$13)))</f>
        <v>1000000000000</v>
      </c>
      <c r="CI39" s="172">
        <f ca="1">IF(OR($D39&lt;&gt;"Serviço",AND(AUTOEVENTO="Manual",$M39=$A$15),$M39&gt;(ROW(PLE.lastrow)-ROW(PLE.firstrow))),0,
           IF(OFFSET(PLE!$G$15,$M39-$A$15,CI$13)="",10^12,OFFSET(PLE!$G$15,$M39-$A$15,CI$13)))</f>
        <v>1000000000000</v>
      </c>
      <c r="CJ39" s="172">
        <f ca="1">IF(OR($D39&lt;&gt;"Serviço",AND(AUTOEVENTO="Manual",$M39=$A$15),$M39&gt;(ROW(PLE.lastrow)-ROW(PLE.firstrow))),0,
           IF(OFFSET(PLE!$G$15,$M39-$A$15,CJ$13)="",10^12,OFFSET(PLE!$G$15,$M39-$A$15,CJ$13)))</f>
        <v>1000000000000</v>
      </c>
      <c r="CK39" s="172">
        <f ca="1">IF(OR($D39&lt;&gt;"Serviço",AND(AUTOEVENTO="Manual",$M39=$A$15),$M39&gt;(ROW(PLE.lastrow)-ROW(PLE.firstrow))),0,
           IF(OFFSET(PLE!$G$15,$M39-$A$15,CK$13)="",10^12,OFFSET(PLE!$G$15,$M39-$A$15,CK$13)))</f>
        <v>1000000000000</v>
      </c>
      <c r="CL39" s="172">
        <f ca="1">IF(OR($D39&lt;&gt;"Serviço",AND(AUTOEVENTO="Manual",$M39=$A$15),$M39&gt;(ROW(PLE.lastrow)-ROW(PLE.firstrow))),0,
           IF(OFFSET(PLE!$G$15,$M39-$A$15,CL$13)="",10^12,OFFSET(PLE!$G$15,$M39-$A$15,CL$13)))</f>
        <v>1000000000000</v>
      </c>
      <c r="CM39" s="172">
        <f ca="1">IF(OR($D39&lt;&gt;"Serviço",AND(AUTOEVENTO="Manual",$M39=$A$15),$M39&gt;(ROW(PLE.lastrow)-ROW(PLE.firstrow))),0,
           IF(OFFSET(PLE!$G$15,$M39-$A$15,CM$13)="",10^12,OFFSET(PLE!$G$15,$M39-$A$15,CM$13)))</f>
        <v>1000000000000</v>
      </c>
    </row>
    <row r="40" spans="1:91" ht="26.4" x14ac:dyDescent="0.25">
      <c r="A40" s="7" t="str">
        <f t="shared" ca="1" si="11"/>
        <v>18</v>
      </c>
      <c r="B40" s="7" t="str">
        <f ca="1">OFFSET(ORÇAMENTO!C$15,ROW(B40)-ROW(B$15),0)</f>
        <v>S</v>
      </c>
      <c r="C40" s="7" t="str">
        <f ca="1">OFFSET(ORÇAMENTO!L$15,ROW(C40)-ROW(C$15),0)</f>
        <v>F</v>
      </c>
      <c r="D40" s="116" t="str">
        <f ca="1">OFFSET(ORÇAMENTO!N$15,ROW(D40)-ROW(D$15),0)</f>
        <v>Serviço</v>
      </c>
      <c r="E40" s="117" t="str">
        <f ca="1">OFFSET(ORÇAMENTO!O$15,ROW(E40)-ROW(E$15),0)</f>
        <v>1.4.7.</v>
      </c>
      <c r="F40" s="163" t="str">
        <f ca="1">OFFSET(ORÇAMENTO!R$15,ROW(F40)-ROW(F$15),0)</f>
        <v>Transporte de material betuminoso com caminhão tanque distribuidor - rodovia pavimentada</v>
      </c>
      <c r="G40" s="164" t="str">
        <f ca="1">IF($D40&lt;&gt;"Serviço","",OFFSET(ORÇAMENTO!S$15,ROW(G40)-ROW(G$15),0))</f>
        <v>tkm</v>
      </c>
      <c r="H40" s="122" cm="1">
        <f t="array" aca="1" ref="H40" ca="1">IF($D40&lt;&gt;"Serviço",0,IF(ACOMPANHAMENTO="BM",ROUND(OFFSET(ORÇAMENTO!AJ$15,ROW(H40)-ROW(H$15),0),15-13*ORÇAMENTO!$AF$7),SUMPRODUCT(($Q$1:$AI$1=1)*ROUND($Q40:$AI40,15-13*ORÇAMENTO!$AF$7))))</f>
        <v>12380.48</v>
      </c>
      <c r="I40" s="468"/>
      <c r="J40" s="651" t="e" cm="1">
        <f t="array" aca="1" ref="J40" ca="1">IF(OR(B40&lt;&gt;"S",CÁLCULO.FrentesPreenchidas=0),"",IF(AND(ACOMPANHAMENTO="PLE",AUTOEVENTO="Manual",OR(H40&gt;0,ORÇAMENTO!AC40="QUANT."),OR(K40="",M40=0,N40="")),"►E",IF(AND(ACOMPANHAMENTO="PLE",ORÇAMENTO!AC40="QUANT."),"►Q",IF(AND(ACOMPANHAMENTO="PLE",H40&lt;&gt;SUMPRODUCT(($Q$1:$AI$1=1)*ROUND(Q40:AI40,15))),"►S",IF(AND(COUNTIF($P$11:$AI$11,"▼")=0,H40&gt;0,I40=""),"◄M","")))))</f>
        <v>#NAME?</v>
      </c>
      <c r="K40" s="652"/>
      <c r="L40" s="165" t="s">
        <v>764</v>
      </c>
      <c r="M40" s="166">
        <f ca="1">IF($D40&lt;&gt;"Serviço","",
          IF(AUTOEVENTO="manual",$A40,
                IF(ISERROR(MATCH($A40,$A$15:OFFSET($A40,-1,0),0)),MAX($M$15:OFFSET(M40,-1,0))+1,
                      INDEX($M$15:OFFSET(M40,-1,0),MATCH($A40,$A$15:OFFSET($A40,-1,0),0)))))</f>
        <v>4</v>
      </c>
      <c r="N40" s="167" t="str">
        <f ca="1">IF($D40&lt;&gt;"Serviço","",
         IF(AUTOEVENTO="Manual",
                IF($A40=0,"&lt;-- defina o número do agrupador",
                       OFFSET(EVENTOS!$D$15,$A40-$A$15,0)),
                OFFSET($F$15,$A40,0)))</f>
        <v>CAMADA DE REPERFILAMENTO</v>
      </c>
      <c r="O40" s="168"/>
      <c r="Q40" s="168"/>
      <c r="R40" s="169"/>
      <c r="S40" s="169">
        <f>TRUNC(S39/1000*337,2)</f>
        <v>12380.48</v>
      </c>
      <c r="T40" s="169"/>
      <c r="U40" s="169"/>
      <c r="V40" s="169"/>
      <c r="W40" s="169"/>
      <c r="X40" s="169"/>
      <c r="Y40" s="169"/>
      <c r="Z40" s="170"/>
      <c r="AA40" s="169"/>
      <c r="AB40" s="169"/>
      <c r="AC40" s="169"/>
      <c r="AD40" s="169"/>
      <c r="AE40" s="169"/>
      <c r="AF40" s="169"/>
      <c r="AG40" s="169"/>
      <c r="AH40" s="170"/>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L40" s="453">
        <f ca="1">IF(AND($D40="Serviço",AL$12&lt;&gt;0,$H40&gt;0,OR(AUTOEVENTO&lt;&gt;"manual",$M40&lt;&gt;$A$15)),
        IF(Import.TipoArredondamento&lt;&gt;"TransfereGOV",
              ROUND(OFFSET($P40,0,AL$13),15-13*ORÇAMENTO!$AF$7)/$H40*OFFSET(ORÇAMENTO!$X$15,ROW(AL40)-ROW(AL$15),0),
              ROUND(ROUND(OFFSET($P40,0,AL$13),15-13*ORÇAMENTO!$AF$7)*OFFSET(ORÇAMENTO!$W$15,ROW(AL40)-ROW(AL$15),0),15-13*ORÇAMENTO!$AF$11)),
         0)</f>
        <v>31570.22</v>
      </c>
      <c r="AM40" s="453">
        <f ca="1">IF(AND($D40="Serviço",AM$12&lt;&gt;0,$H40&gt;0,OR(AUTOEVENTO&lt;&gt;"manual",$M40&lt;&gt;$A$15)),
        IF(Import.TipoArredondamento&lt;&gt;"TransfereGOV",
              ROUND(OFFSET($P40,0,AM$13),15-13*ORÇAMENTO!$AF$7)/$H40*OFFSET(ORÇAMENTO!$X$15,ROW(AM40)-ROW(AM$15),0),
              ROUND(ROUND(OFFSET($P40,0,AM$13),15-13*ORÇAMENTO!$AF$7)*OFFSET(ORÇAMENTO!$W$15,ROW(AM40)-ROW(AM$15),0),15-13*ORÇAMENTO!$AF$11)),
         0)</f>
        <v>0</v>
      </c>
      <c r="AN40" s="453">
        <f ca="1">IF(AND($D40="Serviço",AN$12&lt;&gt;0,$H40&gt;0,OR(AUTOEVENTO&lt;&gt;"manual",$M40&lt;&gt;$A$15)),
        IF(Import.TipoArredondamento&lt;&gt;"TransfereGOV",
              ROUND(OFFSET($P40,0,AN$13),15-13*ORÇAMENTO!$AF$7)/$H40*OFFSET(ORÇAMENTO!$X$15,ROW(AN40)-ROW(AN$15),0),
              ROUND(ROUND(OFFSET($P40,0,AN$13),15-13*ORÇAMENTO!$AF$7)*OFFSET(ORÇAMENTO!$W$15,ROW(AN40)-ROW(AN$15),0),15-13*ORÇAMENTO!$AF$11)),
         0)</f>
        <v>0</v>
      </c>
      <c r="AO40" s="453">
        <f ca="1">IF(AND($D40="Serviço",AO$12&lt;&gt;0,$H40&gt;0,OR(AUTOEVENTO&lt;&gt;"manual",$M40&lt;&gt;$A$15)),
        IF(Import.TipoArredondamento&lt;&gt;"TransfereGOV",
              ROUND(OFFSET($P40,0,AO$13),15-13*ORÇAMENTO!$AF$7)/$H40*OFFSET(ORÇAMENTO!$X$15,ROW(AO40)-ROW(AO$15),0),
              ROUND(ROUND(OFFSET($P40,0,AO$13),15-13*ORÇAMENTO!$AF$7)*OFFSET(ORÇAMENTO!$W$15,ROW(AO40)-ROW(AO$15),0),15-13*ORÇAMENTO!$AF$11)),
         0)</f>
        <v>0</v>
      </c>
      <c r="AP40" s="453">
        <f ca="1">IF(AND($D40="Serviço",AP$12&lt;&gt;0,$H40&gt;0,OR(AUTOEVENTO&lt;&gt;"manual",$M40&lt;&gt;$A$15)),
        IF(Import.TipoArredondamento&lt;&gt;"TransfereGOV",
              ROUND(OFFSET($P40,0,AP$13),15-13*ORÇAMENTO!$AF$7)/$H40*OFFSET(ORÇAMENTO!$X$15,ROW(AP40)-ROW(AP$15),0),
              ROUND(ROUND(OFFSET($P40,0,AP$13),15-13*ORÇAMENTO!$AF$7)*OFFSET(ORÇAMENTO!$W$15,ROW(AP40)-ROW(AP$15),0),15-13*ORÇAMENTO!$AF$11)),
         0)</f>
        <v>0</v>
      </c>
      <c r="AQ40" s="453">
        <f ca="1">IF(AND($D40="Serviço",AQ$12&lt;&gt;0,$H40&gt;0,OR(AUTOEVENTO&lt;&gt;"manual",$M40&lt;&gt;$A$15)),
        IF(Import.TipoArredondamento&lt;&gt;"TransfereGOV",
              ROUND(OFFSET($P40,0,AQ$13),15-13*ORÇAMENTO!$AF$7)/$H40*OFFSET(ORÇAMENTO!$X$15,ROW(AQ40)-ROW(AQ$15),0),
              ROUND(ROUND(OFFSET($P40,0,AQ$13),15-13*ORÇAMENTO!$AF$7)*OFFSET(ORÇAMENTO!$W$15,ROW(AQ40)-ROW(AQ$15),0),15-13*ORÇAMENTO!$AF$11)),
         0)</f>
        <v>0</v>
      </c>
      <c r="AR40" s="453">
        <f ca="1">IF(AND($D40="Serviço",AR$12&lt;&gt;0,$H40&gt;0,OR(AUTOEVENTO&lt;&gt;"manual",$M40&lt;&gt;$A$15)),
        IF(Import.TipoArredondamento&lt;&gt;"TransfereGOV",
              ROUND(OFFSET($P40,0,AR$13),15-13*ORÇAMENTO!$AF$7)/$H40*OFFSET(ORÇAMENTO!$X$15,ROW(AR40)-ROW(AR$15),0),
              ROUND(ROUND(OFFSET($P40,0,AR$13),15-13*ORÇAMENTO!$AF$7)*OFFSET(ORÇAMENTO!$W$15,ROW(AR40)-ROW(AR$15),0),15-13*ORÇAMENTO!$AF$11)),
         0)</f>
        <v>0</v>
      </c>
      <c r="AS40" s="453">
        <f ca="1">IF(AND($D40="Serviço",AS$12&lt;&gt;0,$H40&gt;0,OR(AUTOEVENTO&lt;&gt;"manual",$M40&lt;&gt;$A$15)),
        IF(Import.TipoArredondamento&lt;&gt;"TransfereGOV",
              ROUND(OFFSET($P40,0,AS$13),15-13*ORÇAMENTO!$AF$7)/$H40*OFFSET(ORÇAMENTO!$X$15,ROW(AS40)-ROW(AS$15),0),
              ROUND(ROUND(OFFSET($P40,0,AS$13),15-13*ORÇAMENTO!$AF$7)*OFFSET(ORÇAMENTO!$W$15,ROW(AS40)-ROW(AS$15),0),15-13*ORÇAMENTO!$AF$11)),
         0)</f>
        <v>0</v>
      </c>
      <c r="AT40" s="453">
        <f ca="1">IF(AND($D40="Serviço",AT$12&lt;&gt;0,$H40&gt;0,OR(AUTOEVENTO&lt;&gt;"manual",$M40&lt;&gt;$A$15)),
        IF(Import.TipoArredondamento&lt;&gt;"TransfereGOV",
              ROUND(OFFSET($P40,0,AT$13),15-13*ORÇAMENTO!$AF$7)/$H40*OFFSET(ORÇAMENTO!$X$15,ROW(AT40)-ROW(AT$15),0),
              ROUND(ROUND(OFFSET($P40,0,AT$13),15-13*ORÇAMENTO!$AF$7)*OFFSET(ORÇAMENTO!$W$15,ROW(AT40)-ROW(AT$15),0),15-13*ORÇAMENTO!$AF$11)),
         0)</f>
        <v>0</v>
      </c>
      <c r="AU40" s="453">
        <f ca="1">IF(AND($D40="Serviço",AU$12&lt;&gt;0,$H40&gt;0,OR(AUTOEVENTO&lt;&gt;"manual",$M40&lt;&gt;$A$15)),
        IF(Import.TipoArredondamento&lt;&gt;"TransfereGOV",
              ROUND(OFFSET($P40,0,AU$13),15-13*ORÇAMENTO!$AF$7)/$H40*OFFSET(ORÇAMENTO!$X$15,ROW(AU40)-ROW(AU$15),0),
              ROUND(ROUND(OFFSET($P40,0,AU$13),15-13*ORÇAMENTO!$AF$7)*OFFSET(ORÇAMENTO!$W$15,ROW(AU40)-ROW(AU$15),0),15-13*ORÇAMENTO!$AF$11)),
         0)</f>
        <v>0</v>
      </c>
      <c r="AV40" s="453">
        <f ca="1">IF(AND($D40="Serviço",AV$12&lt;&gt;0,$H40&gt;0,OR(AUTOEVENTO&lt;&gt;"manual",$M40&lt;&gt;$A$15)),
        IF(Import.TipoArredondamento&lt;&gt;"TransfereGOV",
              ROUND(OFFSET($P40,0,AV$13),15-13*ORÇAMENTO!$AF$7)/$H40*OFFSET(ORÇAMENTO!$X$15,ROW(AV40)-ROW(AV$15),0),
              ROUND(ROUND(OFFSET($P40,0,AV$13),15-13*ORÇAMENTO!$AF$7)*OFFSET(ORÇAMENTO!$W$15,ROW(AV40)-ROW(AV$15),0),15-13*ORÇAMENTO!$AF$11)),
         0)</f>
        <v>0</v>
      </c>
      <c r="AW40" s="453">
        <f ca="1">IF(AND($D40="Serviço",AW$12&lt;&gt;0,$H40&gt;0,OR(AUTOEVENTO&lt;&gt;"manual",$M40&lt;&gt;$A$15)),
        IF(Import.TipoArredondamento&lt;&gt;"TransfereGOV",
              ROUND(OFFSET($P40,0,AW$13),15-13*ORÇAMENTO!$AF$7)/$H40*OFFSET(ORÇAMENTO!$X$15,ROW(AW40)-ROW(AW$15),0),
              ROUND(ROUND(OFFSET($P40,0,AW$13),15-13*ORÇAMENTO!$AF$7)*OFFSET(ORÇAMENTO!$W$15,ROW(AW40)-ROW(AW$15),0),15-13*ORÇAMENTO!$AF$11)),
         0)</f>
        <v>0</v>
      </c>
      <c r="AX40" s="453">
        <f ca="1">IF(AND($D40="Serviço",AX$12&lt;&gt;0,$H40&gt;0,OR(AUTOEVENTO&lt;&gt;"manual",$M40&lt;&gt;$A$15)),
        IF(Import.TipoArredondamento&lt;&gt;"TransfereGOV",
              ROUND(OFFSET($P40,0,AX$13),15-13*ORÇAMENTO!$AF$7)/$H40*OFFSET(ORÇAMENTO!$X$15,ROW(AX40)-ROW(AX$15),0),
              ROUND(ROUND(OFFSET($P40,0,AX$13),15-13*ORÇAMENTO!$AF$7)*OFFSET(ORÇAMENTO!$W$15,ROW(AX40)-ROW(AX$15),0),15-13*ORÇAMENTO!$AF$11)),
         0)</f>
        <v>0</v>
      </c>
      <c r="AY40" s="453">
        <f ca="1">IF(AND($D40="Serviço",AY$12&lt;&gt;0,$H40&gt;0,OR(AUTOEVENTO&lt;&gt;"manual",$M40&lt;&gt;$A$15)),
        IF(Import.TipoArredondamento&lt;&gt;"TransfereGOV",
              ROUND(OFFSET($P40,0,AY$13),15-13*ORÇAMENTO!$AF$7)/$H40*OFFSET(ORÇAMENTO!$X$15,ROW(AY40)-ROW(AY$15),0),
              ROUND(ROUND(OFFSET($P40,0,AY$13),15-13*ORÇAMENTO!$AF$7)*OFFSET(ORÇAMENTO!$W$15,ROW(AY40)-ROW(AY$15),0),15-13*ORÇAMENTO!$AF$11)),
         0)</f>
        <v>0</v>
      </c>
      <c r="AZ40" s="453">
        <f ca="1">IF(AND($D40="Serviço",AZ$12&lt;&gt;0,$H40&gt;0,OR(AUTOEVENTO&lt;&gt;"manual",$M40&lt;&gt;$A$15)),
        IF(Import.TipoArredondamento&lt;&gt;"TransfereGOV",
              ROUND(OFFSET($P40,0,AZ$13),15-13*ORÇAMENTO!$AF$7)/$H40*OFFSET(ORÇAMENTO!$X$15,ROW(AZ40)-ROW(AZ$15),0),
              ROUND(ROUND(OFFSET($P40,0,AZ$13),15-13*ORÇAMENTO!$AF$7)*OFFSET(ORÇAMENTO!$W$15,ROW(AZ40)-ROW(AZ$15),0),15-13*ORÇAMENTO!$AF$11)),
         0)</f>
        <v>0</v>
      </c>
      <c r="BA40" s="453">
        <f ca="1">IF(AND($D40="Serviço",BA$12&lt;&gt;0,$H40&gt;0,OR(AUTOEVENTO&lt;&gt;"manual",$M40&lt;&gt;$A$15)),
        IF(Import.TipoArredondamento&lt;&gt;"TransfereGOV",
              ROUND(OFFSET($P40,0,BA$13),15-13*ORÇAMENTO!$AF$7)/$H40*OFFSET(ORÇAMENTO!$X$15,ROW(BA40)-ROW(BA$15),0),
              ROUND(ROUND(OFFSET($P40,0,BA$13),15-13*ORÇAMENTO!$AF$7)*OFFSET(ORÇAMENTO!$W$15,ROW(BA40)-ROW(BA$15),0),15-13*ORÇAMENTO!$AF$11)),
         0)</f>
        <v>0</v>
      </c>
      <c r="BC40" s="171">
        <f ca="1">IF(OR($D40&lt;&gt;"Serviço",AND(AUTOEVENTO="Manual",$M40=$A$15)),0,
         IF(OFFSET(CRONOPLE!$F$15,$M40-$A$15,BC$13)=0,10^12,OFFSET(CRONOPLE!$F$15,$M40-$A$15,BC$13)))</f>
        <v>1000000000000</v>
      </c>
      <c r="BD40" s="171">
        <f ca="1">IF(OR($D40&lt;&gt;"Serviço",AND(AUTOEVENTO="Manual",$M40=$A$15)),0,
         IF(OFFSET(CRONOPLE!$F$15,$M40-$A$15,BD$13)=0,10^12,OFFSET(CRONOPLE!$F$15,$M40-$A$15,BD$13)))</f>
        <v>1000000000000</v>
      </c>
      <c r="BE40" s="171">
        <f ca="1">IF(OR($D40&lt;&gt;"Serviço",AND(AUTOEVENTO="Manual",$M40=$A$15)),0,
         IF(OFFSET(CRONOPLE!$F$15,$M40-$A$15,BE$13)=0,10^12,OFFSET(CRONOPLE!$F$15,$M40-$A$15,BE$13)))</f>
        <v>1</v>
      </c>
      <c r="BF40" s="171">
        <f ca="1">IF(OR($D40&lt;&gt;"Serviço",AND(AUTOEVENTO="Manual",$M40=$A$15)),0,
         IF(OFFSET(CRONOPLE!$F$15,$M40-$A$15,BF$13)=0,10^12,OFFSET(CRONOPLE!$F$15,$M40-$A$15,BF$13)))</f>
        <v>3</v>
      </c>
      <c r="BG40" s="171">
        <f ca="1">IF(OR($D40&lt;&gt;"Serviço",AND(AUTOEVENTO="Manual",$M40=$A$15)),0,
         IF(OFFSET(CRONOPLE!$F$15,$M40-$A$15,BG$13)=0,10^12,OFFSET(CRONOPLE!$F$15,$M40-$A$15,BG$13)))</f>
        <v>3</v>
      </c>
      <c r="BH40" s="171">
        <f ca="1">IF(OR($D40&lt;&gt;"Serviço",AND(AUTOEVENTO="Manual",$M40=$A$15)),0,
         IF(OFFSET(CRONOPLE!$F$15,$M40-$A$15,BH$13)=0,10^12,OFFSET(CRONOPLE!$F$15,$M40-$A$15,BH$13)))</f>
        <v>3</v>
      </c>
      <c r="BI40" s="171">
        <f ca="1">IF(OR($D40&lt;&gt;"Serviço",AND(AUTOEVENTO="Manual",$M40=$A$15)),0,
         IF(OFFSET(CRONOPLE!$F$15,$M40-$A$15,BI$13)=0,10^12,OFFSET(CRONOPLE!$F$15,$M40-$A$15,BI$13)))</f>
        <v>2</v>
      </c>
      <c r="BJ40" s="171">
        <f ca="1">IF(OR($D40&lt;&gt;"Serviço",AND(AUTOEVENTO="Manual",$M40=$A$15)),0,
         IF(OFFSET(CRONOPLE!$F$15,$M40-$A$15,BJ$13)=0,10^12,OFFSET(CRONOPLE!$F$15,$M40-$A$15,BJ$13)))</f>
        <v>2</v>
      </c>
      <c r="BK40" s="171">
        <f ca="1">IF(OR($D40&lt;&gt;"Serviço",AND(AUTOEVENTO="Manual",$M40=$A$15)),0,
         IF(OFFSET(CRONOPLE!$F$15,$M40-$A$15,BK$13)=0,10^12,OFFSET(CRONOPLE!$F$15,$M40-$A$15,BK$13)))</f>
        <v>2</v>
      </c>
      <c r="BL40" s="171">
        <f ca="1">IF(OR($D40&lt;&gt;"Serviço",AND(AUTOEVENTO="Manual",$M40=$A$15)),0,
         IF(OFFSET(CRONOPLE!$F$15,$M40-$A$15,BL$13)=0,10^12,OFFSET(CRONOPLE!$F$15,$M40-$A$15,BL$13)))</f>
        <v>1</v>
      </c>
      <c r="BM40" s="171">
        <f ca="1">IF(OR($D40&lt;&gt;"Serviço",AND(AUTOEVENTO="Manual",$M40=$A$15)),0,
         IF(OFFSET(CRONOPLE!$F$15,$M40-$A$15,BM$13)=0,10^12,OFFSET(CRONOPLE!$F$15,$M40-$A$15,BM$13)))</f>
        <v>1</v>
      </c>
      <c r="BN40" s="171">
        <f ca="1">IF(OR($D40&lt;&gt;"Serviço",AND(AUTOEVENTO="Manual",$M40=$A$15)),0,
         IF(OFFSET(CRONOPLE!$F$15,$M40-$A$15,BN$13)=0,10^12,OFFSET(CRONOPLE!$F$15,$M40-$A$15,BN$13)))</f>
        <v>1000000000000</v>
      </c>
      <c r="BO40" s="171">
        <f ca="1">IF(OR($D40&lt;&gt;"Serviço",AND(AUTOEVENTO="Manual",$M40=$A$15)),0,
         IF(OFFSET(CRONOPLE!$F$15,$M40-$A$15,BO$13)=0,10^12,OFFSET(CRONOPLE!$F$15,$M40-$A$15,BO$13)))</f>
        <v>1000000000000</v>
      </c>
      <c r="BP40" s="171">
        <f ca="1">IF(OR($D40&lt;&gt;"Serviço",AND(AUTOEVENTO="Manual",$M40=$A$15)),0,
         IF(OFFSET(CRONOPLE!$F$15,$M40-$A$15,BP$13)=0,10^12,OFFSET(CRONOPLE!$F$15,$M40-$A$15,BP$13)))</f>
        <v>1000000000000</v>
      </c>
      <c r="BQ40" s="171">
        <f ca="1">IF(OR($D40&lt;&gt;"Serviço",AND(AUTOEVENTO="Manual",$M40=$A$15)),0,
         IF(OFFSET(CRONOPLE!$F$15,$M40-$A$15,BQ$13)=0,10^12,OFFSET(CRONOPLE!$F$15,$M40-$A$15,BQ$13)))</f>
        <v>1000000000000</v>
      </c>
      <c r="BR40" s="171">
        <f ca="1">IF(OR($D40&lt;&gt;"Serviço",AND(AUTOEVENTO="Manual",$M40=$A$15)),0,
         IF(OFFSET(CRONOPLE!$F$15,$M40-$A$15,BR$13)=0,10^12,OFFSET(CRONOPLE!$F$15,$M40-$A$15,BR$13)))</f>
        <v>1000000000000</v>
      </c>
      <c r="BS40" s="171">
        <f ca="1">IF(OR($D40&lt;&gt;"Serviço",AND(AUTOEVENTO="Manual",$M40=$A$15)),0,
         IF(OFFSET(CRONOPLE!$F$15,$M40-$A$15,BS$13)=0,10^12,OFFSET(CRONOPLE!$F$15,$M40-$A$15,BS$13)))</f>
        <v>1000000000000</v>
      </c>
      <c r="BT40" s="171">
        <f ca="1">IF(OR($D40&lt;&gt;"Serviço",AND(AUTOEVENTO="Manual",$M40=$A$15)),0,
         IF(OFFSET(CRONOPLE!$F$15,$M40-$A$15,BT$13)=0,10^12,OFFSET(CRONOPLE!$F$15,$M40-$A$15,BT$13)))</f>
        <v>1000000000000</v>
      </c>
      <c r="BV40" s="172">
        <f ca="1">IF(OR($D40&lt;&gt;"Serviço",AND(AUTOEVENTO="Manual",$M40=$A$15),$M40&gt;(ROW(PLE.lastrow)-ROW(PLE.firstrow))),0,
           IF(OFFSET(PLE!$G$15,$M40-$A$15,BV$13)="",10^12,OFFSET(PLE!$G$15,$M40-$A$15,BV$13)))</f>
        <v>1000000000000</v>
      </c>
      <c r="BW40" s="172">
        <f ca="1">IF(OR($D40&lt;&gt;"Serviço",AND(AUTOEVENTO="Manual",$M40=$A$15),$M40&gt;(ROW(PLE.lastrow)-ROW(PLE.firstrow))),0,
           IF(OFFSET(PLE!$G$15,$M40-$A$15,BW$13)="",10^12,OFFSET(PLE!$G$15,$M40-$A$15,BW$13)))</f>
        <v>1000000000000</v>
      </c>
      <c r="BX40" s="172">
        <f ca="1">IF(OR($D40&lt;&gt;"Serviço",AND(AUTOEVENTO="Manual",$M40=$A$15),$M40&gt;(ROW(PLE.lastrow)-ROW(PLE.firstrow))),0,
           IF(OFFSET(PLE!$G$15,$M40-$A$15,BX$13)="",10^12,OFFSET(PLE!$G$15,$M40-$A$15,BX$13)))</f>
        <v>1000000000000</v>
      </c>
      <c r="BY40" s="172">
        <f ca="1">IF(OR($D40&lt;&gt;"Serviço",AND(AUTOEVENTO="Manual",$M40=$A$15),$M40&gt;(ROW(PLE.lastrow)-ROW(PLE.firstrow))),0,
           IF(OFFSET(PLE!$G$15,$M40-$A$15,BY$13)="",10^12,OFFSET(PLE!$G$15,$M40-$A$15,BY$13)))</f>
        <v>1000000000000</v>
      </c>
      <c r="BZ40" s="172">
        <f ca="1">IF(OR($D40&lt;&gt;"Serviço",AND(AUTOEVENTO="Manual",$M40=$A$15),$M40&gt;(ROW(PLE.lastrow)-ROW(PLE.firstrow))),0,
           IF(OFFSET(PLE!$G$15,$M40-$A$15,BZ$13)="",10^12,OFFSET(PLE!$G$15,$M40-$A$15,BZ$13)))</f>
        <v>1000000000000</v>
      </c>
      <c r="CA40" s="172">
        <f ca="1">IF(OR($D40&lt;&gt;"Serviço",AND(AUTOEVENTO="Manual",$M40=$A$15),$M40&gt;(ROW(PLE.lastrow)-ROW(PLE.firstrow))),0,
           IF(OFFSET(PLE!$G$15,$M40-$A$15,CA$13)="",10^12,OFFSET(PLE!$G$15,$M40-$A$15,CA$13)))</f>
        <v>1000000000000</v>
      </c>
      <c r="CB40" s="172">
        <f ca="1">IF(OR($D40&lt;&gt;"Serviço",AND(AUTOEVENTO="Manual",$M40=$A$15),$M40&gt;(ROW(PLE.lastrow)-ROW(PLE.firstrow))),0,
           IF(OFFSET(PLE!$G$15,$M40-$A$15,CB$13)="",10^12,OFFSET(PLE!$G$15,$M40-$A$15,CB$13)))</f>
        <v>1000000000000</v>
      </c>
      <c r="CC40" s="172">
        <f ca="1">IF(OR($D40&lt;&gt;"Serviço",AND(AUTOEVENTO="Manual",$M40=$A$15),$M40&gt;(ROW(PLE.lastrow)-ROW(PLE.firstrow))),0,
           IF(OFFSET(PLE!$G$15,$M40-$A$15,CC$13)="",10^12,OFFSET(PLE!$G$15,$M40-$A$15,CC$13)))</f>
        <v>1000000000000</v>
      </c>
      <c r="CD40" s="172">
        <f ca="1">IF(OR($D40&lt;&gt;"Serviço",AND(AUTOEVENTO="Manual",$M40=$A$15),$M40&gt;(ROW(PLE.lastrow)-ROW(PLE.firstrow))),0,
           IF(OFFSET(PLE!$G$15,$M40-$A$15,CD$13)="",10^12,OFFSET(PLE!$G$15,$M40-$A$15,CD$13)))</f>
        <v>1000000000000</v>
      </c>
      <c r="CE40" s="172">
        <f ca="1">IF(OR($D40&lt;&gt;"Serviço",AND(AUTOEVENTO="Manual",$M40=$A$15),$M40&gt;(ROW(PLE.lastrow)-ROW(PLE.firstrow))),0,
           IF(OFFSET(PLE!$G$15,$M40-$A$15,CE$13)="",10^12,OFFSET(PLE!$G$15,$M40-$A$15,CE$13)))</f>
        <v>1000000000000</v>
      </c>
      <c r="CF40" s="172">
        <f ca="1">IF(OR($D40&lt;&gt;"Serviço",AND(AUTOEVENTO="Manual",$M40=$A$15),$M40&gt;(ROW(PLE.lastrow)-ROW(PLE.firstrow))),0,
           IF(OFFSET(PLE!$G$15,$M40-$A$15,CF$13)="",10^12,OFFSET(PLE!$G$15,$M40-$A$15,CF$13)))</f>
        <v>1000000000000</v>
      </c>
      <c r="CG40" s="172">
        <f ca="1">IF(OR($D40&lt;&gt;"Serviço",AND(AUTOEVENTO="Manual",$M40=$A$15),$M40&gt;(ROW(PLE.lastrow)-ROW(PLE.firstrow))),0,
           IF(OFFSET(PLE!$G$15,$M40-$A$15,CG$13)="",10^12,OFFSET(PLE!$G$15,$M40-$A$15,CG$13)))</f>
        <v>1000000000000</v>
      </c>
      <c r="CH40" s="172">
        <f ca="1">IF(OR($D40&lt;&gt;"Serviço",AND(AUTOEVENTO="Manual",$M40=$A$15),$M40&gt;(ROW(PLE.lastrow)-ROW(PLE.firstrow))),0,
           IF(OFFSET(PLE!$G$15,$M40-$A$15,CH$13)="",10^12,OFFSET(PLE!$G$15,$M40-$A$15,CH$13)))</f>
        <v>1000000000000</v>
      </c>
      <c r="CI40" s="172">
        <f ca="1">IF(OR($D40&lt;&gt;"Serviço",AND(AUTOEVENTO="Manual",$M40=$A$15),$M40&gt;(ROW(PLE.lastrow)-ROW(PLE.firstrow))),0,
           IF(OFFSET(PLE!$G$15,$M40-$A$15,CI$13)="",10^12,OFFSET(PLE!$G$15,$M40-$A$15,CI$13)))</f>
        <v>1000000000000</v>
      </c>
      <c r="CJ40" s="172">
        <f ca="1">IF(OR($D40&lt;&gt;"Serviço",AND(AUTOEVENTO="Manual",$M40=$A$15),$M40&gt;(ROW(PLE.lastrow)-ROW(PLE.firstrow))),0,
           IF(OFFSET(PLE!$G$15,$M40-$A$15,CJ$13)="",10^12,OFFSET(PLE!$G$15,$M40-$A$15,CJ$13)))</f>
        <v>1000000000000</v>
      </c>
      <c r="CK40" s="172">
        <f ca="1">IF(OR($D40&lt;&gt;"Serviço",AND(AUTOEVENTO="Manual",$M40=$A$15),$M40&gt;(ROW(PLE.lastrow)-ROW(PLE.firstrow))),0,
           IF(OFFSET(PLE!$G$15,$M40-$A$15,CK$13)="",10^12,OFFSET(PLE!$G$15,$M40-$A$15,CK$13)))</f>
        <v>1000000000000</v>
      </c>
      <c r="CL40" s="172">
        <f ca="1">IF(OR($D40&lt;&gt;"Serviço",AND(AUTOEVENTO="Manual",$M40=$A$15),$M40&gt;(ROW(PLE.lastrow)-ROW(PLE.firstrow))),0,
           IF(OFFSET(PLE!$G$15,$M40-$A$15,CL$13)="",10^12,OFFSET(PLE!$G$15,$M40-$A$15,CL$13)))</f>
        <v>1000000000000</v>
      </c>
      <c r="CM40" s="172">
        <f ca="1">IF(OR($D40&lt;&gt;"Serviço",AND(AUTOEVENTO="Manual",$M40=$A$15),$M40&gt;(ROW(PLE.lastrow)-ROW(PLE.firstrow))),0,
           IF(OFFSET(PLE!$G$15,$M40-$A$15,CM$13)="",10^12,OFFSET(PLE!$G$15,$M40-$A$15,CM$13)))</f>
        <v>1000000000000</v>
      </c>
    </row>
    <row r="41" spans="1:91" ht="13.2" x14ac:dyDescent="0.25">
      <c r="A41" s="7" t="str">
        <f t="shared" ca="1" si="11"/>
        <v>26.</v>
      </c>
      <c r="B41" s="7">
        <f ca="1">OFFSET(ORÇAMENTO!C$15,ROW(B41)-ROW(B$15),0)</f>
        <v>2</v>
      </c>
      <c r="C41" s="7" t="str">
        <f ca="1">OFFSET(ORÇAMENTO!L$15,ROW(C41)-ROW(C$15),0)</f>
        <v>F</v>
      </c>
      <c r="D41" s="116" t="str">
        <f ca="1">OFFSET(ORÇAMENTO!N$15,ROW(D41)-ROW(D$15),0)</f>
        <v>Nível 2</v>
      </c>
      <c r="E41" s="117" t="str">
        <f ca="1">OFFSET(ORÇAMENTO!O$15,ROW(E41)-ROW(E$15),0)</f>
        <v>1.5.</v>
      </c>
      <c r="F41" s="163" t="str">
        <f ca="1">OFFSET(ORÇAMENTO!R$15,ROW(F41)-ROW(F$15),0)</f>
        <v xml:space="preserve">FAIXAS ELEVADAS </v>
      </c>
      <c r="G41" s="164" t="str">
        <f ca="1">IF($D41&lt;&gt;"Serviço","",OFFSET(ORÇAMENTO!S$15,ROW(G41)-ROW(G$15),0))</f>
        <v/>
      </c>
      <c r="H41" s="122" cm="1">
        <f t="array" aca="1" ref="H41" ca="1">IF($D41&lt;&gt;"Serviço",0,IF(ACOMPANHAMENTO="BM",ROUND(OFFSET(ORÇAMENTO!AJ$15,ROW(H41)-ROW(H$15),0),15-13*ORÇAMENTO!$AF$7),SUMPRODUCT(($Q$1:$AI$1=1)*ROUND($Q41:$AI41,15-13*ORÇAMENTO!$AF$7))))</f>
        <v>0</v>
      </c>
      <c r="I41" s="468"/>
      <c r="J41" s="651" t="str" cm="1">
        <f t="array" aca="1" ref="J41" ca="1">IF(OR(B41&lt;&gt;"S",CÁLCULO.FrentesPreenchidas=0),"",IF(AND(ACOMPANHAMENTO="PLE",AUTOEVENTO="Manual",OR(H41&gt;0,ORÇAMENTO!AC41="QUANT."),OR(K41="",M41=0,N41="")),"►E",IF(AND(ACOMPANHAMENTO="PLE",ORÇAMENTO!AC41="QUANT."),"►Q",IF(AND(ACOMPANHAMENTO="PLE",H41&lt;&gt;SUMPRODUCT(($Q$1:$AI$1=1)*ROUND(Q41:AI41,15))),"►S",IF(AND(COUNTIF($P$11:$AI$11,"▼")=0,H41&gt;0,I41=""),"◄M","")))))</f>
        <v/>
      </c>
      <c r="K41" s="652"/>
      <c r="L41" s="165" t="s">
        <v>764</v>
      </c>
      <c r="M41" s="166" t="str">
        <f ca="1">IF($D41&lt;&gt;"Serviço","",
          IF(AUTOEVENTO="manual",$A41,
                IF(ISERROR(MATCH($A41,$A$15:OFFSET($A41,-1,0),0)),MAX($M$15:OFFSET(M41,-1,0))+1,
                      INDEX($M$15:OFFSET(M41,-1,0),MATCH($A41,$A$15:OFFSET($A41,-1,0),0)))))</f>
        <v/>
      </c>
      <c r="N41" s="167" t="str">
        <f ca="1">IF($D41&lt;&gt;"Serviço","",
         IF(AUTOEVENTO="Manual",
                IF($A41=0,"&lt;-- defina o número do agrupador",
                       OFFSET(EVENTOS!$D$15,$A41-$A$15,0)),
                OFFSET($F$15,$A41,0)))</f>
        <v/>
      </c>
      <c r="O41" s="168"/>
      <c r="Q41" s="168"/>
      <c r="R41" s="169"/>
      <c r="S41" s="169"/>
      <c r="T41" s="169"/>
      <c r="U41" s="169"/>
      <c r="V41" s="169"/>
      <c r="W41" s="169"/>
      <c r="X41" s="169"/>
      <c r="Y41" s="169"/>
      <c r="Z41" s="170"/>
      <c r="AA41" s="169"/>
      <c r="AB41" s="169"/>
      <c r="AC41" s="169"/>
      <c r="AD41" s="169"/>
      <c r="AE41" s="169"/>
      <c r="AF41" s="169"/>
      <c r="AG41" s="169"/>
      <c r="AH41" s="170"/>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L41" s="453">
        <f ca="1">IF(AND($D41="Serviço",AL$12&lt;&gt;0,$H41&gt;0,OR(AUTOEVENTO&lt;&gt;"manual",$M41&lt;&gt;$A$15)),
        IF(Import.TipoArredondamento&lt;&gt;"TransfereGOV",
              ROUND(OFFSET($P41,0,AL$13),15-13*ORÇAMENTO!$AF$7)/$H41*OFFSET(ORÇAMENTO!$X$15,ROW(AL41)-ROW(AL$15),0),
              ROUND(ROUND(OFFSET($P41,0,AL$13),15-13*ORÇAMENTO!$AF$7)*OFFSET(ORÇAMENTO!$W$15,ROW(AL41)-ROW(AL$15),0),15-13*ORÇAMENTO!$AF$11)),
         0)</f>
        <v>0</v>
      </c>
      <c r="AM41" s="453">
        <f ca="1">IF(AND($D41="Serviço",AM$12&lt;&gt;0,$H41&gt;0,OR(AUTOEVENTO&lt;&gt;"manual",$M41&lt;&gt;$A$15)),
        IF(Import.TipoArredondamento&lt;&gt;"TransfereGOV",
              ROUND(OFFSET($P41,0,AM$13),15-13*ORÇAMENTO!$AF$7)/$H41*OFFSET(ORÇAMENTO!$X$15,ROW(AM41)-ROW(AM$15),0),
              ROUND(ROUND(OFFSET($P41,0,AM$13),15-13*ORÇAMENTO!$AF$7)*OFFSET(ORÇAMENTO!$W$15,ROW(AM41)-ROW(AM$15),0),15-13*ORÇAMENTO!$AF$11)),
         0)</f>
        <v>0</v>
      </c>
      <c r="AN41" s="453">
        <f ca="1">IF(AND($D41="Serviço",AN$12&lt;&gt;0,$H41&gt;0,OR(AUTOEVENTO&lt;&gt;"manual",$M41&lt;&gt;$A$15)),
        IF(Import.TipoArredondamento&lt;&gt;"TransfereGOV",
              ROUND(OFFSET($P41,0,AN$13),15-13*ORÇAMENTO!$AF$7)/$H41*OFFSET(ORÇAMENTO!$X$15,ROW(AN41)-ROW(AN$15),0),
              ROUND(ROUND(OFFSET($P41,0,AN$13),15-13*ORÇAMENTO!$AF$7)*OFFSET(ORÇAMENTO!$W$15,ROW(AN41)-ROW(AN$15),0),15-13*ORÇAMENTO!$AF$11)),
         0)</f>
        <v>0</v>
      </c>
      <c r="AO41" s="453">
        <f ca="1">IF(AND($D41="Serviço",AO$12&lt;&gt;0,$H41&gt;0,OR(AUTOEVENTO&lt;&gt;"manual",$M41&lt;&gt;$A$15)),
        IF(Import.TipoArredondamento&lt;&gt;"TransfereGOV",
              ROUND(OFFSET($P41,0,AO$13),15-13*ORÇAMENTO!$AF$7)/$H41*OFFSET(ORÇAMENTO!$X$15,ROW(AO41)-ROW(AO$15),0),
              ROUND(ROUND(OFFSET($P41,0,AO$13),15-13*ORÇAMENTO!$AF$7)*OFFSET(ORÇAMENTO!$W$15,ROW(AO41)-ROW(AO$15),0),15-13*ORÇAMENTO!$AF$11)),
         0)</f>
        <v>0</v>
      </c>
      <c r="AP41" s="453">
        <f ca="1">IF(AND($D41="Serviço",AP$12&lt;&gt;0,$H41&gt;0,OR(AUTOEVENTO&lt;&gt;"manual",$M41&lt;&gt;$A$15)),
        IF(Import.TipoArredondamento&lt;&gt;"TransfereGOV",
              ROUND(OFFSET($P41,0,AP$13),15-13*ORÇAMENTO!$AF$7)/$H41*OFFSET(ORÇAMENTO!$X$15,ROW(AP41)-ROW(AP$15),0),
              ROUND(ROUND(OFFSET($P41,0,AP$13),15-13*ORÇAMENTO!$AF$7)*OFFSET(ORÇAMENTO!$W$15,ROW(AP41)-ROW(AP$15),0),15-13*ORÇAMENTO!$AF$11)),
         0)</f>
        <v>0</v>
      </c>
      <c r="AQ41" s="453">
        <f ca="1">IF(AND($D41="Serviço",AQ$12&lt;&gt;0,$H41&gt;0,OR(AUTOEVENTO&lt;&gt;"manual",$M41&lt;&gt;$A$15)),
        IF(Import.TipoArredondamento&lt;&gt;"TransfereGOV",
              ROUND(OFFSET($P41,0,AQ$13),15-13*ORÇAMENTO!$AF$7)/$H41*OFFSET(ORÇAMENTO!$X$15,ROW(AQ41)-ROW(AQ$15),0),
              ROUND(ROUND(OFFSET($P41,0,AQ$13),15-13*ORÇAMENTO!$AF$7)*OFFSET(ORÇAMENTO!$W$15,ROW(AQ41)-ROW(AQ$15),0),15-13*ORÇAMENTO!$AF$11)),
         0)</f>
        <v>0</v>
      </c>
      <c r="AR41" s="453">
        <f ca="1">IF(AND($D41="Serviço",AR$12&lt;&gt;0,$H41&gt;0,OR(AUTOEVENTO&lt;&gt;"manual",$M41&lt;&gt;$A$15)),
        IF(Import.TipoArredondamento&lt;&gt;"TransfereGOV",
              ROUND(OFFSET($P41,0,AR$13),15-13*ORÇAMENTO!$AF$7)/$H41*OFFSET(ORÇAMENTO!$X$15,ROW(AR41)-ROW(AR$15),0),
              ROUND(ROUND(OFFSET($P41,0,AR$13),15-13*ORÇAMENTO!$AF$7)*OFFSET(ORÇAMENTO!$W$15,ROW(AR41)-ROW(AR$15),0),15-13*ORÇAMENTO!$AF$11)),
         0)</f>
        <v>0</v>
      </c>
      <c r="AS41" s="453">
        <f ca="1">IF(AND($D41="Serviço",AS$12&lt;&gt;0,$H41&gt;0,OR(AUTOEVENTO&lt;&gt;"manual",$M41&lt;&gt;$A$15)),
        IF(Import.TipoArredondamento&lt;&gt;"TransfereGOV",
              ROUND(OFFSET($P41,0,AS$13),15-13*ORÇAMENTO!$AF$7)/$H41*OFFSET(ORÇAMENTO!$X$15,ROW(AS41)-ROW(AS$15),0),
              ROUND(ROUND(OFFSET($P41,0,AS$13),15-13*ORÇAMENTO!$AF$7)*OFFSET(ORÇAMENTO!$W$15,ROW(AS41)-ROW(AS$15),0),15-13*ORÇAMENTO!$AF$11)),
         0)</f>
        <v>0</v>
      </c>
      <c r="AT41" s="453">
        <f ca="1">IF(AND($D41="Serviço",AT$12&lt;&gt;0,$H41&gt;0,OR(AUTOEVENTO&lt;&gt;"manual",$M41&lt;&gt;$A$15)),
        IF(Import.TipoArredondamento&lt;&gt;"TransfereGOV",
              ROUND(OFFSET($P41,0,AT$13),15-13*ORÇAMENTO!$AF$7)/$H41*OFFSET(ORÇAMENTO!$X$15,ROW(AT41)-ROW(AT$15),0),
              ROUND(ROUND(OFFSET($P41,0,AT$13),15-13*ORÇAMENTO!$AF$7)*OFFSET(ORÇAMENTO!$W$15,ROW(AT41)-ROW(AT$15),0),15-13*ORÇAMENTO!$AF$11)),
         0)</f>
        <v>0</v>
      </c>
      <c r="AU41" s="453">
        <f ca="1">IF(AND($D41="Serviço",AU$12&lt;&gt;0,$H41&gt;0,OR(AUTOEVENTO&lt;&gt;"manual",$M41&lt;&gt;$A$15)),
        IF(Import.TipoArredondamento&lt;&gt;"TransfereGOV",
              ROUND(OFFSET($P41,0,AU$13),15-13*ORÇAMENTO!$AF$7)/$H41*OFFSET(ORÇAMENTO!$X$15,ROW(AU41)-ROW(AU$15),0),
              ROUND(ROUND(OFFSET($P41,0,AU$13),15-13*ORÇAMENTO!$AF$7)*OFFSET(ORÇAMENTO!$W$15,ROW(AU41)-ROW(AU$15),0),15-13*ORÇAMENTO!$AF$11)),
         0)</f>
        <v>0</v>
      </c>
      <c r="AV41" s="453">
        <f ca="1">IF(AND($D41="Serviço",AV$12&lt;&gt;0,$H41&gt;0,OR(AUTOEVENTO&lt;&gt;"manual",$M41&lt;&gt;$A$15)),
        IF(Import.TipoArredondamento&lt;&gt;"TransfereGOV",
              ROUND(OFFSET($P41,0,AV$13),15-13*ORÇAMENTO!$AF$7)/$H41*OFFSET(ORÇAMENTO!$X$15,ROW(AV41)-ROW(AV$15),0),
              ROUND(ROUND(OFFSET($P41,0,AV$13),15-13*ORÇAMENTO!$AF$7)*OFFSET(ORÇAMENTO!$W$15,ROW(AV41)-ROW(AV$15),0),15-13*ORÇAMENTO!$AF$11)),
         0)</f>
        <v>0</v>
      </c>
      <c r="AW41" s="453">
        <f ca="1">IF(AND($D41="Serviço",AW$12&lt;&gt;0,$H41&gt;0,OR(AUTOEVENTO&lt;&gt;"manual",$M41&lt;&gt;$A$15)),
        IF(Import.TipoArredondamento&lt;&gt;"TransfereGOV",
              ROUND(OFFSET($P41,0,AW$13),15-13*ORÇAMENTO!$AF$7)/$H41*OFFSET(ORÇAMENTO!$X$15,ROW(AW41)-ROW(AW$15),0),
              ROUND(ROUND(OFFSET($P41,0,AW$13),15-13*ORÇAMENTO!$AF$7)*OFFSET(ORÇAMENTO!$W$15,ROW(AW41)-ROW(AW$15),0),15-13*ORÇAMENTO!$AF$11)),
         0)</f>
        <v>0</v>
      </c>
      <c r="AX41" s="453">
        <f ca="1">IF(AND($D41="Serviço",AX$12&lt;&gt;0,$H41&gt;0,OR(AUTOEVENTO&lt;&gt;"manual",$M41&lt;&gt;$A$15)),
        IF(Import.TipoArredondamento&lt;&gt;"TransfereGOV",
              ROUND(OFFSET($P41,0,AX$13),15-13*ORÇAMENTO!$AF$7)/$H41*OFFSET(ORÇAMENTO!$X$15,ROW(AX41)-ROW(AX$15),0),
              ROUND(ROUND(OFFSET($P41,0,AX$13),15-13*ORÇAMENTO!$AF$7)*OFFSET(ORÇAMENTO!$W$15,ROW(AX41)-ROW(AX$15),0),15-13*ORÇAMENTO!$AF$11)),
         0)</f>
        <v>0</v>
      </c>
      <c r="AY41" s="453">
        <f ca="1">IF(AND($D41="Serviço",AY$12&lt;&gt;0,$H41&gt;0,OR(AUTOEVENTO&lt;&gt;"manual",$M41&lt;&gt;$A$15)),
        IF(Import.TipoArredondamento&lt;&gt;"TransfereGOV",
              ROUND(OFFSET($P41,0,AY$13),15-13*ORÇAMENTO!$AF$7)/$H41*OFFSET(ORÇAMENTO!$X$15,ROW(AY41)-ROW(AY$15),0),
              ROUND(ROUND(OFFSET($P41,0,AY$13),15-13*ORÇAMENTO!$AF$7)*OFFSET(ORÇAMENTO!$W$15,ROW(AY41)-ROW(AY$15),0),15-13*ORÇAMENTO!$AF$11)),
         0)</f>
        <v>0</v>
      </c>
      <c r="AZ41" s="453">
        <f ca="1">IF(AND($D41="Serviço",AZ$12&lt;&gt;0,$H41&gt;0,OR(AUTOEVENTO&lt;&gt;"manual",$M41&lt;&gt;$A$15)),
        IF(Import.TipoArredondamento&lt;&gt;"TransfereGOV",
              ROUND(OFFSET($P41,0,AZ$13),15-13*ORÇAMENTO!$AF$7)/$H41*OFFSET(ORÇAMENTO!$X$15,ROW(AZ41)-ROW(AZ$15),0),
              ROUND(ROUND(OFFSET($P41,0,AZ$13),15-13*ORÇAMENTO!$AF$7)*OFFSET(ORÇAMENTO!$W$15,ROW(AZ41)-ROW(AZ$15),0),15-13*ORÇAMENTO!$AF$11)),
         0)</f>
        <v>0</v>
      </c>
      <c r="BA41" s="453">
        <f ca="1">IF(AND($D41="Serviço",BA$12&lt;&gt;0,$H41&gt;0,OR(AUTOEVENTO&lt;&gt;"manual",$M41&lt;&gt;$A$15)),
        IF(Import.TipoArredondamento&lt;&gt;"TransfereGOV",
              ROUND(OFFSET($P41,0,BA$13),15-13*ORÇAMENTO!$AF$7)/$H41*OFFSET(ORÇAMENTO!$X$15,ROW(BA41)-ROW(BA$15),0),
              ROUND(ROUND(OFFSET($P41,0,BA$13),15-13*ORÇAMENTO!$AF$7)*OFFSET(ORÇAMENTO!$W$15,ROW(BA41)-ROW(BA$15),0),15-13*ORÇAMENTO!$AF$11)),
         0)</f>
        <v>0</v>
      </c>
      <c r="BC41" s="171">
        <f ca="1">IF(OR($D41&lt;&gt;"Serviço",AND(AUTOEVENTO="Manual",$M41=$A$15)),0,
         IF(OFFSET(CRONOPLE!$F$15,$M41-$A$15,BC$13)=0,10^12,OFFSET(CRONOPLE!$F$15,$M41-$A$15,BC$13)))</f>
        <v>0</v>
      </c>
      <c r="BD41" s="171">
        <f ca="1">IF(OR($D41&lt;&gt;"Serviço",AND(AUTOEVENTO="Manual",$M41=$A$15)),0,
         IF(OFFSET(CRONOPLE!$F$15,$M41-$A$15,BD$13)=0,10^12,OFFSET(CRONOPLE!$F$15,$M41-$A$15,BD$13)))</f>
        <v>0</v>
      </c>
      <c r="BE41" s="171">
        <f ca="1">IF(OR($D41&lt;&gt;"Serviço",AND(AUTOEVENTO="Manual",$M41=$A$15)),0,
         IF(OFFSET(CRONOPLE!$F$15,$M41-$A$15,BE$13)=0,10^12,OFFSET(CRONOPLE!$F$15,$M41-$A$15,BE$13)))</f>
        <v>0</v>
      </c>
      <c r="BF41" s="171">
        <f ca="1">IF(OR($D41&lt;&gt;"Serviço",AND(AUTOEVENTO="Manual",$M41=$A$15)),0,
         IF(OFFSET(CRONOPLE!$F$15,$M41-$A$15,BF$13)=0,10^12,OFFSET(CRONOPLE!$F$15,$M41-$A$15,BF$13)))</f>
        <v>0</v>
      </c>
      <c r="BG41" s="171">
        <f ca="1">IF(OR($D41&lt;&gt;"Serviço",AND(AUTOEVENTO="Manual",$M41=$A$15)),0,
         IF(OFFSET(CRONOPLE!$F$15,$M41-$A$15,BG$13)=0,10^12,OFFSET(CRONOPLE!$F$15,$M41-$A$15,BG$13)))</f>
        <v>0</v>
      </c>
      <c r="BH41" s="171">
        <f ca="1">IF(OR($D41&lt;&gt;"Serviço",AND(AUTOEVENTO="Manual",$M41=$A$15)),0,
         IF(OFFSET(CRONOPLE!$F$15,$M41-$A$15,BH$13)=0,10^12,OFFSET(CRONOPLE!$F$15,$M41-$A$15,BH$13)))</f>
        <v>0</v>
      </c>
      <c r="BI41" s="171">
        <f ca="1">IF(OR($D41&lt;&gt;"Serviço",AND(AUTOEVENTO="Manual",$M41=$A$15)),0,
         IF(OFFSET(CRONOPLE!$F$15,$M41-$A$15,BI$13)=0,10^12,OFFSET(CRONOPLE!$F$15,$M41-$A$15,BI$13)))</f>
        <v>0</v>
      </c>
      <c r="BJ41" s="171">
        <f ca="1">IF(OR($D41&lt;&gt;"Serviço",AND(AUTOEVENTO="Manual",$M41=$A$15)),0,
         IF(OFFSET(CRONOPLE!$F$15,$M41-$A$15,BJ$13)=0,10^12,OFFSET(CRONOPLE!$F$15,$M41-$A$15,BJ$13)))</f>
        <v>0</v>
      </c>
      <c r="BK41" s="171">
        <f ca="1">IF(OR($D41&lt;&gt;"Serviço",AND(AUTOEVENTO="Manual",$M41=$A$15)),0,
         IF(OFFSET(CRONOPLE!$F$15,$M41-$A$15,BK$13)=0,10^12,OFFSET(CRONOPLE!$F$15,$M41-$A$15,BK$13)))</f>
        <v>0</v>
      </c>
      <c r="BL41" s="171">
        <f ca="1">IF(OR($D41&lt;&gt;"Serviço",AND(AUTOEVENTO="Manual",$M41=$A$15)),0,
         IF(OFFSET(CRONOPLE!$F$15,$M41-$A$15,BL$13)=0,10^12,OFFSET(CRONOPLE!$F$15,$M41-$A$15,BL$13)))</f>
        <v>0</v>
      </c>
      <c r="BM41" s="171">
        <f ca="1">IF(OR($D41&lt;&gt;"Serviço",AND(AUTOEVENTO="Manual",$M41=$A$15)),0,
         IF(OFFSET(CRONOPLE!$F$15,$M41-$A$15,BM$13)=0,10^12,OFFSET(CRONOPLE!$F$15,$M41-$A$15,BM$13)))</f>
        <v>0</v>
      </c>
      <c r="BN41" s="171">
        <f ca="1">IF(OR($D41&lt;&gt;"Serviço",AND(AUTOEVENTO="Manual",$M41=$A$15)),0,
         IF(OFFSET(CRONOPLE!$F$15,$M41-$A$15,BN$13)=0,10^12,OFFSET(CRONOPLE!$F$15,$M41-$A$15,BN$13)))</f>
        <v>0</v>
      </c>
      <c r="BO41" s="171">
        <f ca="1">IF(OR($D41&lt;&gt;"Serviço",AND(AUTOEVENTO="Manual",$M41=$A$15)),0,
         IF(OFFSET(CRONOPLE!$F$15,$M41-$A$15,BO$13)=0,10^12,OFFSET(CRONOPLE!$F$15,$M41-$A$15,BO$13)))</f>
        <v>0</v>
      </c>
      <c r="BP41" s="171">
        <f ca="1">IF(OR($D41&lt;&gt;"Serviço",AND(AUTOEVENTO="Manual",$M41=$A$15)),0,
         IF(OFFSET(CRONOPLE!$F$15,$M41-$A$15,BP$13)=0,10^12,OFFSET(CRONOPLE!$F$15,$M41-$A$15,BP$13)))</f>
        <v>0</v>
      </c>
      <c r="BQ41" s="171">
        <f ca="1">IF(OR($D41&lt;&gt;"Serviço",AND(AUTOEVENTO="Manual",$M41=$A$15)),0,
         IF(OFFSET(CRONOPLE!$F$15,$M41-$A$15,BQ$13)=0,10^12,OFFSET(CRONOPLE!$F$15,$M41-$A$15,BQ$13)))</f>
        <v>0</v>
      </c>
      <c r="BR41" s="171">
        <f ca="1">IF(OR($D41&lt;&gt;"Serviço",AND(AUTOEVENTO="Manual",$M41=$A$15)),0,
         IF(OFFSET(CRONOPLE!$F$15,$M41-$A$15,BR$13)=0,10^12,OFFSET(CRONOPLE!$F$15,$M41-$A$15,BR$13)))</f>
        <v>0</v>
      </c>
      <c r="BS41" s="171">
        <f ca="1">IF(OR($D41&lt;&gt;"Serviço",AND(AUTOEVENTO="Manual",$M41=$A$15)),0,
         IF(OFFSET(CRONOPLE!$F$15,$M41-$A$15,BS$13)=0,10^12,OFFSET(CRONOPLE!$F$15,$M41-$A$15,BS$13)))</f>
        <v>0</v>
      </c>
      <c r="BT41" s="171">
        <f ca="1">IF(OR($D41&lt;&gt;"Serviço",AND(AUTOEVENTO="Manual",$M41=$A$15)),0,
         IF(OFFSET(CRONOPLE!$F$15,$M41-$A$15,BT$13)=0,10^12,OFFSET(CRONOPLE!$F$15,$M41-$A$15,BT$13)))</f>
        <v>0</v>
      </c>
      <c r="BV41" s="172">
        <f ca="1">IF(OR($D41&lt;&gt;"Serviço",AND(AUTOEVENTO="Manual",$M41=$A$15),$M41&gt;(ROW(PLE.lastrow)-ROW(PLE.firstrow))),0,
           IF(OFFSET(PLE!$G$15,$M41-$A$15,BV$13)="",10^12,OFFSET(PLE!$G$15,$M41-$A$15,BV$13)))</f>
        <v>0</v>
      </c>
      <c r="BW41" s="172">
        <f ca="1">IF(OR($D41&lt;&gt;"Serviço",AND(AUTOEVENTO="Manual",$M41=$A$15),$M41&gt;(ROW(PLE.lastrow)-ROW(PLE.firstrow))),0,
           IF(OFFSET(PLE!$G$15,$M41-$A$15,BW$13)="",10^12,OFFSET(PLE!$G$15,$M41-$A$15,BW$13)))</f>
        <v>0</v>
      </c>
      <c r="BX41" s="172">
        <f ca="1">IF(OR($D41&lt;&gt;"Serviço",AND(AUTOEVENTO="Manual",$M41=$A$15),$M41&gt;(ROW(PLE.lastrow)-ROW(PLE.firstrow))),0,
           IF(OFFSET(PLE!$G$15,$M41-$A$15,BX$13)="",10^12,OFFSET(PLE!$G$15,$M41-$A$15,BX$13)))</f>
        <v>0</v>
      </c>
      <c r="BY41" s="172">
        <f ca="1">IF(OR($D41&lt;&gt;"Serviço",AND(AUTOEVENTO="Manual",$M41=$A$15),$M41&gt;(ROW(PLE.lastrow)-ROW(PLE.firstrow))),0,
           IF(OFFSET(PLE!$G$15,$M41-$A$15,BY$13)="",10^12,OFFSET(PLE!$G$15,$M41-$A$15,BY$13)))</f>
        <v>0</v>
      </c>
      <c r="BZ41" s="172">
        <f ca="1">IF(OR($D41&lt;&gt;"Serviço",AND(AUTOEVENTO="Manual",$M41=$A$15),$M41&gt;(ROW(PLE.lastrow)-ROW(PLE.firstrow))),0,
           IF(OFFSET(PLE!$G$15,$M41-$A$15,BZ$13)="",10^12,OFFSET(PLE!$G$15,$M41-$A$15,BZ$13)))</f>
        <v>0</v>
      </c>
      <c r="CA41" s="172">
        <f ca="1">IF(OR($D41&lt;&gt;"Serviço",AND(AUTOEVENTO="Manual",$M41=$A$15),$M41&gt;(ROW(PLE.lastrow)-ROW(PLE.firstrow))),0,
           IF(OFFSET(PLE!$G$15,$M41-$A$15,CA$13)="",10^12,OFFSET(PLE!$G$15,$M41-$A$15,CA$13)))</f>
        <v>0</v>
      </c>
      <c r="CB41" s="172">
        <f ca="1">IF(OR($D41&lt;&gt;"Serviço",AND(AUTOEVENTO="Manual",$M41=$A$15),$M41&gt;(ROW(PLE.lastrow)-ROW(PLE.firstrow))),0,
           IF(OFFSET(PLE!$G$15,$M41-$A$15,CB$13)="",10^12,OFFSET(PLE!$G$15,$M41-$A$15,CB$13)))</f>
        <v>0</v>
      </c>
      <c r="CC41" s="172">
        <f ca="1">IF(OR($D41&lt;&gt;"Serviço",AND(AUTOEVENTO="Manual",$M41=$A$15),$M41&gt;(ROW(PLE.lastrow)-ROW(PLE.firstrow))),0,
           IF(OFFSET(PLE!$G$15,$M41-$A$15,CC$13)="",10^12,OFFSET(PLE!$G$15,$M41-$A$15,CC$13)))</f>
        <v>0</v>
      </c>
      <c r="CD41" s="172">
        <f ca="1">IF(OR($D41&lt;&gt;"Serviço",AND(AUTOEVENTO="Manual",$M41=$A$15),$M41&gt;(ROW(PLE.lastrow)-ROW(PLE.firstrow))),0,
           IF(OFFSET(PLE!$G$15,$M41-$A$15,CD$13)="",10^12,OFFSET(PLE!$G$15,$M41-$A$15,CD$13)))</f>
        <v>0</v>
      </c>
      <c r="CE41" s="172">
        <f ca="1">IF(OR($D41&lt;&gt;"Serviço",AND(AUTOEVENTO="Manual",$M41=$A$15),$M41&gt;(ROW(PLE.lastrow)-ROW(PLE.firstrow))),0,
           IF(OFFSET(PLE!$G$15,$M41-$A$15,CE$13)="",10^12,OFFSET(PLE!$G$15,$M41-$A$15,CE$13)))</f>
        <v>0</v>
      </c>
      <c r="CF41" s="172">
        <f ca="1">IF(OR($D41&lt;&gt;"Serviço",AND(AUTOEVENTO="Manual",$M41=$A$15),$M41&gt;(ROW(PLE.lastrow)-ROW(PLE.firstrow))),0,
           IF(OFFSET(PLE!$G$15,$M41-$A$15,CF$13)="",10^12,OFFSET(PLE!$G$15,$M41-$A$15,CF$13)))</f>
        <v>0</v>
      </c>
      <c r="CG41" s="172">
        <f ca="1">IF(OR($D41&lt;&gt;"Serviço",AND(AUTOEVENTO="Manual",$M41=$A$15),$M41&gt;(ROW(PLE.lastrow)-ROW(PLE.firstrow))),0,
           IF(OFFSET(PLE!$G$15,$M41-$A$15,CG$13)="",10^12,OFFSET(PLE!$G$15,$M41-$A$15,CG$13)))</f>
        <v>0</v>
      </c>
      <c r="CH41" s="172">
        <f ca="1">IF(OR($D41&lt;&gt;"Serviço",AND(AUTOEVENTO="Manual",$M41=$A$15),$M41&gt;(ROW(PLE.lastrow)-ROW(PLE.firstrow))),0,
           IF(OFFSET(PLE!$G$15,$M41-$A$15,CH$13)="",10^12,OFFSET(PLE!$G$15,$M41-$A$15,CH$13)))</f>
        <v>0</v>
      </c>
      <c r="CI41" s="172">
        <f ca="1">IF(OR($D41&lt;&gt;"Serviço",AND(AUTOEVENTO="Manual",$M41=$A$15),$M41&gt;(ROW(PLE.lastrow)-ROW(PLE.firstrow))),0,
           IF(OFFSET(PLE!$G$15,$M41-$A$15,CI$13)="",10^12,OFFSET(PLE!$G$15,$M41-$A$15,CI$13)))</f>
        <v>0</v>
      </c>
      <c r="CJ41" s="172">
        <f ca="1">IF(OR($D41&lt;&gt;"Serviço",AND(AUTOEVENTO="Manual",$M41=$A$15),$M41&gt;(ROW(PLE.lastrow)-ROW(PLE.firstrow))),0,
           IF(OFFSET(PLE!$G$15,$M41-$A$15,CJ$13)="",10^12,OFFSET(PLE!$G$15,$M41-$A$15,CJ$13)))</f>
        <v>0</v>
      </c>
      <c r="CK41" s="172">
        <f ca="1">IF(OR($D41&lt;&gt;"Serviço",AND(AUTOEVENTO="Manual",$M41=$A$15),$M41&gt;(ROW(PLE.lastrow)-ROW(PLE.firstrow))),0,
           IF(OFFSET(PLE!$G$15,$M41-$A$15,CK$13)="",10^12,OFFSET(PLE!$G$15,$M41-$A$15,CK$13)))</f>
        <v>0</v>
      </c>
      <c r="CL41" s="172">
        <f ca="1">IF(OR($D41&lt;&gt;"Serviço",AND(AUTOEVENTO="Manual",$M41=$A$15),$M41&gt;(ROW(PLE.lastrow)-ROW(PLE.firstrow))),0,
           IF(OFFSET(PLE!$G$15,$M41-$A$15,CL$13)="",10^12,OFFSET(PLE!$G$15,$M41-$A$15,CL$13)))</f>
        <v>0</v>
      </c>
      <c r="CM41" s="172">
        <f ca="1">IF(OR($D41&lt;&gt;"Serviço",AND(AUTOEVENTO="Manual",$M41=$A$15),$M41&gt;(ROW(PLE.lastrow)-ROW(PLE.firstrow))),0,
           IF(OFFSET(PLE!$G$15,$M41-$A$15,CM$13)="",10^12,OFFSET(PLE!$G$15,$M41-$A$15,CM$13)))</f>
        <v>0</v>
      </c>
    </row>
    <row r="42" spans="1:91" ht="13.2" x14ac:dyDescent="0.25">
      <c r="A42" s="7" t="str">
        <f t="shared" ca="1" si="11"/>
        <v>26</v>
      </c>
      <c r="B42" s="7" t="str">
        <f ca="1">OFFSET(ORÇAMENTO!C$15,ROW(B42)-ROW(B$15),0)</f>
        <v>S</v>
      </c>
      <c r="C42" s="7" t="str">
        <f ca="1">OFFSET(ORÇAMENTO!L$15,ROW(C42)-ROW(C$15),0)</f>
        <v>F</v>
      </c>
      <c r="D42" s="116" t="str">
        <f ca="1">OFFSET(ORÇAMENTO!N$15,ROW(D42)-ROW(D$15),0)</f>
        <v>Serviço</v>
      </c>
      <c r="E42" s="117" t="str">
        <f ca="1">OFFSET(ORÇAMENTO!O$15,ROW(E42)-ROW(E$15),0)</f>
        <v>1.5.1.</v>
      </c>
      <c r="F42" s="163" t="str">
        <f ca="1">OFFSET(ORÇAMENTO!R$15,ROW(F42)-ROW(F$15),0)</f>
        <v>Pintura de ligação</v>
      </c>
      <c r="G42" s="164" t="str">
        <f ca="1">IF($D42&lt;&gt;"Serviço","",OFFSET(ORÇAMENTO!S$15,ROW(G42)-ROW(G$15),0))</f>
        <v>m²</v>
      </c>
      <c r="H42" s="122" cm="1">
        <f t="array" aca="1" ref="H42" ca="1">IF($D42&lt;&gt;"Serviço",0,IF(ACOMPANHAMENTO="BM",ROUND(OFFSET(ORÇAMENTO!AJ$15,ROW(H42)-ROW(H$15),0),15-13*ORÇAMENTO!$AF$7),SUMPRODUCT(($Q$1:$AI$1=1)*ROUND($Q42:$AI42,15-13*ORÇAMENTO!$AF$7))))</f>
        <v>104</v>
      </c>
      <c r="I42" s="468"/>
      <c r="J42" s="651" t="e" cm="1">
        <f t="array" aca="1" ref="J42" ca="1">IF(OR(B42&lt;&gt;"S",CÁLCULO.FrentesPreenchidas=0),"",IF(AND(ACOMPANHAMENTO="PLE",AUTOEVENTO="Manual",OR(H42&gt;0,ORÇAMENTO!AC42="QUANT."),OR(K42="",M42=0,N42="")),"►E",IF(AND(ACOMPANHAMENTO="PLE",ORÇAMENTO!AC42="QUANT."),"►Q",IF(AND(ACOMPANHAMENTO="PLE",H42&lt;&gt;SUMPRODUCT(($Q$1:$AI$1=1)*ROUND(Q42:AI42,15))),"►S",IF(AND(COUNTIF($P$11:$AI$11,"▼")=0,H42&gt;0,I42=""),"◄M","")))))</f>
        <v>#NAME?</v>
      </c>
      <c r="K42" s="652"/>
      <c r="L42" s="165" t="s">
        <v>764</v>
      </c>
      <c r="M42" s="166">
        <f ca="1">IF($D42&lt;&gt;"Serviço","",
          IF(AUTOEVENTO="manual",$A42,
                IF(ISERROR(MATCH($A42,$A$15:OFFSET($A42,-1,0),0)),MAX($M$15:OFFSET(M42,-1,0))+1,
                      INDEX($M$15:OFFSET(M42,-1,0),MATCH($A42,$A$15:OFFSET($A42,-1,0),0)))))</f>
        <v>5</v>
      </c>
      <c r="N42" s="167" t="str">
        <f ca="1">IF($D42&lt;&gt;"Serviço","",
         IF(AUTOEVENTO="Manual",
                IF($A42=0,"&lt;-- defina o número do agrupador",
                       OFFSET(EVENTOS!$D$15,$A42-$A$15,0)),
                OFFSET($F$15,$A42,0)))</f>
        <v xml:space="preserve">FAIXAS ELEVADAS </v>
      </c>
      <c r="O42" s="168"/>
      <c r="Q42" s="168"/>
      <c r="R42" s="169"/>
      <c r="S42" s="169">
        <v>104</v>
      </c>
      <c r="T42" s="169"/>
      <c r="U42" s="169"/>
      <c r="V42" s="169"/>
      <c r="W42" s="169"/>
      <c r="X42" s="169"/>
      <c r="Y42" s="169"/>
      <c r="Z42" s="170"/>
      <c r="AA42" s="169"/>
      <c r="AB42" s="169"/>
      <c r="AC42" s="169"/>
      <c r="AD42" s="169"/>
      <c r="AE42" s="169"/>
      <c r="AF42" s="169"/>
      <c r="AG42" s="169"/>
      <c r="AH42" s="170"/>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L42" s="453">
        <f ca="1">IF(AND($D42="Serviço",AL$12&lt;&gt;0,$H42&gt;0,OR(AUTOEVENTO&lt;&gt;"manual",$M42&lt;&gt;$A$15)),
        IF(Import.TipoArredondamento&lt;&gt;"TransfereGOV",
              ROUND(OFFSET($P42,0,AL$13),15-13*ORÇAMENTO!$AF$7)/$H42*OFFSET(ORÇAMENTO!$X$15,ROW(AL42)-ROW(AL$15),0),
              ROUND(ROUND(OFFSET($P42,0,AL$13),15-13*ORÇAMENTO!$AF$7)*OFFSET(ORÇAMENTO!$W$15,ROW(AL42)-ROW(AL$15),0),15-13*ORÇAMENTO!$AF$11)),
         0)</f>
        <v>59.28</v>
      </c>
      <c r="AM42" s="453">
        <f ca="1">IF(AND($D42="Serviço",AM$12&lt;&gt;0,$H42&gt;0,OR(AUTOEVENTO&lt;&gt;"manual",$M42&lt;&gt;$A$15)),
        IF(Import.TipoArredondamento&lt;&gt;"TransfereGOV",
              ROUND(OFFSET($P42,0,AM$13),15-13*ORÇAMENTO!$AF$7)/$H42*OFFSET(ORÇAMENTO!$X$15,ROW(AM42)-ROW(AM$15),0),
              ROUND(ROUND(OFFSET($P42,0,AM$13),15-13*ORÇAMENTO!$AF$7)*OFFSET(ORÇAMENTO!$W$15,ROW(AM42)-ROW(AM$15),0),15-13*ORÇAMENTO!$AF$11)),
         0)</f>
        <v>0</v>
      </c>
      <c r="AN42" s="453">
        <f ca="1">IF(AND($D42="Serviço",AN$12&lt;&gt;0,$H42&gt;0,OR(AUTOEVENTO&lt;&gt;"manual",$M42&lt;&gt;$A$15)),
        IF(Import.TipoArredondamento&lt;&gt;"TransfereGOV",
              ROUND(OFFSET($P42,0,AN$13),15-13*ORÇAMENTO!$AF$7)/$H42*OFFSET(ORÇAMENTO!$X$15,ROW(AN42)-ROW(AN$15),0),
              ROUND(ROUND(OFFSET($P42,0,AN$13),15-13*ORÇAMENTO!$AF$7)*OFFSET(ORÇAMENTO!$W$15,ROW(AN42)-ROW(AN$15),0),15-13*ORÇAMENTO!$AF$11)),
         0)</f>
        <v>0</v>
      </c>
      <c r="AO42" s="453">
        <f ca="1">IF(AND($D42="Serviço",AO$12&lt;&gt;0,$H42&gt;0,OR(AUTOEVENTO&lt;&gt;"manual",$M42&lt;&gt;$A$15)),
        IF(Import.TipoArredondamento&lt;&gt;"TransfereGOV",
              ROUND(OFFSET($P42,0,AO$13),15-13*ORÇAMENTO!$AF$7)/$H42*OFFSET(ORÇAMENTO!$X$15,ROW(AO42)-ROW(AO$15),0),
              ROUND(ROUND(OFFSET($P42,0,AO$13),15-13*ORÇAMENTO!$AF$7)*OFFSET(ORÇAMENTO!$W$15,ROW(AO42)-ROW(AO$15),0),15-13*ORÇAMENTO!$AF$11)),
         0)</f>
        <v>0</v>
      </c>
      <c r="AP42" s="453">
        <f ca="1">IF(AND($D42="Serviço",AP$12&lt;&gt;0,$H42&gt;0,OR(AUTOEVENTO&lt;&gt;"manual",$M42&lt;&gt;$A$15)),
        IF(Import.TipoArredondamento&lt;&gt;"TransfereGOV",
              ROUND(OFFSET($P42,0,AP$13),15-13*ORÇAMENTO!$AF$7)/$H42*OFFSET(ORÇAMENTO!$X$15,ROW(AP42)-ROW(AP$15),0),
              ROUND(ROUND(OFFSET($P42,0,AP$13),15-13*ORÇAMENTO!$AF$7)*OFFSET(ORÇAMENTO!$W$15,ROW(AP42)-ROW(AP$15),0),15-13*ORÇAMENTO!$AF$11)),
         0)</f>
        <v>0</v>
      </c>
      <c r="AQ42" s="453">
        <f ca="1">IF(AND($D42="Serviço",AQ$12&lt;&gt;0,$H42&gt;0,OR(AUTOEVENTO&lt;&gt;"manual",$M42&lt;&gt;$A$15)),
        IF(Import.TipoArredondamento&lt;&gt;"TransfereGOV",
              ROUND(OFFSET($P42,0,AQ$13),15-13*ORÇAMENTO!$AF$7)/$H42*OFFSET(ORÇAMENTO!$X$15,ROW(AQ42)-ROW(AQ$15),0),
              ROUND(ROUND(OFFSET($P42,0,AQ$13),15-13*ORÇAMENTO!$AF$7)*OFFSET(ORÇAMENTO!$W$15,ROW(AQ42)-ROW(AQ$15),0),15-13*ORÇAMENTO!$AF$11)),
         0)</f>
        <v>0</v>
      </c>
      <c r="AR42" s="453">
        <f ca="1">IF(AND($D42="Serviço",AR$12&lt;&gt;0,$H42&gt;0,OR(AUTOEVENTO&lt;&gt;"manual",$M42&lt;&gt;$A$15)),
        IF(Import.TipoArredondamento&lt;&gt;"TransfereGOV",
              ROUND(OFFSET($P42,0,AR$13),15-13*ORÇAMENTO!$AF$7)/$H42*OFFSET(ORÇAMENTO!$X$15,ROW(AR42)-ROW(AR$15),0),
              ROUND(ROUND(OFFSET($P42,0,AR$13),15-13*ORÇAMENTO!$AF$7)*OFFSET(ORÇAMENTO!$W$15,ROW(AR42)-ROW(AR$15),0),15-13*ORÇAMENTO!$AF$11)),
         0)</f>
        <v>0</v>
      </c>
      <c r="AS42" s="453">
        <f ca="1">IF(AND($D42="Serviço",AS$12&lt;&gt;0,$H42&gt;0,OR(AUTOEVENTO&lt;&gt;"manual",$M42&lt;&gt;$A$15)),
        IF(Import.TipoArredondamento&lt;&gt;"TransfereGOV",
              ROUND(OFFSET($P42,0,AS$13),15-13*ORÇAMENTO!$AF$7)/$H42*OFFSET(ORÇAMENTO!$X$15,ROW(AS42)-ROW(AS$15),0),
              ROUND(ROUND(OFFSET($P42,0,AS$13),15-13*ORÇAMENTO!$AF$7)*OFFSET(ORÇAMENTO!$W$15,ROW(AS42)-ROW(AS$15),0),15-13*ORÇAMENTO!$AF$11)),
         0)</f>
        <v>0</v>
      </c>
      <c r="AT42" s="453">
        <f ca="1">IF(AND($D42="Serviço",AT$12&lt;&gt;0,$H42&gt;0,OR(AUTOEVENTO&lt;&gt;"manual",$M42&lt;&gt;$A$15)),
        IF(Import.TipoArredondamento&lt;&gt;"TransfereGOV",
              ROUND(OFFSET($P42,0,AT$13),15-13*ORÇAMENTO!$AF$7)/$H42*OFFSET(ORÇAMENTO!$X$15,ROW(AT42)-ROW(AT$15),0),
              ROUND(ROUND(OFFSET($P42,0,AT$13),15-13*ORÇAMENTO!$AF$7)*OFFSET(ORÇAMENTO!$W$15,ROW(AT42)-ROW(AT$15),0),15-13*ORÇAMENTO!$AF$11)),
         0)</f>
        <v>0</v>
      </c>
      <c r="AU42" s="453">
        <f ca="1">IF(AND($D42="Serviço",AU$12&lt;&gt;0,$H42&gt;0,OR(AUTOEVENTO&lt;&gt;"manual",$M42&lt;&gt;$A$15)),
        IF(Import.TipoArredondamento&lt;&gt;"TransfereGOV",
              ROUND(OFFSET($P42,0,AU$13),15-13*ORÇAMENTO!$AF$7)/$H42*OFFSET(ORÇAMENTO!$X$15,ROW(AU42)-ROW(AU$15),0),
              ROUND(ROUND(OFFSET($P42,0,AU$13),15-13*ORÇAMENTO!$AF$7)*OFFSET(ORÇAMENTO!$W$15,ROW(AU42)-ROW(AU$15),0),15-13*ORÇAMENTO!$AF$11)),
         0)</f>
        <v>0</v>
      </c>
      <c r="AV42" s="453">
        <f ca="1">IF(AND($D42="Serviço",AV$12&lt;&gt;0,$H42&gt;0,OR(AUTOEVENTO&lt;&gt;"manual",$M42&lt;&gt;$A$15)),
        IF(Import.TipoArredondamento&lt;&gt;"TransfereGOV",
              ROUND(OFFSET($P42,0,AV$13),15-13*ORÇAMENTO!$AF$7)/$H42*OFFSET(ORÇAMENTO!$X$15,ROW(AV42)-ROW(AV$15),0),
              ROUND(ROUND(OFFSET($P42,0,AV$13),15-13*ORÇAMENTO!$AF$7)*OFFSET(ORÇAMENTO!$W$15,ROW(AV42)-ROW(AV$15),0),15-13*ORÇAMENTO!$AF$11)),
         0)</f>
        <v>0</v>
      </c>
      <c r="AW42" s="453">
        <f ca="1">IF(AND($D42="Serviço",AW$12&lt;&gt;0,$H42&gt;0,OR(AUTOEVENTO&lt;&gt;"manual",$M42&lt;&gt;$A$15)),
        IF(Import.TipoArredondamento&lt;&gt;"TransfereGOV",
              ROUND(OFFSET($P42,0,AW$13),15-13*ORÇAMENTO!$AF$7)/$H42*OFFSET(ORÇAMENTO!$X$15,ROW(AW42)-ROW(AW$15),0),
              ROUND(ROUND(OFFSET($P42,0,AW$13),15-13*ORÇAMENTO!$AF$7)*OFFSET(ORÇAMENTO!$W$15,ROW(AW42)-ROW(AW$15),0),15-13*ORÇAMENTO!$AF$11)),
         0)</f>
        <v>0</v>
      </c>
      <c r="AX42" s="453">
        <f ca="1">IF(AND($D42="Serviço",AX$12&lt;&gt;0,$H42&gt;0,OR(AUTOEVENTO&lt;&gt;"manual",$M42&lt;&gt;$A$15)),
        IF(Import.TipoArredondamento&lt;&gt;"TransfereGOV",
              ROUND(OFFSET($P42,0,AX$13),15-13*ORÇAMENTO!$AF$7)/$H42*OFFSET(ORÇAMENTO!$X$15,ROW(AX42)-ROW(AX$15),0),
              ROUND(ROUND(OFFSET($P42,0,AX$13),15-13*ORÇAMENTO!$AF$7)*OFFSET(ORÇAMENTO!$W$15,ROW(AX42)-ROW(AX$15),0),15-13*ORÇAMENTO!$AF$11)),
         0)</f>
        <v>0</v>
      </c>
      <c r="AY42" s="453">
        <f ca="1">IF(AND($D42="Serviço",AY$12&lt;&gt;0,$H42&gt;0,OR(AUTOEVENTO&lt;&gt;"manual",$M42&lt;&gt;$A$15)),
        IF(Import.TipoArredondamento&lt;&gt;"TransfereGOV",
              ROUND(OFFSET($P42,0,AY$13),15-13*ORÇAMENTO!$AF$7)/$H42*OFFSET(ORÇAMENTO!$X$15,ROW(AY42)-ROW(AY$15),0),
              ROUND(ROUND(OFFSET($P42,0,AY$13),15-13*ORÇAMENTO!$AF$7)*OFFSET(ORÇAMENTO!$W$15,ROW(AY42)-ROW(AY$15),0),15-13*ORÇAMENTO!$AF$11)),
         0)</f>
        <v>0</v>
      </c>
      <c r="AZ42" s="453">
        <f ca="1">IF(AND($D42="Serviço",AZ$12&lt;&gt;0,$H42&gt;0,OR(AUTOEVENTO&lt;&gt;"manual",$M42&lt;&gt;$A$15)),
        IF(Import.TipoArredondamento&lt;&gt;"TransfereGOV",
              ROUND(OFFSET($P42,0,AZ$13),15-13*ORÇAMENTO!$AF$7)/$H42*OFFSET(ORÇAMENTO!$X$15,ROW(AZ42)-ROW(AZ$15),0),
              ROUND(ROUND(OFFSET($P42,0,AZ$13),15-13*ORÇAMENTO!$AF$7)*OFFSET(ORÇAMENTO!$W$15,ROW(AZ42)-ROW(AZ$15),0),15-13*ORÇAMENTO!$AF$11)),
         0)</f>
        <v>0</v>
      </c>
      <c r="BA42" s="453">
        <f ca="1">IF(AND($D42="Serviço",BA$12&lt;&gt;0,$H42&gt;0,OR(AUTOEVENTO&lt;&gt;"manual",$M42&lt;&gt;$A$15)),
        IF(Import.TipoArredondamento&lt;&gt;"TransfereGOV",
              ROUND(OFFSET($P42,0,BA$13),15-13*ORÇAMENTO!$AF$7)/$H42*OFFSET(ORÇAMENTO!$X$15,ROW(BA42)-ROW(BA$15),0),
              ROUND(ROUND(OFFSET($P42,0,BA$13),15-13*ORÇAMENTO!$AF$7)*OFFSET(ORÇAMENTO!$W$15,ROW(BA42)-ROW(BA$15),0),15-13*ORÇAMENTO!$AF$11)),
         0)</f>
        <v>0</v>
      </c>
      <c r="BC42" s="171">
        <f ca="1">IF(OR($D42&lt;&gt;"Serviço",AND(AUTOEVENTO="Manual",$M42=$A$15)),0,
         IF(OFFSET(CRONOPLE!$F$15,$M42-$A$15,BC$13)=0,10^12,OFFSET(CRONOPLE!$F$15,$M42-$A$15,BC$13)))</f>
        <v>1000000000000</v>
      </c>
      <c r="BD42" s="171">
        <f ca="1">IF(OR($D42&lt;&gt;"Serviço",AND(AUTOEVENTO="Manual",$M42=$A$15)),0,
         IF(OFFSET(CRONOPLE!$F$15,$M42-$A$15,BD$13)=0,10^12,OFFSET(CRONOPLE!$F$15,$M42-$A$15,BD$13)))</f>
        <v>1000000000000</v>
      </c>
      <c r="BE42" s="171">
        <f ca="1">IF(OR($D42&lt;&gt;"Serviço",AND(AUTOEVENTO="Manual",$M42=$A$15)),0,
         IF(OFFSET(CRONOPLE!$F$15,$M42-$A$15,BE$13)=0,10^12,OFFSET(CRONOPLE!$F$15,$M42-$A$15,BE$13)))</f>
        <v>2</v>
      </c>
      <c r="BF42" s="171">
        <f ca="1">IF(OR($D42&lt;&gt;"Serviço",AND(AUTOEVENTO="Manual",$M42=$A$15)),0,
         IF(OFFSET(CRONOPLE!$F$15,$M42-$A$15,BF$13)=0,10^12,OFFSET(CRONOPLE!$F$15,$M42-$A$15,BF$13)))</f>
        <v>1000000000000</v>
      </c>
      <c r="BG42" s="171">
        <f ca="1">IF(OR($D42&lt;&gt;"Serviço",AND(AUTOEVENTO="Manual",$M42=$A$15)),0,
         IF(OFFSET(CRONOPLE!$F$15,$M42-$A$15,BG$13)=0,10^12,OFFSET(CRONOPLE!$F$15,$M42-$A$15,BG$13)))</f>
        <v>1000000000000</v>
      </c>
      <c r="BH42" s="171">
        <f ca="1">IF(OR($D42&lt;&gt;"Serviço",AND(AUTOEVENTO="Manual",$M42=$A$15)),0,
         IF(OFFSET(CRONOPLE!$F$15,$M42-$A$15,BH$13)=0,10^12,OFFSET(CRONOPLE!$F$15,$M42-$A$15,BH$13)))</f>
        <v>1000000000000</v>
      </c>
      <c r="BI42" s="171">
        <f ca="1">IF(OR($D42&lt;&gt;"Serviço",AND(AUTOEVENTO="Manual",$M42=$A$15)),0,
         IF(OFFSET(CRONOPLE!$F$15,$M42-$A$15,BI$13)=0,10^12,OFFSET(CRONOPLE!$F$15,$M42-$A$15,BI$13)))</f>
        <v>1000000000000</v>
      </c>
      <c r="BJ42" s="171">
        <f ca="1">IF(OR($D42&lt;&gt;"Serviço",AND(AUTOEVENTO="Manual",$M42=$A$15)),0,
         IF(OFFSET(CRONOPLE!$F$15,$M42-$A$15,BJ$13)=0,10^12,OFFSET(CRONOPLE!$F$15,$M42-$A$15,BJ$13)))</f>
        <v>1000000000000</v>
      </c>
      <c r="BK42" s="171">
        <f ca="1">IF(OR($D42&lt;&gt;"Serviço",AND(AUTOEVENTO="Manual",$M42=$A$15)),0,
         IF(OFFSET(CRONOPLE!$F$15,$M42-$A$15,BK$13)=0,10^12,OFFSET(CRONOPLE!$F$15,$M42-$A$15,BK$13)))</f>
        <v>1000000000000</v>
      </c>
      <c r="BL42" s="171">
        <f ca="1">IF(OR($D42&lt;&gt;"Serviço",AND(AUTOEVENTO="Manual",$M42=$A$15)),0,
         IF(OFFSET(CRONOPLE!$F$15,$M42-$A$15,BL$13)=0,10^12,OFFSET(CRONOPLE!$F$15,$M42-$A$15,BL$13)))</f>
        <v>1000000000000</v>
      </c>
      <c r="BM42" s="171">
        <f ca="1">IF(OR($D42&lt;&gt;"Serviço",AND(AUTOEVENTO="Manual",$M42=$A$15)),0,
         IF(OFFSET(CRONOPLE!$F$15,$M42-$A$15,BM$13)=0,10^12,OFFSET(CRONOPLE!$F$15,$M42-$A$15,BM$13)))</f>
        <v>1000000000000</v>
      </c>
      <c r="BN42" s="171">
        <f ca="1">IF(OR($D42&lt;&gt;"Serviço",AND(AUTOEVENTO="Manual",$M42=$A$15)),0,
         IF(OFFSET(CRONOPLE!$F$15,$M42-$A$15,BN$13)=0,10^12,OFFSET(CRONOPLE!$F$15,$M42-$A$15,BN$13)))</f>
        <v>4</v>
      </c>
      <c r="BO42" s="171">
        <f ca="1">IF(OR($D42&lt;&gt;"Serviço",AND(AUTOEVENTO="Manual",$M42=$A$15)),0,
         IF(OFFSET(CRONOPLE!$F$15,$M42-$A$15,BO$13)=0,10^12,OFFSET(CRONOPLE!$F$15,$M42-$A$15,BO$13)))</f>
        <v>1000000000000</v>
      </c>
      <c r="BP42" s="171">
        <f ca="1">IF(OR($D42&lt;&gt;"Serviço",AND(AUTOEVENTO="Manual",$M42=$A$15)),0,
         IF(OFFSET(CRONOPLE!$F$15,$M42-$A$15,BP$13)=0,10^12,OFFSET(CRONOPLE!$F$15,$M42-$A$15,BP$13)))</f>
        <v>1000000000000</v>
      </c>
      <c r="BQ42" s="171">
        <f ca="1">IF(OR($D42&lt;&gt;"Serviço",AND(AUTOEVENTO="Manual",$M42=$A$15)),0,
         IF(OFFSET(CRONOPLE!$F$15,$M42-$A$15,BQ$13)=0,10^12,OFFSET(CRONOPLE!$F$15,$M42-$A$15,BQ$13)))</f>
        <v>1000000000000</v>
      </c>
      <c r="BR42" s="171">
        <f ca="1">IF(OR($D42&lt;&gt;"Serviço",AND(AUTOEVENTO="Manual",$M42=$A$15)),0,
         IF(OFFSET(CRONOPLE!$F$15,$M42-$A$15,BR$13)=0,10^12,OFFSET(CRONOPLE!$F$15,$M42-$A$15,BR$13)))</f>
        <v>1000000000000</v>
      </c>
      <c r="BS42" s="171">
        <f ca="1">IF(OR($D42&lt;&gt;"Serviço",AND(AUTOEVENTO="Manual",$M42=$A$15)),0,
         IF(OFFSET(CRONOPLE!$F$15,$M42-$A$15,BS$13)=0,10^12,OFFSET(CRONOPLE!$F$15,$M42-$A$15,BS$13)))</f>
        <v>1000000000000</v>
      </c>
      <c r="BT42" s="171">
        <f ca="1">IF(OR($D42&lt;&gt;"Serviço",AND(AUTOEVENTO="Manual",$M42=$A$15)),0,
         IF(OFFSET(CRONOPLE!$F$15,$M42-$A$15,BT$13)=0,10^12,OFFSET(CRONOPLE!$F$15,$M42-$A$15,BT$13)))</f>
        <v>1000000000000</v>
      </c>
      <c r="BV42" s="172">
        <f ca="1">IF(OR($D42&lt;&gt;"Serviço",AND(AUTOEVENTO="Manual",$M42=$A$15),$M42&gt;(ROW(PLE.lastrow)-ROW(PLE.firstrow))),0,
           IF(OFFSET(PLE!$G$15,$M42-$A$15,BV$13)="",10^12,OFFSET(PLE!$G$15,$M42-$A$15,BV$13)))</f>
        <v>1000000000000</v>
      </c>
      <c r="BW42" s="172">
        <f ca="1">IF(OR($D42&lt;&gt;"Serviço",AND(AUTOEVENTO="Manual",$M42=$A$15),$M42&gt;(ROW(PLE.lastrow)-ROW(PLE.firstrow))),0,
           IF(OFFSET(PLE!$G$15,$M42-$A$15,BW$13)="",10^12,OFFSET(PLE!$G$15,$M42-$A$15,BW$13)))</f>
        <v>1000000000000</v>
      </c>
      <c r="BX42" s="172">
        <f ca="1">IF(OR($D42&lt;&gt;"Serviço",AND(AUTOEVENTO="Manual",$M42=$A$15),$M42&gt;(ROW(PLE.lastrow)-ROW(PLE.firstrow))),0,
           IF(OFFSET(PLE!$G$15,$M42-$A$15,BX$13)="",10^12,OFFSET(PLE!$G$15,$M42-$A$15,BX$13)))</f>
        <v>1000000000000</v>
      </c>
      <c r="BY42" s="172">
        <f ca="1">IF(OR($D42&lt;&gt;"Serviço",AND(AUTOEVENTO="Manual",$M42=$A$15),$M42&gt;(ROW(PLE.lastrow)-ROW(PLE.firstrow))),0,
           IF(OFFSET(PLE!$G$15,$M42-$A$15,BY$13)="",10^12,OFFSET(PLE!$G$15,$M42-$A$15,BY$13)))</f>
        <v>1000000000000</v>
      </c>
      <c r="BZ42" s="172">
        <f ca="1">IF(OR($D42&lt;&gt;"Serviço",AND(AUTOEVENTO="Manual",$M42=$A$15),$M42&gt;(ROW(PLE.lastrow)-ROW(PLE.firstrow))),0,
           IF(OFFSET(PLE!$G$15,$M42-$A$15,BZ$13)="",10^12,OFFSET(PLE!$G$15,$M42-$A$15,BZ$13)))</f>
        <v>1000000000000</v>
      </c>
      <c r="CA42" s="172">
        <f ca="1">IF(OR($D42&lt;&gt;"Serviço",AND(AUTOEVENTO="Manual",$M42=$A$15),$M42&gt;(ROW(PLE.lastrow)-ROW(PLE.firstrow))),0,
           IF(OFFSET(PLE!$G$15,$M42-$A$15,CA$13)="",10^12,OFFSET(PLE!$G$15,$M42-$A$15,CA$13)))</f>
        <v>1000000000000</v>
      </c>
      <c r="CB42" s="172">
        <f ca="1">IF(OR($D42&lt;&gt;"Serviço",AND(AUTOEVENTO="Manual",$M42=$A$15),$M42&gt;(ROW(PLE.lastrow)-ROW(PLE.firstrow))),0,
           IF(OFFSET(PLE!$G$15,$M42-$A$15,CB$13)="",10^12,OFFSET(PLE!$G$15,$M42-$A$15,CB$13)))</f>
        <v>1000000000000</v>
      </c>
      <c r="CC42" s="172">
        <f ca="1">IF(OR($D42&lt;&gt;"Serviço",AND(AUTOEVENTO="Manual",$M42=$A$15),$M42&gt;(ROW(PLE.lastrow)-ROW(PLE.firstrow))),0,
           IF(OFFSET(PLE!$G$15,$M42-$A$15,CC$13)="",10^12,OFFSET(PLE!$G$15,$M42-$A$15,CC$13)))</f>
        <v>1000000000000</v>
      </c>
      <c r="CD42" s="172">
        <f ca="1">IF(OR($D42&lt;&gt;"Serviço",AND(AUTOEVENTO="Manual",$M42=$A$15),$M42&gt;(ROW(PLE.lastrow)-ROW(PLE.firstrow))),0,
           IF(OFFSET(PLE!$G$15,$M42-$A$15,CD$13)="",10^12,OFFSET(PLE!$G$15,$M42-$A$15,CD$13)))</f>
        <v>1000000000000</v>
      </c>
      <c r="CE42" s="172">
        <f ca="1">IF(OR($D42&lt;&gt;"Serviço",AND(AUTOEVENTO="Manual",$M42=$A$15),$M42&gt;(ROW(PLE.lastrow)-ROW(PLE.firstrow))),0,
           IF(OFFSET(PLE!$G$15,$M42-$A$15,CE$13)="",10^12,OFFSET(PLE!$G$15,$M42-$A$15,CE$13)))</f>
        <v>1000000000000</v>
      </c>
      <c r="CF42" s="172">
        <f ca="1">IF(OR($D42&lt;&gt;"Serviço",AND(AUTOEVENTO="Manual",$M42=$A$15),$M42&gt;(ROW(PLE.lastrow)-ROW(PLE.firstrow))),0,
           IF(OFFSET(PLE!$G$15,$M42-$A$15,CF$13)="",10^12,OFFSET(PLE!$G$15,$M42-$A$15,CF$13)))</f>
        <v>1000000000000</v>
      </c>
      <c r="CG42" s="172">
        <f ca="1">IF(OR($D42&lt;&gt;"Serviço",AND(AUTOEVENTO="Manual",$M42=$A$15),$M42&gt;(ROW(PLE.lastrow)-ROW(PLE.firstrow))),0,
           IF(OFFSET(PLE!$G$15,$M42-$A$15,CG$13)="",10^12,OFFSET(PLE!$G$15,$M42-$A$15,CG$13)))</f>
        <v>1000000000000</v>
      </c>
      <c r="CH42" s="172">
        <f ca="1">IF(OR($D42&lt;&gt;"Serviço",AND(AUTOEVENTO="Manual",$M42=$A$15),$M42&gt;(ROW(PLE.lastrow)-ROW(PLE.firstrow))),0,
           IF(OFFSET(PLE!$G$15,$M42-$A$15,CH$13)="",10^12,OFFSET(PLE!$G$15,$M42-$A$15,CH$13)))</f>
        <v>1000000000000</v>
      </c>
      <c r="CI42" s="172">
        <f ca="1">IF(OR($D42&lt;&gt;"Serviço",AND(AUTOEVENTO="Manual",$M42=$A$15),$M42&gt;(ROW(PLE.lastrow)-ROW(PLE.firstrow))),0,
           IF(OFFSET(PLE!$G$15,$M42-$A$15,CI$13)="",10^12,OFFSET(PLE!$G$15,$M42-$A$15,CI$13)))</f>
        <v>1000000000000</v>
      </c>
      <c r="CJ42" s="172">
        <f ca="1">IF(OR($D42&lt;&gt;"Serviço",AND(AUTOEVENTO="Manual",$M42=$A$15),$M42&gt;(ROW(PLE.lastrow)-ROW(PLE.firstrow))),0,
           IF(OFFSET(PLE!$G$15,$M42-$A$15,CJ$13)="",10^12,OFFSET(PLE!$G$15,$M42-$A$15,CJ$13)))</f>
        <v>1000000000000</v>
      </c>
      <c r="CK42" s="172">
        <f ca="1">IF(OR($D42&lt;&gt;"Serviço",AND(AUTOEVENTO="Manual",$M42=$A$15),$M42&gt;(ROW(PLE.lastrow)-ROW(PLE.firstrow))),0,
           IF(OFFSET(PLE!$G$15,$M42-$A$15,CK$13)="",10^12,OFFSET(PLE!$G$15,$M42-$A$15,CK$13)))</f>
        <v>1000000000000</v>
      </c>
      <c r="CL42" s="172">
        <f ca="1">IF(OR($D42&lt;&gt;"Serviço",AND(AUTOEVENTO="Manual",$M42=$A$15),$M42&gt;(ROW(PLE.lastrow)-ROW(PLE.firstrow))),0,
           IF(OFFSET(PLE!$G$15,$M42-$A$15,CL$13)="",10^12,OFFSET(PLE!$G$15,$M42-$A$15,CL$13)))</f>
        <v>1000000000000</v>
      </c>
      <c r="CM42" s="172">
        <f ca="1">IF(OR($D42&lt;&gt;"Serviço",AND(AUTOEVENTO="Manual",$M42=$A$15),$M42&gt;(ROW(PLE.lastrow)-ROW(PLE.firstrow))),0,
           IF(OFFSET(PLE!$G$15,$M42-$A$15,CM$13)="",10^12,OFFSET(PLE!$G$15,$M42-$A$15,CM$13)))</f>
        <v>1000000000000</v>
      </c>
    </row>
    <row r="43" spans="1:91" ht="26.4" x14ac:dyDescent="0.25">
      <c r="A43" s="7" t="str">
        <f t="shared" ca="1" si="11"/>
        <v>26</v>
      </c>
      <c r="B43" s="7" t="str">
        <f ca="1">OFFSET(ORÇAMENTO!C$15,ROW(B43)-ROW(B$15),0)</f>
        <v>S</v>
      </c>
      <c r="C43" s="7" t="str">
        <f ca="1">OFFSET(ORÇAMENTO!L$15,ROW(C43)-ROW(C$15),0)</f>
        <v>F</v>
      </c>
      <c r="D43" s="116" t="str">
        <f ca="1">OFFSET(ORÇAMENTO!N$15,ROW(D43)-ROW(D$15),0)</f>
        <v>Serviço</v>
      </c>
      <c r="E43" s="117" t="str">
        <f ca="1">OFFSET(ORÇAMENTO!O$15,ROW(E43)-ROW(E$15),0)</f>
        <v>1.5.2.</v>
      </c>
      <c r="F43" s="163" t="str">
        <f ca="1">OFFSET(ORÇAMENTO!R$15,ROW(F43)-ROW(F$15),0)</f>
        <v>EMULSÃO ASFÁLTICA RR-1C COLETADO NA ANP, ACRESCIDO DE IMPOSTOS (ICMS, PIS, COFINS)</v>
      </c>
      <c r="G43" s="164" t="str">
        <f ca="1">IF($D43&lt;&gt;"Serviço","",OFFSET(ORÇAMENTO!S$15,ROW(G43)-ROW(G$15),0))</f>
        <v>KG</v>
      </c>
      <c r="H43" s="122" cm="1">
        <f t="array" aca="1" ref="H43" ca="1">IF($D43&lt;&gt;"Serviço",0,IF(ACOMPANHAMENTO="BM",ROUND(OFFSET(ORÇAMENTO!AJ$15,ROW(H43)-ROW(H$15),0),15-13*ORÇAMENTO!$AF$7),SUMPRODUCT(($Q$1:$AI$1=1)*ROUND($Q43:$AI43,15-13*ORÇAMENTO!$AF$7))))</f>
        <v>46.8</v>
      </c>
      <c r="I43" s="468"/>
      <c r="J43" s="651" t="e" cm="1">
        <f t="array" aca="1" ref="J43" ca="1">IF(OR(B43&lt;&gt;"S",CÁLCULO.FrentesPreenchidas=0),"",IF(AND(ACOMPANHAMENTO="PLE",AUTOEVENTO="Manual",OR(H43&gt;0,ORÇAMENTO!AC43="QUANT."),OR(K43="",M43=0,N43="")),"►E",IF(AND(ACOMPANHAMENTO="PLE",ORÇAMENTO!AC43="QUANT."),"►Q",IF(AND(ACOMPANHAMENTO="PLE",H43&lt;&gt;SUMPRODUCT(($Q$1:$AI$1=1)*ROUND(Q43:AI43,15))),"►S",IF(AND(COUNTIF($P$11:$AI$11,"▼")=0,H43&gt;0,I43=""),"◄M","")))))</f>
        <v>#NAME?</v>
      </c>
      <c r="K43" s="652"/>
      <c r="L43" s="165" t="s">
        <v>764</v>
      </c>
      <c r="M43" s="166">
        <f ca="1">IF($D43&lt;&gt;"Serviço","",
          IF(AUTOEVENTO="manual",$A43,
                IF(ISERROR(MATCH($A43,$A$15:OFFSET($A43,-1,0),0)),MAX($M$15:OFFSET(M43,-1,0))+1,
                      INDEX($M$15:OFFSET(M43,-1,0),MATCH($A43,$A$15:OFFSET($A43,-1,0),0)))))</f>
        <v>5</v>
      </c>
      <c r="N43" s="167" t="str">
        <f ca="1">IF($D43&lt;&gt;"Serviço","",
         IF(AUTOEVENTO="Manual",
                IF($A43=0,"&lt;-- defina o número do agrupador",
                       OFFSET(EVENTOS!$D$15,$A43-$A$15,0)),
                OFFSET($F$15,$A43,0)))</f>
        <v xml:space="preserve">FAIXAS ELEVADAS </v>
      </c>
      <c r="O43" s="168"/>
      <c r="Q43" s="168"/>
      <c r="R43" s="169"/>
      <c r="S43" s="169">
        <f>ROUND(S42*0.45,2)</f>
        <v>46.8</v>
      </c>
      <c r="T43" s="169"/>
      <c r="U43" s="169"/>
      <c r="V43" s="169"/>
      <c r="W43" s="169"/>
      <c r="X43" s="169"/>
      <c r="Y43" s="169"/>
      <c r="Z43" s="170"/>
      <c r="AA43" s="169"/>
      <c r="AB43" s="169"/>
      <c r="AC43" s="169"/>
      <c r="AD43" s="169"/>
      <c r="AE43" s="169"/>
      <c r="AF43" s="169"/>
      <c r="AG43" s="169"/>
      <c r="AH43" s="170"/>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L43" s="453">
        <f ca="1">IF(AND($D43="Serviço",AL$12&lt;&gt;0,$H43&gt;0,OR(AUTOEVENTO&lt;&gt;"manual",$M43&lt;&gt;$A$15)),
        IF(Import.TipoArredondamento&lt;&gt;"TransfereGOV",
              ROUND(OFFSET($P43,0,AL$13),15-13*ORÇAMENTO!$AF$7)/$H43*OFFSET(ORÇAMENTO!$X$15,ROW(AL43)-ROW(AL$15),0),
              ROUND(ROUND(OFFSET($P43,0,AL$13),15-13*ORÇAMENTO!$AF$7)*OFFSET(ORÇAMENTO!$W$15,ROW(AL43)-ROW(AL$15),0),15-13*ORÇAMENTO!$AF$11)),
         0)</f>
        <v>197.03</v>
      </c>
      <c r="AM43" s="453">
        <f ca="1">IF(AND($D43="Serviço",AM$12&lt;&gt;0,$H43&gt;0,OR(AUTOEVENTO&lt;&gt;"manual",$M43&lt;&gt;$A$15)),
        IF(Import.TipoArredondamento&lt;&gt;"TransfereGOV",
              ROUND(OFFSET($P43,0,AM$13),15-13*ORÇAMENTO!$AF$7)/$H43*OFFSET(ORÇAMENTO!$X$15,ROW(AM43)-ROW(AM$15),0),
              ROUND(ROUND(OFFSET($P43,0,AM$13),15-13*ORÇAMENTO!$AF$7)*OFFSET(ORÇAMENTO!$W$15,ROW(AM43)-ROW(AM$15),0),15-13*ORÇAMENTO!$AF$11)),
         0)</f>
        <v>0</v>
      </c>
      <c r="AN43" s="453">
        <f ca="1">IF(AND($D43="Serviço",AN$12&lt;&gt;0,$H43&gt;0,OR(AUTOEVENTO&lt;&gt;"manual",$M43&lt;&gt;$A$15)),
        IF(Import.TipoArredondamento&lt;&gt;"TransfereGOV",
              ROUND(OFFSET($P43,0,AN$13),15-13*ORÇAMENTO!$AF$7)/$H43*OFFSET(ORÇAMENTO!$X$15,ROW(AN43)-ROW(AN$15),0),
              ROUND(ROUND(OFFSET($P43,0,AN$13),15-13*ORÇAMENTO!$AF$7)*OFFSET(ORÇAMENTO!$W$15,ROW(AN43)-ROW(AN$15),0),15-13*ORÇAMENTO!$AF$11)),
         0)</f>
        <v>0</v>
      </c>
      <c r="AO43" s="453">
        <f ca="1">IF(AND($D43="Serviço",AO$12&lt;&gt;0,$H43&gt;0,OR(AUTOEVENTO&lt;&gt;"manual",$M43&lt;&gt;$A$15)),
        IF(Import.TipoArredondamento&lt;&gt;"TransfereGOV",
              ROUND(OFFSET($P43,0,AO$13),15-13*ORÇAMENTO!$AF$7)/$H43*OFFSET(ORÇAMENTO!$X$15,ROW(AO43)-ROW(AO$15),0),
              ROUND(ROUND(OFFSET($P43,0,AO$13),15-13*ORÇAMENTO!$AF$7)*OFFSET(ORÇAMENTO!$W$15,ROW(AO43)-ROW(AO$15),0),15-13*ORÇAMENTO!$AF$11)),
         0)</f>
        <v>0</v>
      </c>
      <c r="AP43" s="453">
        <f ca="1">IF(AND($D43="Serviço",AP$12&lt;&gt;0,$H43&gt;0,OR(AUTOEVENTO&lt;&gt;"manual",$M43&lt;&gt;$A$15)),
        IF(Import.TipoArredondamento&lt;&gt;"TransfereGOV",
              ROUND(OFFSET($P43,0,AP$13),15-13*ORÇAMENTO!$AF$7)/$H43*OFFSET(ORÇAMENTO!$X$15,ROW(AP43)-ROW(AP$15),0),
              ROUND(ROUND(OFFSET($P43,0,AP$13),15-13*ORÇAMENTO!$AF$7)*OFFSET(ORÇAMENTO!$W$15,ROW(AP43)-ROW(AP$15),0),15-13*ORÇAMENTO!$AF$11)),
         0)</f>
        <v>0</v>
      </c>
      <c r="AQ43" s="453">
        <f ca="1">IF(AND($D43="Serviço",AQ$12&lt;&gt;0,$H43&gt;0,OR(AUTOEVENTO&lt;&gt;"manual",$M43&lt;&gt;$A$15)),
        IF(Import.TipoArredondamento&lt;&gt;"TransfereGOV",
              ROUND(OFFSET($P43,0,AQ$13),15-13*ORÇAMENTO!$AF$7)/$H43*OFFSET(ORÇAMENTO!$X$15,ROW(AQ43)-ROW(AQ$15),0),
              ROUND(ROUND(OFFSET($P43,0,AQ$13),15-13*ORÇAMENTO!$AF$7)*OFFSET(ORÇAMENTO!$W$15,ROW(AQ43)-ROW(AQ$15),0),15-13*ORÇAMENTO!$AF$11)),
         0)</f>
        <v>0</v>
      </c>
      <c r="AR43" s="453">
        <f ca="1">IF(AND($D43="Serviço",AR$12&lt;&gt;0,$H43&gt;0,OR(AUTOEVENTO&lt;&gt;"manual",$M43&lt;&gt;$A$15)),
        IF(Import.TipoArredondamento&lt;&gt;"TransfereGOV",
              ROUND(OFFSET($P43,0,AR$13),15-13*ORÇAMENTO!$AF$7)/$H43*OFFSET(ORÇAMENTO!$X$15,ROW(AR43)-ROW(AR$15),0),
              ROUND(ROUND(OFFSET($P43,0,AR$13),15-13*ORÇAMENTO!$AF$7)*OFFSET(ORÇAMENTO!$W$15,ROW(AR43)-ROW(AR$15),0),15-13*ORÇAMENTO!$AF$11)),
         0)</f>
        <v>0</v>
      </c>
      <c r="AS43" s="453">
        <f ca="1">IF(AND($D43="Serviço",AS$12&lt;&gt;0,$H43&gt;0,OR(AUTOEVENTO&lt;&gt;"manual",$M43&lt;&gt;$A$15)),
        IF(Import.TipoArredondamento&lt;&gt;"TransfereGOV",
              ROUND(OFFSET($P43,0,AS$13),15-13*ORÇAMENTO!$AF$7)/$H43*OFFSET(ORÇAMENTO!$X$15,ROW(AS43)-ROW(AS$15),0),
              ROUND(ROUND(OFFSET($P43,0,AS$13),15-13*ORÇAMENTO!$AF$7)*OFFSET(ORÇAMENTO!$W$15,ROW(AS43)-ROW(AS$15),0),15-13*ORÇAMENTO!$AF$11)),
         0)</f>
        <v>0</v>
      </c>
      <c r="AT43" s="453">
        <f ca="1">IF(AND($D43="Serviço",AT$12&lt;&gt;0,$H43&gt;0,OR(AUTOEVENTO&lt;&gt;"manual",$M43&lt;&gt;$A$15)),
        IF(Import.TipoArredondamento&lt;&gt;"TransfereGOV",
              ROUND(OFFSET($P43,0,AT$13),15-13*ORÇAMENTO!$AF$7)/$H43*OFFSET(ORÇAMENTO!$X$15,ROW(AT43)-ROW(AT$15),0),
              ROUND(ROUND(OFFSET($P43,0,AT$13),15-13*ORÇAMENTO!$AF$7)*OFFSET(ORÇAMENTO!$W$15,ROW(AT43)-ROW(AT$15),0),15-13*ORÇAMENTO!$AF$11)),
         0)</f>
        <v>0</v>
      </c>
      <c r="AU43" s="453">
        <f ca="1">IF(AND($D43="Serviço",AU$12&lt;&gt;0,$H43&gt;0,OR(AUTOEVENTO&lt;&gt;"manual",$M43&lt;&gt;$A$15)),
        IF(Import.TipoArredondamento&lt;&gt;"TransfereGOV",
              ROUND(OFFSET($P43,0,AU$13),15-13*ORÇAMENTO!$AF$7)/$H43*OFFSET(ORÇAMENTO!$X$15,ROW(AU43)-ROW(AU$15),0),
              ROUND(ROUND(OFFSET($P43,0,AU$13),15-13*ORÇAMENTO!$AF$7)*OFFSET(ORÇAMENTO!$W$15,ROW(AU43)-ROW(AU$15),0),15-13*ORÇAMENTO!$AF$11)),
         0)</f>
        <v>0</v>
      </c>
      <c r="AV43" s="453">
        <f ca="1">IF(AND($D43="Serviço",AV$12&lt;&gt;0,$H43&gt;0,OR(AUTOEVENTO&lt;&gt;"manual",$M43&lt;&gt;$A$15)),
        IF(Import.TipoArredondamento&lt;&gt;"TransfereGOV",
              ROUND(OFFSET($P43,0,AV$13),15-13*ORÇAMENTO!$AF$7)/$H43*OFFSET(ORÇAMENTO!$X$15,ROW(AV43)-ROW(AV$15),0),
              ROUND(ROUND(OFFSET($P43,0,AV$13),15-13*ORÇAMENTO!$AF$7)*OFFSET(ORÇAMENTO!$W$15,ROW(AV43)-ROW(AV$15),0),15-13*ORÇAMENTO!$AF$11)),
         0)</f>
        <v>0</v>
      </c>
      <c r="AW43" s="453">
        <f ca="1">IF(AND($D43="Serviço",AW$12&lt;&gt;0,$H43&gt;0,OR(AUTOEVENTO&lt;&gt;"manual",$M43&lt;&gt;$A$15)),
        IF(Import.TipoArredondamento&lt;&gt;"TransfereGOV",
              ROUND(OFFSET($P43,0,AW$13),15-13*ORÇAMENTO!$AF$7)/$H43*OFFSET(ORÇAMENTO!$X$15,ROW(AW43)-ROW(AW$15),0),
              ROUND(ROUND(OFFSET($P43,0,AW$13),15-13*ORÇAMENTO!$AF$7)*OFFSET(ORÇAMENTO!$W$15,ROW(AW43)-ROW(AW$15),0),15-13*ORÇAMENTO!$AF$11)),
         0)</f>
        <v>0</v>
      </c>
      <c r="AX43" s="453">
        <f ca="1">IF(AND($D43="Serviço",AX$12&lt;&gt;0,$H43&gt;0,OR(AUTOEVENTO&lt;&gt;"manual",$M43&lt;&gt;$A$15)),
        IF(Import.TipoArredondamento&lt;&gt;"TransfereGOV",
              ROUND(OFFSET($P43,0,AX$13),15-13*ORÇAMENTO!$AF$7)/$H43*OFFSET(ORÇAMENTO!$X$15,ROW(AX43)-ROW(AX$15),0),
              ROUND(ROUND(OFFSET($P43,0,AX$13),15-13*ORÇAMENTO!$AF$7)*OFFSET(ORÇAMENTO!$W$15,ROW(AX43)-ROW(AX$15),0),15-13*ORÇAMENTO!$AF$11)),
         0)</f>
        <v>0</v>
      </c>
      <c r="AY43" s="453">
        <f ca="1">IF(AND($D43="Serviço",AY$12&lt;&gt;0,$H43&gt;0,OR(AUTOEVENTO&lt;&gt;"manual",$M43&lt;&gt;$A$15)),
        IF(Import.TipoArredondamento&lt;&gt;"TransfereGOV",
              ROUND(OFFSET($P43,0,AY$13),15-13*ORÇAMENTO!$AF$7)/$H43*OFFSET(ORÇAMENTO!$X$15,ROW(AY43)-ROW(AY$15),0),
              ROUND(ROUND(OFFSET($P43,0,AY$13),15-13*ORÇAMENTO!$AF$7)*OFFSET(ORÇAMENTO!$W$15,ROW(AY43)-ROW(AY$15),0),15-13*ORÇAMENTO!$AF$11)),
         0)</f>
        <v>0</v>
      </c>
      <c r="AZ43" s="453">
        <f ca="1">IF(AND($D43="Serviço",AZ$12&lt;&gt;0,$H43&gt;0,OR(AUTOEVENTO&lt;&gt;"manual",$M43&lt;&gt;$A$15)),
        IF(Import.TipoArredondamento&lt;&gt;"TransfereGOV",
              ROUND(OFFSET($P43,0,AZ$13),15-13*ORÇAMENTO!$AF$7)/$H43*OFFSET(ORÇAMENTO!$X$15,ROW(AZ43)-ROW(AZ$15),0),
              ROUND(ROUND(OFFSET($P43,0,AZ$13),15-13*ORÇAMENTO!$AF$7)*OFFSET(ORÇAMENTO!$W$15,ROW(AZ43)-ROW(AZ$15),0),15-13*ORÇAMENTO!$AF$11)),
         0)</f>
        <v>0</v>
      </c>
      <c r="BA43" s="453">
        <f ca="1">IF(AND($D43="Serviço",BA$12&lt;&gt;0,$H43&gt;0,OR(AUTOEVENTO&lt;&gt;"manual",$M43&lt;&gt;$A$15)),
        IF(Import.TipoArredondamento&lt;&gt;"TransfereGOV",
              ROUND(OFFSET($P43,0,BA$13),15-13*ORÇAMENTO!$AF$7)/$H43*OFFSET(ORÇAMENTO!$X$15,ROW(BA43)-ROW(BA$15),0),
              ROUND(ROUND(OFFSET($P43,0,BA$13),15-13*ORÇAMENTO!$AF$7)*OFFSET(ORÇAMENTO!$W$15,ROW(BA43)-ROW(BA$15),0),15-13*ORÇAMENTO!$AF$11)),
         0)</f>
        <v>0</v>
      </c>
      <c r="BC43" s="171">
        <f ca="1">IF(OR($D43&lt;&gt;"Serviço",AND(AUTOEVENTO="Manual",$M43=$A$15)),0,
         IF(OFFSET(CRONOPLE!$F$15,$M43-$A$15,BC$13)=0,10^12,OFFSET(CRONOPLE!$F$15,$M43-$A$15,BC$13)))</f>
        <v>1000000000000</v>
      </c>
      <c r="BD43" s="171">
        <f ca="1">IF(OR($D43&lt;&gt;"Serviço",AND(AUTOEVENTO="Manual",$M43=$A$15)),0,
         IF(OFFSET(CRONOPLE!$F$15,$M43-$A$15,BD$13)=0,10^12,OFFSET(CRONOPLE!$F$15,$M43-$A$15,BD$13)))</f>
        <v>1000000000000</v>
      </c>
      <c r="BE43" s="171">
        <f ca="1">IF(OR($D43&lt;&gt;"Serviço",AND(AUTOEVENTO="Manual",$M43=$A$15)),0,
         IF(OFFSET(CRONOPLE!$F$15,$M43-$A$15,BE$13)=0,10^12,OFFSET(CRONOPLE!$F$15,$M43-$A$15,BE$13)))</f>
        <v>2</v>
      </c>
      <c r="BF43" s="171">
        <f ca="1">IF(OR($D43&lt;&gt;"Serviço",AND(AUTOEVENTO="Manual",$M43=$A$15)),0,
         IF(OFFSET(CRONOPLE!$F$15,$M43-$A$15,BF$13)=0,10^12,OFFSET(CRONOPLE!$F$15,$M43-$A$15,BF$13)))</f>
        <v>1000000000000</v>
      </c>
      <c r="BG43" s="171">
        <f ca="1">IF(OR($D43&lt;&gt;"Serviço",AND(AUTOEVENTO="Manual",$M43=$A$15)),0,
         IF(OFFSET(CRONOPLE!$F$15,$M43-$A$15,BG$13)=0,10^12,OFFSET(CRONOPLE!$F$15,$M43-$A$15,BG$13)))</f>
        <v>1000000000000</v>
      </c>
      <c r="BH43" s="171">
        <f ca="1">IF(OR($D43&lt;&gt;"Serviço",AND(AUTOEVENTO="Manual",$M43=$A$15)),0,
         IF(OFFSET(CRONOPLE!$F$15,$M43-$A$15,BH$13)=0,10^12,OFFSET(CRONOPLE!$F$15,$M43-$A$15,BH$13)))</f>
        <v>1000000000000</v>
      </c>
      <c r="BI43" s="171">
        <f ca="1">IF(OR($D43&lt;&gt;"Serviço",AND(AUTOEVENTO="Manual",$M43=$A$15)),0,
         IF(OFFSET(CRONOPLE!$F$15,$M43-$A$15,BI$13)=0,10^12,OFFSET(CRONOPLE!$F$15,$M43-$A$15,BI$13)))</f>
        <v>1000000000000</v>
      </c>
      <c r="BJ43" s="171">
        <f ca="1">IF(OR($D43&lt;&gt;"Serviço",AND(AUTOEVENTO="Manual",$M43=$A$15)),0,
         IF(OFFSET(CRONOPLE!$F$15,$M43-$A$15,BJ$13)=0,10^12,OFFSET(CRONOPLE!$F$15,$M43-$A$15,BJ$13)))</f>
        <v>1000000000000</v>
      </c>
      <c r="BK43" s="171">
        <f ca="1">IF(OR($D43&lt;&gt;"Serviço",AND(AUTOEVENTO="Manual",$M43=$A$15)),0,
         IF(OFFSET(CRONOPLE!$F$15,$M43-$A$15,BK$13)=0,10^12,OFFSET(CRONOPLE!$F$15,$M43-$A$15,BK$13)))</f>
        <v>1000000000000</v>
      </c>
      <c r="BL43" s="171">
        <f ca="1">IF(OR($D43&lt;&gt;"Serviço",AND(AUTOEVENTO="Manual",$M43=$A$15)),0,
         IF(OFFSET(CRONOPLE!$F$15,$M43-$A$15,BL$13)=0,10^12,OFFSET(CRONOPLE!$F$15,$M43-$A$15,BL$13)))</f>
        <v>1000000000000</v>
      </c>
      <c r="BM43" s="171">
        <f ca="1">IF(OR($D43&lt;&gt;"Serviço",AND(AUTOEVENTO="Manual",$M43=$A$15)),0,
         IF(OFFSET(CRONOPLE!$F$15,$M43-$A$15,BM$13)=0,10^12,OFFSET(CRONOPLE!$F$15,$M43-$A$15,BM$13)))</f>
        <v>1000000000000</v>
      </c>
      <c r="BN43" s="171">
        <f ca="1">IF(OR($D43&lt;&gt;"Serviço",AND(AUTOEVENTO="Manual",$M43=$A$15)),0,
         IF(OFFSET(CRONOPLE!$F$15,$M43-$A$15,BN$13)=0,10^12,OFFSET(CRONOPLE!$F$15,$M43-$A$15,BN$13)))</f>
        <v>4</v>
      </c>
      <c r="BO43" s="171">
        <f ca="1">IF(OR($D43&lt;&gt;"Serviço",AND(AUTOEVENTO="Manual",$M43=$A$15)),0,
         IF(OFFSET(CRONOPLE!$F$15,$M43-$A$15,BO$13)=0,10^12,OFFSET(CRONOPLE!$F$15,$M43-$A$15,BO$13)))</f>
        <v>1000000000000</v>
      </c>
      <c r="BP43" s="171">
        <f ca="1">IF(OR($D43&lt;&gt;"Serviço",AND(AUTOEVENTO="Manual",$M43=$A$15)),0,
         IF(OFFSET(CRONOPLE!$F$15,$M43-$A$15,BP$13)=0,10^12,OFFSET(CRONOPLE!$F$15,$M43-$A$15,BP$13)))</f>
        <v>1000000000000</v>
      </c>
      <c r="BQ43" s="171">
        <f ca="1">IF(OR($D43&lt;&gt;"Serviço",AND(AUTOEVENTO="Manual",$M43=$A$15)),0,
         IF(OFFSET(CRONOPLE!$F$15,$M43-$A$15,BQ$13)=0,10^12,OFFSET(CRONOPLE!$F$15,$M43-$A$15,BQ$13)))</f>
        <v>1000000000000</v>
      </c>
      <c r="BR43" s="171">
        <f ca="1">IF(OR($D43&lt;&gt;"Serviço",AND(AUTOEVENTO="Manual",$M43=$A$15)),0,
         IF(OFFSET(CRONOPLE!$F$15,$M43-$A$15,BR$13)=0,10^12,OFFSET(CRONOPLE!$F$15,$M43-$A$15,BR$13)))</f>
        <v>1000000000000</v>
      </c>
      <c r="BS43" s="171">
        <f ca="1">IF(OR($D43&lt;&gt;"Serviço",AND(AUTOEVENTO="Manual",$M43=$A$15)),0,
         IF(OFFSET(CRONOPLE!$F$15,$M43-$A$15,BS$13)=0,10^12,OFFSET(CRONOPLE!$F$15,$M43-$A$15,BS$13)))</f>
        <v>1000000000000</v>
      </c>
      <c r="BT43" s="171">
        <f ca="1">IF(OR($D43&lt;&gt;"Serviço",AND(AUTOEVENTO="Manual",$M43=$A$15)),0,
         IF(OFFSET(CRONOPLE!$F$15,$M43-$A$15,BT$13)=0,10^12,OFFSET(CRONOPLE!$F$15,$M43-$A$15,BT$13)))</f>
        <v>1000000000000</v>
      </c>
      <c r="BV43" s="172">
        <f ca="1">IF(OR($D43&lt;&gt;"Serviço",AND(AUTOEVENTO="Manual",$M43=$A$15),$M43&gt;(ROW(PLE.lastrow)-ROW(PLE.firstrow))),0,
           IF(OFFSET(PLE!$G$15,$M43-$A$15,BV$13)="",10^12,OFFSET(PLE!$G$15,$M43-$A$15,BV$13)))</f>
        <v>1000000000000</v>
      </c>
      <c r="BW43" s="172">
        <f ca="1">IF(OR($D43&lt;&gt;"Serviço",AND(AUTOEVENTO="Manual",$M43=$A$15),$M43&gt;(ROW(PLE.lastrow)-ROW(PLE.firstrow))),0,
           IF(OFFSET(PLE!$G$15,$M43-$A$15,BW$13)="",10^12,OFFSET(PLE!$G$15,$M43-$A$15,BW$13)))</f>
        <v>1000000000000</v>
      </c>
      <c r="BX43" s="172">
        <f ca="1">IF(OR($D43&lt;&gt;"Serviço",AND(AUTOEVENTO="Manual",$M43=$A$15),$M43&gt;(ROW(PLE.lastrow)-ROW(PLE.firstrow))),0,
           IF(OFFSET(PLE!$G$15,$M43-$A$15,BX$13)="",10^12,OFFSET(PLE!$G$15,$M43-$A$15,BX$13)))</f>
        <v>1000000000000</v>
      </c>
      <c r="BY43" s="172">
        <f ca="1">IF(OR($D43&lt;&gt;"Serviço",AND(AUTOEVENTO="Manual",$M43=$A$15),$M43&gt;(ROW(PLE.lastrow)-ROW(PLE.firstrow))),0,
           IF(OFFSET(PLE!$G$15,$M43-$A$15,BY$13)="",10^12,OFFSET(PLE!$G$15,$M43-$A$15,BY$13)))</f>
        <v>1000000000000</v>
      </c>
      <c r="BZ43" s="172">
        <f ca="1">IF(OR($D43&lt;&gt;"Serviço",AND(AUTOEVENTO="Manual",$M43=$A$15),$M43&gt;(ROW(PLE.lastrow)-ROW(PLE.firstrow))),0,
           IF(OFFSET(PLE!$G$15,$M43-$A$15,BZ$13)="",10^12,OFFSET(PLE!$G$15,$M43-$A$15,BZ$13)))</f>
        <v>1000000000000</v>
      </c>
      <c r="CA43" s="172">
        <f ca="1">IF(OR($D43&lt;&gt;"Serviço",AND(AUTOEVENTO="Manual",$M43=$A$15),$M43&gt;(ROW(PLE.lastrow)-ROW(PLE.firstrow))),0,
           IF(OFFSET(PLE!$G$15,$M43-$A$15,CA$13)="",10^12,OFFSET(PLE!$G$15,$M43-$A$15,CA$13)))</f>
        <v>1000000000000</v>
      </c>
      <c r="CB43" s="172">
        <f ca="1">IF(OR($D43&lt;&gt;"Serviço",AND(AUTOEVENTO="Manual",$M43=$A$15),$M43&gt;(ROW(PLE.lastrow)-ROW(PLE.firstrow))),0,
           IF(OFFSET(PLE!$G$15,$M43-$A$15,CB$13)="",10^12,OFFSET(PLE!$G$15,$M43-$A$15,CB$13)))</f>
        <v>1000000000000</v>
      </c>
      <c r="CC43" s="172">
        <f ca="1">IF(OR($D43&lt;&gt;"Serviço",AND(AUTOEVENTO="Manual",$M43=$A$15),$M43&gt;(ROW(PLE.lastrow)-ROW(PLE.firstrow))),0,
           IF(OFFSET(PLE!$G$15,$M43-$A$15,CC$13)="",10^12,OFFSET(PLE!$G$15,$M43-$A$15,CC$13)))</f>
        <v>1000000000000</v>
      </c>
      <c r="CD43" s="172">
        <f ca="1">IF(OR($D43&lt;&gt;"Serviço",AND(AUTOEVENTO="Manual",$M43=$A$15),$M43&gt;(ROW(PLE.lastrow)-ROW(PLE.firstrow))),0,
           IF(OFFSET(PLE!$G$15,$M43-$A$15,CD$13)="",10^12,OFFSET(PLE!$G$15,$M43-$A$15,CD$13)))</f>
        <v>1000000000000</v>
      </c>
      <c r="CE43" s="172">
        <f ca="1">IF(OR($D43&lt;&gt;"Serviço",AND(AUTOEVENTO="Manual",$M43=$A$15),$M43&gt;(ROW(PLE.lastrow)-ROW(PLE.firstrow))),0,
           IF(OFFSET(PLE!$G$15,$M43-$A$15,CE$13)="",10^12,OFFSET(PLE!$G$15,$M43-$A$15,CE$13)))</f>
        <v>1000000000000</v>
      </c>
      <c r="CF43" s="172">
        <f ca="1">IF(OR($D43&lt;&gt;"Serviço",AND(AUTOEVENTO="Manual",$M43=$A$15),$M43&gt;(ROW(PLE.lastrow)-ROW(PLE.firstrow))),0,
           IF(OFFSET(PLE!$G$15,$M43-$A$15,CF$13)="",10^12,OFFSET(PLE!$G$15,$M43-$A$15,CF$13)))</f>
        <v>1000000000000</v>
      </c>
      <c r="CG43" s="172">
        <f ca="1">IF(OR($D43&lt;&gt;"Serviço",AND(AUTOEVENTO="Manual",$M43=$A$15),$M43&gt;(ROW(PLE.lastrow)-ROW(PLE.firstrow))),0,
           IF(OFFSET(PLE!$G$15,$M43-$A$15,CG$13)="",10^12,OFFSET(PLE!$G$15,$M43-$A$15,CG$13)))</f>
        <v>1000000000000</v>
      </c>
      <c r="CH43" s="172">
        <f ca="1">IF(OR($D43&lt;&gt;"Serviço",AND(AUTOEVENTO="Manual",$M43=$A$15),$M43&gt;(ROW(PLE.lastrow)-ROW(PLE.firstrow))),0,
           IF(OFFSET(PLE!$G$15,$M43-$A$15,CH$13)="",10^12,OFFSET(PLE!$G$15,$M43-$A$15,CH$13)))</f>
        <v>1000000000000</v>
      </c>
      <c r="CI43" s="172">
        <f ca="1">IF(OR($D43&lt;&gt;"Serviço",AND(AUTOEVENTO="Manual",$M43=$A$15),$M43&gt;(ROW(PLE.lastrow)-ROW(PLE.firstrow))),0,
           IF(OFFSET(PLE!$G$15,$M43-$A$15,CI$13)="",10^12,OFFSET(PLE!$G$15,$M43-$A$15,CI$13)))</f>
        <v>1000000000000</v>
      </c>
      <c r="CJ43" s="172">
        <f ca="1">IF(OR($D43&lt;&gt;"Serviço",AND(AUTOEVENTO="Manual",$M43=$A$15),$M43&gt;(ROW(PLE.lastrow)-ROW(PLE.firstrow))),0,
           IF(OFFSET(PLE!$G$15,$M43-$A$15,CJ$13)="",10^12,OFFSET(PLE!$G$15,$M43-$A$15,CJ$13)))</f>
        <v>1000000000000</v>
      </c>
      <c r="CK43" s="172">
        <f ca="1">IF(OR($D43&lt;&gt;"Serviço",AND(AUTOEVENTO="Manual",$M43=$A$15),$M43&gt;(ROW(PLE.lastrow)-ROW(PLE.firstrow))),0,
           IF(OFFSET(PLE!$G$15,$M43-$A$15,CK$13)="",10^12,OFFSET(PLE!$G$15,$M43-$A$15,CK$13)))</f>
        <v>1000000000000</v>
      </c>
      <c r="CL43" s="172">
        <f ca="1">IF(OR($D43&lt;&gt;"Serviço",AND(AUTOEVENTO="Manual",$M43=$A$15),$M43&gt;(ROW(PLE.lastrow)-ROW(PLE.firstrow))),0,
           IF(OFFSET(PLE!$G$15,$M43-$A$15,CL$13)="",10^12,OFFSET(PLE!$G$15,$M43-$A$15,CL$13)))</f>
        <v>1000000000000</v>
      </c>
      <c r="CM43" s="172">
        <f ca="1">IF(OR($D43&lt;&gt;"Serviço",AND(AUTOEVENTO="Manual",$M43=$A$15),$M43&gt;(ROW(PLE.lastrow)-ROW(PLE.firstrow))),0,
           IF(OFFSET(PLE!$G$15,$M43-$A$15,CM$13)="",10^12,OFFSET(PLE!$G$15,$M43-$A$15,CM$13)))</f>
        <v>1000000000000</v>
      </c>
    </row>
    <row r="44" spans="1:91" ht="26.4" x14ac:dyDescent="0.25">
      <c r="A44" s="7" t="str">
        <f t="shared" ca="1" si="11"/>
        <v>26</v>
      </c>
      <c r="B44" s="7" t="str">
        <f ca="1">OFFSET(ORÇAMENTO!C$15,ROW(B44)-ROW(B$15),0)</f>
        <v>S</v>
      </c>
      <c r="C44" s="7" t="str">
        <f ca="1">OFFSET(ORÇAMENTO!L$15,ROW(C44)-ROW(C$15),0)</f>
        <v>F</v>
      </c>
      <c r="D44" s="116" t="str">
        <f ca="1">OFFSET(ORÇAMENTO!N$15,ROW(D44)-ROW(D$15),0)</f>
        <v>Serviço</v>
      </c>
      <c r="E44" s="117" t="str">
        <f ca="1">OFFSET(ORÇAMENTO!O$15,ROW(E44)-ROW(E$15),0)</f>
        <v>1.5.3.</v>
      </c>
      <c r="F44" s="163" t="str">
        <f ca="1">OFFSET(ORÇAMENTO!R$15,ROW(F44)-ROW(F$15),0)</f>
        <v>Transporte de material betuminoso com caminhão tanque distribuidor - rodovia pavimentada</v>
      </c>
      <c r="G44" s="164" t="str">
        <f ca="1">IF($D44&lt;&gt;"Serviço","",OFFSET(ORÇAMENTO!S$15,ROW(G44)-ROW(G$15),0))</f>
        <v>tkm</v>
      </c>
      <c r="H44" s="122" cm="1">
        <f t="array" aca="1" ref="H44" ca="1">IF($D44&lt;&gt;"Serviço",0,IF(ACOMPANHAMENTO="BM",ROUND(OFFSET(ORÇAMENTO!AJ$15,ROW(H44)-ROW(H$15),0),15-13*ORÇAMENTO!$AF$7),SUMPRODUCT(($Q$1:$AI$1=1)*ROUND($Q44:$AI44,15-13*ORÇAMENTO!$AF$7))))</f>
        <v>15.77</v>
      </c>
      <c r="I44" s="468"/>
      <c r="J44" s="651" t="e" cm="1">
        <f t="array" aca="1" ref="J44" ca="1">IF(OR(B44&lt;&gt;"S",CÁLCULO.FrentesPreenchidas=0),"",IF(AND(ACOMPANHAMENTO="PLE",AUTOEVENTO="Manual",OR(H44&gt;0,ORÇAMENTO!AC44="QUANT."),OR(K44="",M44=0,N44="")),"►E",IF(AND(ACOMPANHAMENTO="PLE",ORÇAMENTO!AC44="QUANT."),"►Q",IF(AND(ACOMPANHAMENTO="PLE",H44&lt;&gt;SUMPRODUCT(($Q$1:$AI$1=1)*ROUND(Q44:AI44,15))),"►S",IF(AND(COUNTIF($P$11:$AI$11,"▼")=0,H44&gt;0,I44=""),"◄M","")))))</f>
        <v>#NAME?</v>
      </c>
      <c r="K44" s="652"/>
      <c r="L44" s="165" t="s">
        <v>764</v>
      </c>
      <c r="M44" s="166">
        <f ca="1">IF($D44&lt;&gt;"Serviço","",
          IF(AUTOEVENTO="manual",$A44,
                IF(ISERROR(MATCH($A44,$A$15:OFFSET($A44,-1,0),0)),MAX($M$15:OFFSET(M44,-1,0))+1,
                      INDEX($M$15:OFFSET(M44,-1,0),MATCH($A44,$A$15:OFFSET($A44,-1,0),0)))))</f>
        <v>5</v>
      </c>
      <c r="N44" s="167" t="str">
        <f ca="1">IF($D44&lt;&gt;"Serviço","",
         IF(AUTOEVENTO="Manual",
                IF($A44=0,"&lt;-- defina o número do agrupador",
                       OFFSET(EVENTOS!$D$15,$A44-$A$15,0)),
                OFFSET($F$15,$A44,0)))</f>
        <v xml:space="preserve">FAIXAS ELEVADAS </v>
      </c>
      <c r="O44" s="168"/>
      <c r="Q44" s="168"/>
      <c r="R44" s="169"/>
      <c r="S44" s="169">
        <f>ROUND((S43/1000)*337,2)</f>
        <v>15.77</v>
      </c>
      <c r="T44" s="169"/>
      <c r="U44" s="169"/>
      <c r="V44" s="169"/>
      <c r="W44" s="169"/>
      <c r="X44" s="169"/>
      <c r="Y44" s="169"/>
      <c r="Z44" s="170"/>
      <c r="AA44" s="169"/>
      <c r="AB44" s="169"/>
      <c r="AC44" s="169"/>
      <c r="AD44" s="169"/>
      <c r="AE44" s="169"/>
      <c r="AF44" s="169"/>
      <c r="AG44" s="169"/>
      <c r="AH44" s="170"/>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L44" s="453">
        <f ca="1">IF(AND($D44="Serviço",AL$12&lt;&gt;0,$H44&gt;0,OR(AUTOEVENTO&lt;&gt;"manual",$M44&lt;&gt;$A$15)),
        IF(Import.TipoArredondamento&lt;&gt;"TransfereGOV",
              ROUND(OFFSET($P44,0,AL$13),15-13*ORÇAMENTO!$AF$7)/$H44*OFFSET(ORÇAMENTO!$X$15,ROW(AL44)-ROW(AL$15),0),
              ROUND(ROUND(OFFSET($P44,0,AL$13),15-13*ORÇAMENTO!$AF$7)*OFFSET(ORÇAMENTO!$W$15,ROW(AL44)-ROW(AL$15),0),15-13*ORÇAMENTO!$AF$11)),
         0)</f>
        <v>40.21</v>
      </c>
      <c r="AM44" s="453">
        <f ca="1">IF(AND($D44="Serviço",AM$12&lt;&gt;0,$H44&gt;0,OR(AUTOEVENTO&lt;&gt;"manual",$M44&lt;&gt;$A$15)),
        IF(Import.TipoArredondamento&lt;&gt;"TransfereGOV",
              ROUND(OFFSET($P44,0,AM$13),15-13*ORÇAMENTO!$AF$7)/$H44*OFFSET(ORÇAMENTO!$X$15,ROW(AM44)-ROW(AM$15),0),
              ROUND(ROUND(OFFSET($P44,0,AM$13),15-13*ORÇAMENTO!$AF$7)*OFFSET(ORÇAMENTO!$W$15,ROW(AM44)-ROW(AM$15),0),15-13*ORÇAMENTO!$AF$11)),
         0)</f>
        <v>0</v>
      </c>
      <c r="AN44" s="453">
        <f ca="1">IF(AND($D44="Serviço",AN$12&lt;&gt;0,$H44&gt;0,OR(AUTOEVENTO&lt;&gt;"manual",$M44&lt;&gt;$A$15)),
        IF(Import.TipoArredondamento&lt;&gt;"TransfereGOV",
              ROUND(OFFSET($P44,0,AN$13),15-13*ORÇAMENTO!$AF$7)/$H44*OFFSET(ORÇAMENTO!$X$15,ROW(AN44)-ROW(AN$15),0),
              ROUND(ROUND(OFFSET($P44,0,AN$13),15-13*ORÇAMENTO!$AF$7)*OFFSET(ORÇAMENTO!$W$15,ROW(AN44)-ROW(AN$15),0),15-13*ORÇAMENTO!$AF$11)),
         0)</f>
        <v>0</v>
      </c>
      <c r="AO44" s="453">
        <f ca="1">IF(AND($D44="Serviço",AO$12&lt;&gt;0,$H44&gt;0,OR(AUTOEVENTO&lt;&gt;"manual",$M44&lt;&gt;$A$15)),
        IF(Import.TipoArredondamento&lt;&gt;"TransfereGOV",
              ROUND(OFFSET($P44,0,AO$13),15-13*ORÇAMENTO!$AF$7)/$H44*OFFSET(ORÇAMENTO!$X$15,ROW(AO44)-ROW(AO$15),0),
              ROUND(ROUND(OFFSET($P44,0,AO$13),15-13*ORÇAMENTO!$AF$7)*OFFSET(ORÇAMENTO!$W$15,ROW(AO44)-ROW(AO$15),0),15-13*ORÇAMENTO!$AF$11)),
         0)</f>
        <v>0</v>
      </c>
      <c r="AP44" s="453">
        <f ca="1">IF(AND($D44="Serviço",AP$12&lt;&gt;0,$H44&gt;0,OR(AUTOEVENTO&lt;&gt;"manual",$M44&lt;&gt;$A$15)),
        IF(Import.TipoArredondamento&lt;&gt;"TransfereGOV",
              ROUND(OFFSET($P44,0,AP$13),15-13*ORÇAMENTO!$AF$7)/$H44*OFFSET(ORÇAMENTO!$X$15,ROW(AP44)-ROW(AP$15),0),
              ROUND(ROUND(OFFSET($P44,0,AP$13),15-13*ORÇAMENTO!$AF$7)*OFFSET(ORÇAMENTO!$W$15,ROW(AP44)-ROW(AP$15),0),15-13*ORÇAMENTO!$AF$11)),
         0)</f>
        <v>0</v>
      </c>
      <c r="AQ44" s="453">
        <f ca="1">IF(AND($D44="Serviço",AQ$12&lt;&gt;0,$H44&gt;0,OR(AUTOEVENTO&lt;&gt;"manual",$M44&lt;&gt;$A$15)),
        IF(Import.TipoArredondamento&lt;&gt;"TransfereGOV",
              ROUND(OFFSET($P44,0,AQ$13),15-13*ORÇAMENTO!$AF$7)/$H44*OFFSET(ORÇAMENTO!$X$15,ROW(AQ44)-ROW(AQ$15),0),
              ROUND(ROUND(OFFSET($P44,0,AQ$13),15-13*ORÇAMENTO!$AF$7)*OFFSET(ORÇAMENTO!$W$15,ROW(AQ44)-ROW(AQ$15),0),15-13*ORÇAMENTO!$AF$11)),
         0)</f>
        <v>0</v>
      </c>
      <c r="AR44" s="453">
        <f ca="1">IF(AND($D44="Serviço",AR$12&lt;&gt;0,$H44&gt;0,OR(AUTOEVENTO&lt;&gt;"manual",$M44&lt;&gt;$A$15)),
        IF(Import.TipoArredondamento&lt;&gt;"TransfereGOV",
              ROUND(OFFSET($P44,0,AR$13),15-13*ORÇAMENTO!$AF$7)/$H44*OFFSET(ORÇAMENTO!$X$15,ROW(AR44)-ROW(AR$15),0),
              ROUND(ROUND(OFFSET($P44,0,AR$13),15-13*ORÇAMENTO!$AF$7)*OFFSET(ORÇAMENTO!$W$15,ROW(AR44)-ROW(AR$15),0),15-13*ORÇAMENTO!$AF$11)),
         0)</f>
        <v>0</v>
      </c>
      <c r="AS44" s="453">
        <f ca="1">IF(AND($D44="Serviço",AS$12&lt;&gt;0,$H44&gt;0,OR(AUTOEVENTO&lt;&gt;"manual",$M44&lt;&gt;$A$15)),
        IF(Import.TipoArredondamento&lt;&gt;"TransfereGOV",
              ROUND(OFFSET($P44,0,AS$13),15-13*ORÇAMENTO!$AF$7)/$H44*OFFSET(ORÇAMENTO!$X$15,ROW(AS44)-ROW(AS$15),0),
              ROUND(ROUND(OFFSET($P44,0,AS$13),15-13*ORÇAMENTO!$AF$7)*OFFSET(ORÇAMENTO!$W$15,ROW(AS44)-ROW(AS$15),0),15-13*ORÇAMENTO!$AF$11)),
         0)</f>
        <v>0</v>
      </c>
      <c r="AT44" s="453">
        <f ca="1">IF(AND($D44="Serviço",AT$12&lt;&gt;0,$H44&gt;0,OR(AUTOEVENTO&lt;&gt;"manual",$M44&lt;&gt;$A$15)),
        IF(Import.TipoArredondamento&lt;&gt;"TransfereGOV",
              ROUND(OFFSET($P44,0,AT$13),15-13*ORÇAMENTO!$AF$7)/$H44*OFFSET(ORÇAMENTO!$X$15,ROW(AT44)-ROW(AT$15),0),
              ROUND(ROUND(OFFSET($P44,0,AT$13),15-13*ORÇAMENTO!$AF$7)*OFFSET(ORÇAMENTO!$W$15,ROW(AT44)-ROW(AT$15),0),15-13*ORÇAMENTO!$AF$11)),
         0)</f>
        <v>0</v>
      </c>
      <c r="AU44" s="453">
        <f ca="1">IF(AND($D44="Serviço",AU$12&lt;&gt;0,$H44&gt;0,OR(AUTOEVENTO&lt;&gt;"manual",$M44&lt;&gt;$A$15)),
        IF(Import.TipoArredondamento&lt;&gt;"TransfereGOV",
              ROUND(OFFSET($P44,0,AU$13),15-13*ORÇAMENTO!$AF$7)/$H44*OFFSET(ORÇAMENTO!$X$15,ROW(AU44)-ROW(AU$15),0),
              ROUND(ROUND(OFFSET($P44,0,AU$13),15-13*ORÇAMENTO!$AF$7)*OFFSET(ORÇAMENTO!$W$15,ROW(AU44)-ROW(AU$15),0),15-13*ORÇAMENTO!$AF$11)),
         0)</f>
        <v>0</v>
      </c>
      <c r="AV44" s="453">
        <f ca="1">IF(AND($D44="Serviço",AV$12&lt;&gt;0,$H44&gt;0,OR(AUTOEVENTO&lt;&gt;"manual",$M44&lt;&gt;$A$15)),
        IF(Import.TipoArredondamento&lt;&gt;"TransfereGOV",
              ROUND(OFFSET($P44,0,AV$13),15-13*ORÇAMENTO!$AF$7)/$H44*OFFSET(ORÇAMENTO!$X$15,ROW(AV44)-ROW(AV$15),0),
              ROUND(ROUND(OFFSET($P44,0,AV$13),15-13*ORÇAMENTO!$AF$7)*OFFSET(ORÇAMENTO!$W$15,ROW(AV44)-ROW(AV$15),0),15-13*ORÇAMENTO!$AF$11)),
         0)</f>
        <v>0</v>
      </c>
      <c r="AW44" s="453">
        <f ca="1">IF(AND($D44="Serviço",AW$12&lt;&gt;0,$H44&gt;0,OR(AUTOEVENTO&lt;&gt;"manual",$M44&lt;&gt;$A$15)),
        IF(Import.TipoArredondamento&lt;&gt;"TransfereGOV",
              ROUND(OFFSET($P44,0,AW$13),15-13*ORÇAMENTO!$AF$7)/$H44*OFFSET(ORÇAMENTO!$X$15,ROW(AW44)-ROW(AW$15),0),
              ROUND(ROUND(OFFSET($P44,0,AW$13),15-13*ORÇAMENTO!$AF$7)*OFFSET(ORÇAMENTO!$W$15,ROW(AW44)-ROW(AW$15),0),15-13*ORÇAMENTO!$AF$11)),
         0)</f>
        <v>0</v>
      </c>
      <c r="AX44" s="453">
        <f ca="1">IF(AND($D44="Serviço",AX$12&lt;&gt;0,$H44&gt;0,OR(AUTOEVENTO&lt;&gt;"manual",$M44&lt;&gt;$A$15)),
        IF(Import.TipoArredondamento&lt;&gt;"TransfereGOV",
              ROUND(OFFSET($P44,0,AX$13),15-13*ORÇAMENTO!$AF$7)/$H44*OFFSET(ORÇAMENTO!$X$15,ROW(AX44)-ROW(AX$15),0),
              ROUND(ROUND(OFFSET($P44,0,AX$13),15-13*ORÇAMENTO!$AF$7)*OFFSET(ORÇAMENTO!$W$15,ROW(AX44)-ROW(AX$15),0),15-13*ORÇAMENTO!$AF$11)),
         0)</f>
        <v>0</v>
      </c>
      <c r="AY44" s="453">
        <f ca="1">IF(AND($D44="Serviço",AY$12&lt;&gt;0,$H44&gt;0,OR(AUTOEVENTO&lt;&gt;"manual",$M44&lt;&gt;$A$15)),
        IF(Import.TipoArredondamento&lt;&gt;"TransfereGOV",
              ROUND(OFFSET($P44,0,AY$13),15-13*ORÇAMENTO!$AF$7)/$H44*OFFSET(ORÇAMENTO!$X$15,ROW(AY44)-ROW(AY$15),0),
              ROUND(ROUND(OFFSET($P44,0,AY$13),15-13*ORÇAMENTO!$AF$7)*OFFSET(ORÇAMENTO!$W$15,ROW(AY44)-ROW(AY$15),0),15-13*ORÇAMENTO!$AF$11)),
         0)</f>
        <v>0</v>
      </c>
      <c r="AZ44" s="453">
        <f ca="1">IF(AND($D44="Serviço",AZ$12&lt;&gt;0,$H44&gt;0,OR(AUTOEVENTO&lt;&gt;"manual",$M44&lt;&gt;$A$15)),
        IF(Import.TipoArredondamento&lt;&gt;"TransfereGOV",
              ROUND(OFFSET($P44,0,AZ$13),15-13*ORÇAMENTO!$AF$7)/$H44*OFFSET(ORÇAMENTO!$X$15,ROW(AZ44)-ROW(AZ$15),0),
              ROUND(ROUND(OFFSET($P44,0,AZ$13),15-13*ORÇAMENTO!$AF$7)*OFFSET(ORÇAMENTO!$W$15,ROW(AZ44)-ROW(AZ$15),0),15-13*ORÇAMENTO!$AF$11)),
         0)</f>
        <v>0</v>
      </c>
      <c r="BA44" s="453">
        <f ca="1">IF(AND($D44="Serviço",BA$12&lt;&gt;0,$H44&gt;0,OR(AUTOEVENTO&lt;&gt;"manual",$M44&lt;&gt;$A$15)),
        IF(Import.TipoArredondamento&lt;&gt;"TransfereGOV",
              ROUND(OFFSET($P44,0,BA$13),15-13*ORÇAMENTO!$AF$7)/$H44*OFFSET(ORÇAMENTO!$X$15,ROW(BA44)-ROW(BA$15),0),
              ROUND(ROUND(OFFSET($P44,0,BA$13),15-13*ORÇAMENTO!$AF$7)*OFFSET(ORÇAMENTO!$W$15,ROW(BA44)-ROW(BA$15),0),15-13*ORÇAMENTO!$AF$11)),
         0)</f>
        <v>0</v>
      </c>
      <c r="BC44" s="171">
        <f ca="1">IF(OR($D44&lt;&gt;"Serviço",AND(AUTOEVENTO="Manual",$M44=$A$15)),0,
         IF(OFFSET(CRONOPLE!$F$15,$M44-$A$15,BC$13)=0,10^12,OFFSET(CRONOPLE!$F$15,$M44-$A$15,BC$13)))</f>
        <v>1000000000000</v>
      </c>
      <c r="BD44" s="171">
        <f ca="1">IF(OR($D44&lt;&gt;"Serviço",AND(AUTOEVENTO="Manual",$M44=$A$15)),0,
         IF(OFFSET(CRONOPLE!$F$15,$M44-$A$15,BD$13)=0,10^12,OFFSET(CRONOPLE!$F$15,$M44-$A$15,BD$13)))</f>
        <v>1000000000000</v>
      </c>
      <c r="BE44" s="171">
        <f ca="1">IF(OR($D44&lt;&gt;"Serviço",AND(AUTOEVENTO="Manual",$M44=$A$15)),0,
         IF(OFFSET(CRONOPLE!$F$15,$M44-$A$15,BE$13)=0,10^12,OFFSET(CRONOPLE!$F$15,$M44-$A$15,BE$13)))</f>
        <v>2</v>
      </c>
      <c r="BF44" s="171">
        <f ca="1">IF(OR($D44&lt;&gt;"Serviço",AND(AUTOEVENTO="Manual",$M44=$A$15)),0,
         IF(OFFSET(CRONOPLE!$F$15,$M44-$A$15,BF$13)=0,10^12,OFFSET(CRONOPLE!$F$15,$M44-$A$15,BF$13)))</f>
        <v>1000000000000</v>
      </c>
      <c r="BG44" s="171">
        <f ca="1">IF(OR($D44&lt;&gt;"Serviço",AND(AUTOEVENTO="Manual",$M44=$A$15)),0,
         IF(OFFSET(CRONOPLE!$F$15,$M44-$A$15,BG$13)=0,10^12,OFFSET(CRONOPLE!$F$15,$M44-$A$15,BG$13)))</f>
        <v>1000000000000</v>
      </c>
      <c r="BH44" s="171">
        <f ca="1">IF(OR($D44&lt;&gt;"Serviço",AND(AUTOEVENTO="Manual",$M44=$A$15)),0,
         IF(OFFSET(CRONOPLE!$F$15,$M44-$A$15,BH$13)=0,10^12,OFFSET(CRONOPLE!$F$15,$M44-$A$15,BH$13)))</f>
        <v>1000000000000</v>
      </c>
      <c r="BI44" s="171">
        <f ca="1">IF(OR($D44&lt;&gt;"Serviço",AND(AUTOEVENTO="Manual",$M44=$A$15)),0,
         IF(OFFSET(CRONOPLE!$F$15,$M44-$A$15,BI$13)=0,10^12,OFFSET(CRONOPLE!$F$15,$M44-$A$15,BI$13)))</f>
        <v>1000000000000</v>
      </c>
      <c r="BJ44" s="171">
        <f ca="1">IF(OR($D44&lt;&gt;"Serviço",AND(AUTOEVENTO="Manual",$M44=$A$15)),0,
         IF(OFFSET(CRONOPLE!$F$15,$M44-$A$15,BJ$13)=0,10^12,OFFSET(CRONOPLE!$F$15,$M44-$A$15,BJ$13)))</f>
        <v>1000000000000</v>
      </c>
      <c r="BK44" s="171">
        <f ca="1">IF(OR($D44&lt;&gt;"Serviço",AND(AUTOEVENTO="Manual",$M44=$A$15)),0,
         IF(OFFSET(CRONOPLE!$F$15,$M44-$A$15,BK$13)=0,10^12,OFFSET(CRONOPLE!$F$15,$M44-$A$15,BK$13)))</f>
        <v>1000000000000</v>
      </c>
      <c r="BL44" s="171">
        <f ca="1">IF(OR($D44&lt;&gt;"Serviço",AND(AUTOEVENTO="Manual",$M44=$A$15)),0,
         IF(OFFSET(CRONOPLE!$F$15,$M44-$A$15,BL$13)=0,10^12,OFFSET(CRONOPLE!$F$15,$M44-$A$15,BL$13)))</f>
        <v>1000000000000</v>
      </c>
      <c r="BM44" s="171">
        <f ca="1">IF(OR($D44&lt;&gt;"Serviço",AND(AUTOEVENTO="Manual",$M44=$A$15)),0,
         IF(OFFSET(CRONOPLE!$F$15,$M44-$A$15,BM$13)=0,10^12,OFFSET(CRONOPLE!$F$15,$M44-$A$15,BM$13)))</f>
        <v>1000000000000</v>
      </c>
      <c r="BN44" s="171">
        <f ca="1">IF(OR($D44&lt;&gt;"Serviço",AND(AUTOEVENTO="Manual",$M44=$A$15)),0,
         IF(OFFSET(CRONOPLE!$F$15,$M44-$A$15,BN$13)=0,10^12,OFFSET(CRONOPLE!$F$15,$M44-$A$15,BN$13)))</f>
        <v>4</v>
      </c>
      <c r="BO44" s="171">
        <f ca="1">IF(OR($D44&lt;&gt;"Serviço",AND(AUTOEVENTO="Manual",$M44=$A$15)),0,
         IF(OFFSET(CRONOPLE!$F$15,$M44-$A$15,BO$13)=0,10^12,OFFSET(CRONOPLE!$F$15,$M44-$A$15,BO$13)))</f>
        <v>1000000000000</v>
      </c>
      <c r="BP44" s="171">
        <f ca="1">IF(OR($D44&lt;&gt;"Serviço",AND(AUTOEVENTO="Manual",$M44=$A$15)),0,
         IF(OFFSET(CRONOPLE!$F$15,$M44-$A$15,BP$13)=0,10^12,OFFSET(CRONOPLE!$F$15,$M44-$A$15,BP$13)))</f>
        <v>1000000000000</v>
      </c>
      <c r="BQ44" s="171">
        <f ca="1">IF(OR($D44&lt;&gt;"Serviço",AND(AUTOEVENTO="Manual",$M44=$A$15)),0,
         IF(OFFSET(CRONOPLE!$F$15,$M44-$A$15,BQ$13)=0,10^12,OFFSET(CRONOPLE!$F$15,$M44-$A$15,BQ$13)))</f>
        <v>1000000000000</v>
      </c>
      <c r="BR44" s="171">
        <f ca="1">IF(OR($D44&lt;&gt;"Serviço",AND(AUTOEVENTO="Manual",$M44=$A$15)),0,
         IF(OFFSET(CRONOPLE!$F$15,$M44-$A$15,BR$13)=0,10^12,OFFSET(CRONOPLE!$F$15,$M44-$A$15,BR$13)))</f>
        <v>1000000000000</v>
      </c>
      <c r="BS44" s="171">
        <f ca="1">IF(OR($D44&lt;&gt;"Serviço",AND(AUTOEVENTO="Manual",$M44=$A$15)),0,
         IF(OFFSET(CRONOPLE!$F$15,$M44-$A$15,BS$13)=0,10^12,OFFSET(CRONOPLE!$F$15,$M44-$A$15,BS$13)))</f>
        <v>1000000000000</v>
      </c>
      <c r="BT44" s="171">
        <f ca="1">IF(OR($D44&lt;&gt;"Serviço",AND(AUTOEVENTO="Manual",$M44=$A$15)),0,
         IF(OFFSET(CRONOPLE!$F$15,$M44-$A$15,BT$13)=0,10^12,OFFSET(CRONOPLE!$F$15,$M44-$A$15,BT$13)))</f>
        <v>1000000000000</v>
      </c>
      <c r="BV44" s="172">
        <f ca="1">IF(OR($D44&lt;&gt;"Serviço",AND(AUTOEVENTO="Manual",$M44=$A$15),$M44&gt;(ROW(PLE.lastrow)-ROW(PLE.firstrow))),0,
           IF(OFFSET(PLE!$G$15,$M44-$A$15,BV$13)="",10^12,OFFSET(PLE!$G$15,$M44-$A$15,BV$13)))</f>
        <v>1000000000000</v>
      </c>
      <c r="BW44" s="172">
        <f ca="1">IF(OR($D44&lt;&gt;"Serviço",AND(AUTOEVENTO="Manual",$M44=$A$15),$M44&gt;(ROW(PLE.lastrow)-ROW(PLE.firstrow))),0,
           IF(OFFSET(PLE!$G$15,$M44-$A$15,BW$13)="",10^12,OFFSET(PLE!$G$15,$M44-$A$15,BW$13)))</f>
        <v>1000000000000</v>
      </c>
      <c r="BX44" s="172">
        <f ca="1">IF(OR($D44&lt;&gt;"Serviço",AND(AUTOEVENTO="Manual",$M44=$A$15),$M44&gt;(ROW(PLE.lastrow)-ROW(PLE.firstrow))),0,
           IF(OFFSET(PLE!$G$15,$M44-$A$15,BX$13)="",10^12,OFFSET(PLE!$G$15,$M44-$A$15,BX$13)))</f>
        <v>1000000000000</v>
      </c>
      <c r="BY44" s="172">
        <f ca="1">IF(OR($D44&lt;&gt;"Serviço",AND(AUTOEVENTO="Manual",$M44=$A$15),$M44&gt;(ROW(PLE.lastrow)-ROW(PLE.firstrow))),0,
           IF(OFFSET(PLE!$G$15,$M44-$A$15,BY$13)="",10^12,OFFSET(PLE!$G$15,$M44-$A$15,BY$13)))</f>
        <v>1000000000000</v>
      </c>
      <c r="BZ44" s="172">
        <f ca="1">IF(OR($D44&lt;&gt;"Serviço",AND(AUTOEVENTO="Manual",$M44=$A$15),$M44&gt;(ROW(PLE.lastrow)-ROW(PLE.firstrow))),0,
           IF(OFFSET(PLE!$G$15,$M44-$A$15,BZ$13)="",10^12,OFFSET(PLE!$G$15,$M44-$A$15,BZ$13)))</f>
        <v>1000000000000</v>
      </c>
      <c r="CA44" s="172">
        <f ca="1">IF(OR($D44&lt;&gt;"Serviço",AND(AUTOEVENTO="Manual",$M44=$A$15),$M44&gt;(ROW(PLE.lastrow)-ROW(PLE.firstrow))),0,
           IF(OFFSET(PLE!$G$15,$M44-$A$15,CA$13)="",10^12,OFFSET(PLE!$G$15,$M44-$A$15,CA$13)))</f>
        <v>1000000000000</v>
      </c>
      <c r="CB44" s="172">
        <f ca="1">IF(OR($D44&lt;&gt;"Serviço",AND(AUTOEVENTO="Manual",$M44=$A$15),$M44&gt;(ROW(PLE.lastrow)-ROW(PLE.firstrow))),0,
           IF(OFFSET(PLE!$G$15,$M44-$A$15,CB$13)="",10^12,OFFSET(PLE!$G$15,$M44-$A$15,CB$13)))</f>
        <v>1000000000000</v>
      </c>
      <c r="CC44" s="172">
        <f ca="1">IF(OR($D44&lt;&gt;"Serviço",AND(AUTOEVENTO="Manual",$M44=$A$15),$M44&gt;(ROW(PLE.lastrow)-ROW(PLE.firstrow))),0,
           IF(OFFSET(PLE!$G$15,$M44-$A$15,CC$13)="",10^12,OFFSET(PLE!$G$15,$M44-$A$15,CC$13)))</f>
        <v>1000000000000</v>
      </c>
      <c r="CD44" s="172">
        <f ca="1">IF(OR($D44&lt;&gt;"Serviço",AND(AUTOEVENTO="Manual",$M44=$A$15),$M44&gt;(ROW(PLE.lastrow)-ROW(PLE.firstrow))),0,
           IF(OFFSET(PLE!$G$15,$M44-$A$15,CD$13)="",10^12,OFFSET(PLE!$G$15,$M44-$A$15,CD$13)))</f>
        <v>1000000000000</v>
      </c>
      <c r="CE44" s="172">
        <f ca="1">IF(OR($D44&lt;&gt;"Serviço",AND(AUTOEVENTO="Manual",$M44=$A$15),$M44&gt;(ROW(PLE.lastrow)-ROW(PLE.firstrow))),0,
           IF(OFFSET(PLE!$G$15,$M44-$A$15,CE$13)="",10^12,OFFSET(PLE!$G$15,$M44-$A$15,CE$13)))</f>
        <v>1000000000000</v>
      </c>
      <c r="CF44" s="172">
        <f ca="1">IF(OR($D44&lt;&gt;"Serviço",AND(AUTOEVENTO="Manual",$M44=$A$15),$M44&gt;(ROW(PLE.lastrow)-ROW(PLE.firstrow))),0,
           IF(OFFSET(PLE!$G$15,$M44-$A$15,CF$13)="",10^12,OFFSET(PLE!$G$15,$M44-$A$15,CF$13)))</f>
        <v>1000000000000</v>
      </c>
      <c r="CG44" s="172">
        <f ca="1">IF(OR($D44&lt;&gt;"Serviço",AND(AUTOEVENTO="Manual",$M44=$A$15),$M44&gt;(ROW(PLE.lastrow)-ROW(PLE.firstrow))),0,
           IF(OFFSET(PLE!$G$15,$M44-$A$15,CG$13)="",10^12,OFFSET(PLE!$G$15,$M44-$A$15,CG$13)))</f>
        <v>1000000000000</v>
      </c>
      <c r="CH44" s="172">
        <f ca="1">IF(OR($D44&lt;&gt;"Serviço",AND(AUTOEVENTO="Manual",$M44=$A$15),$M44&gt;(ROW(PLE.lastrow)-ROW(PLE.firstrow))),0,
           IF(OFFSET(PLE!$G$15,$M44-$A$15,CH$13)="",10^12,OFFSET(PLE!$G$15,$M44-$A$15,CH$13)))</f>
        <v>1000000000000</v>
      </c>
      <c r="CI44" s="172">
        <f ca="1">IF(OR($D44&lt;&gt;"Serviço",AND(AUTOEVENTO="Manual",$M44=$A$15),$M44&gt;(ROW(PLE.lastrow)-ROW(PLE.firstrow))),0,
           IF(OFFSET(PLE!$G$15,$M44-$A$15,CI$13)="",10^12,OFFSET(PLE!$G$15,$M44-$A$15,CI$13)))</f>
        <v>1000000000000</v>
      </c>
      <c r="CJ44" s="172">
        <f ca="1">IF(OR($D44&lt;&gt;"Serviço",AND(AUTOEVENTO="Manual",$M44=$A$15),$M44&gt;(ROW(PLE.lastrow)-ROW(PLE.firstrow))),0,
           IF(OFFSET(PLE!$G$15,$M44-$A$15,CJ$13)="",10^12,OFFSET(PLE!$G$15,$M44-$A$15,CJ$13)))</f>
        <v>1000000000000</v>
      </c>
      <c r="CK44" s="172">
        <f ca="1">IF(OR($D44&lt;&gt;"Serviço",AND(AUTOEVENTO="Manual",$M44=$A$15),$M44&gt;(ROW(PLE.lastrow)-ROW(PLE.firstrow))),0,
           IF(OFFSET(PLE!$G$15,$M44-$A$15,CK$13)="",10^12,OFFSET(PLE!$G$15,$M44-$A$15,CK$13)))</f>
        <v>1000000000000</v>
      </c>
      <c r="CL44" s="172">
        <f ca="1">IF(OR($D44&lt;&gt;"Serviço",AND(AUTOEVENTO="Manual",$M44=$A$15),$M44&gt;(ROW(PLE.lastrow)-ROW(PLE.firstrow))),0,
           IF(OFFSET(PLE!$G$15,$M44-$A$15,CL$13)="",10^12,OFFSET(PLE!$G$15,$M44-$A$15,CL$13)))</f>
        <v>1000000000000</v>
      </c>
      <c r="CM44" s="172">
        <f ca="1">IF(OR($D44&lt;&gt;"Serviço",AND(AUTOEVENTO="Manual",$M44=$A$15),$M44&gt;(ROW(PLE.lastrow)-ROW(PLE.firstrow))),0,
           IF(OFFSET(PLE!$G$15,$M44-$A$15,CM$13)="",10^12,OFFSET(PLE!$G$15,$M44-$A$15,CM$13)))</f>
        <v>1000000000000</v>
      </c>
    </row>
    <row r="45" spans="1:91" ht="79.2" x14ac:dyDescent="0.25">
      <c r="A45" s="7" t="str">
        <f t="shared" ca="1" si="11"/>
        <v>26</v>
      </c>
      <c r="B45" s="7" t="str">
        <f ca="1">OFFSET(ORÇAMENTO!C$15,ROW(B45)-ROW(B$15),0)</f>
        <v>S</v>
      </c>
      <c r="C45" s="7" t="str">
        <f ca="1">OFFSET(ORÇAMENTO!L$15,ROW(C45)-ROW(C$15),0)</f>
        <v>F</v>
      </c>
      <c r="D45" s="116" t="str">
        <f ca="1">OFFSET(ORÇAMENTO!N$15,ROW(D45)-ROW(D$15),0)</f>
        <v>Serviço</v>
      </c>
      <c r="E45" s="117" t="str">
        <f ca="1">OFFSET(ORÇAMENTO!O$15,ROW(E45)-ROW(E$15),0)</f>
        <v>1.5.4.</v>
      </c>
      <c r="F45" s="163" t="str">
        <f ca="1">OFFSET(ORÇAMENTO!R$15,ROW(F45)-ROW(F$15),0)</f>
        <v>EXECUÇÃO DE FAIXA ELEVADA PARA TRAVESSIA DE PEDESTRES COM APLICAÇÃO DE CONCRETO ASFÁLTICO, PADRÃO DNIT FAIXA C, APLICADO COM VIBROACABADORA. COM TUBULAÇÃO DE DRENAGEM JUNTO A SARJETA. DIMENSÕES DA PLATAFORMA: LARG.: 6,50 M, COMP.: 5 M, ALT.: 10 CM. DIMENSÕES DA RAMPA: COMP.: 1,5 M. - EXCLUSIVE CAP</v>
      </c>
      <c r="G45" s="164" t="str">
        <f ca="1">IF($D45&lt;&gt;"Serviço","",OFFSET(ORÇAMENTO!S$15,ROW(G45)-ROW(G$15),0))</f>
        <v>UN</v>
      </c>
      <c r="H45" s="122" cm="1">
        <f t="array" aca="1" ref="H45" ca="1">IF($D45&lt;&gt;"Serviço",0,IF(ACOMPANHAMENTO="BM",ROUND(OFFSET(ORÇAMENTO!AJ$15,ROW(H45)-ROW(H$15),0),15-13*ORÇAMENTO!$AF$7),SUMPRODUCT(($Q$1:$AI$1=1)*ROUND($Q45:$AI45,15-13*ORÇAMENTO!$AF$7))))</f>
        <v>2</v>
      </c>
      <c r="I45" s="468"/>
      <c r="J45" s="651" t="e" cm="1">
        <f t="array" aca="1" ref="J45" ca="1">IF(OR(B45&lt;&gt;"S",CÁLCULO.FrentesPreenchidas=0),"",IF(AND(ACOMPANHAMENTO="PLE",AUTOEVENTO="Manual",OR(H45&gt;0,ORÇAMENTO!AC45="QUANT."),OR(K45="",M45=0,N45="")),"►E",IF(AND(ACOMPANHAMENTO="PLE",ORÇAMENTO!AC45="QUANT."),"►Q",IF(AND(ACOMPANHAMENTO="PLE",H45&lt;&gt;SUMPRODUCT(($Q$1:$AI$1=1)*ROUND(Q45:AI45,15))),"►S",IF(AND(COUNTIF($P$11:$AI$11,"▼")=0,H45&gt;0,I45=""),"◄M","")))))</f>
        <v>#NAME?</v>
      </c>
      <c r="K45" s="652"/>
      <c r="L45" s="165" t="s">
        <v>764</v>
      </c>
      <c r="M45" s="166">
        <f ca="1">IF($D45&lt;&gt;"Serviço","",
          IF(AUTOEVENTO="manual",$A45,
                IF(ISERROR(MATCH($A45,$A$15:OFFSET($A45,-1,0),0)),MAX($M$15:OFFSET(M45,-1,0))+1,
                      INDEX($M$15:OFFSET(M45,-1,0),MATCH($A45,$A$15:OFFSET($A45,-1,0),0)))))</f>
        <v>5</v>
      </c>
      <c r="N45" s="167" t="str">
        <f ca="1">IF($D45&lt;&gt;"Serviço","",
         IF(AUTOEVENTO="Manual",
                IF($A45=0,"&lt;-- defina o número do agrupador",
                       OFFSET(EVENTOS!$D$15,$A45-$A$15,0)),
                OFFSET($F$15,$A45,0)))</f>
        <v xml:space="preserve">FAIXAS ELEVADAS </v>
      </c>
      <c r="O45" s="168"/>
      <c r="Q45" s="168"/>
      <c r="R45" s="169"/>
      <c r="S45" s="169">
        <v>2</v>
      </c>
      <c r="T45" s="169"/>
      <c r="U45" s="169"/>
      <c r="V45" s="169"/>
      <c r="W45" s="169"/>
      <c r="X45" s="169"/>
      <c r="Y45" s="169"/>
      <c r="Z45" s="170"/>
      <c r="AA45" s="169"/>
      <c r="AB45" s="169"/>
      <c r="AC45" s="169"/>
      <c r="AD45" s="169"/>
      <c r="AE45" s="169"/>
      <c r="AF45" s="169"/>
      <c r="AG45" s="169"/>
      <c r="AH45" s="170"/>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L45" s="453">
        <f ca="1">IF(AND($D45="Serviço",AL$12&lt;&gt;0,$H45&gt;0,OR(AUTOEVENTO&lt;&gt;"manual",$M45&lt;&gt;$A$15)),
        IF(Import.TipoArredondamento&lt;&gt;"TransfereGOV",
              ROUND(OFFSET($P45,0,AL$13),15-13*ORÇAMENTO!$AF$7)/$H45*OFFSET(ORÇAMENTO!$X$15,ROW(AL45)-ROW(AL$15),0),
              ROUND(ROUND(OFFSET($P45,0,AL$13),15-13*ORÇAMENTO!$AF$7)*OFFSET(ORÇAMENTO!$W$15,ROW(AL45)-ROW(AL$15),0),15-13*ORÇAMENTO!$AF$11)),
         0)</f>
        <v>10892.32</v>
      </c>
      <c r="AM45" s="453">
        <f ca="1">IF(AND($D45="Serviço",AM$12&lt;&gt;0,$H45&gt;0,OR(AUTOEVENTO&lt;&gt;"manual",$M45&lt;&gt;$A$15)),
        IF(Import.TipoArredondamento&lt;&gt;"TransfereGOV",
              ROUND(OFFSET($P45,0,AM$13),15-13*ORÇAMENTO!$AF$7)/$H45*OFFSET(ORÇAMENTO!$X$15,ROW(AM45)-ROW(AM$15),0),
              ROUND(ROUND(OFFSET($P45,0,AM$13),15-13*ORÇAMENTO!$AF$7)*OFFSET(ORÇAMENTO!$W$15,ROW(AM45)-ROW(AM$15),0),15-13*ORÇAMENTO!$AF$11)),
         0)</f>
        <v>0</v>
      </c>
      <c r="AN45" s="453">
        <f ca="1">IF(AND($D45="Serviço",AN$12&lt;&gt;0,$H45&gt;0,OR(AUTOEVENTO&lt;&gt;"manual",$M45&lt;&gt;$A$15)),
        IF(Import.TipoArredondamento&lt;&gt;"TransfereGOV",
              ROUND(OFFSET($P45,0,AN$13),15-13*ORÇAMENTO!$AF$7)/$H45*OFFSET(ORÇAMENTO!$X$15,ROW(AN45)-ROW(AN$15),0),
              ROUND(ROUND(OFFSET($P45,0,AN$13),15-13*ORÇAMENTO!$AF$7)*OFFSET(ORÇAMENTO!$W$15,ROW(AN45)-ROW(AN$15),0),15-13*ORÇAMENTO!$AF$11)),
         0)</f>
        <v>0</v>
      </c>
      <c r="AO45" s="453">
        <f ca="1">IF(AND($D45="Serviço",AO$12&lt;&gt;0,$H45&gt;0,OR(AUTOEVENTO&lt;&gt;"manual",$M45&lt;&gt;$A$15)),
        IF(Import.TipoArredondamento&lt;&gt;"TransfereGOV",
              ROUND(OFFSET($P45,0,AO$13),15-13*ORÇAMENTO!$AF$7)/$H45*OFFSET(ORÇAMENTO!$X$15,ROW(AO45)-ROW(AO$15),0),
              ROUND(ROUND(OFFSET($P45,0,AO$13),15-13*ORÇAMENTO!$AF$7)*OFFSET(ORÇAMENTO!$W$15,ROW(AO45)-ROW(AO$15),0),15-13*ORÇAMENTO!$AF$11)),
         0)</f>
        <v>0</v>
      </c>
      <c r="AP45" s="453">
        <f ca="1">IF(AND($D45="Serviço",AP$12&lt;&gt;0,$H45&gt;0,OR(AUTOEVENTO&lt;&gt;"manual",$M45&lt;&gt;$A$15)),
        IF(Import.TipoArredondamento&lt;&gt;"TransfereGOV",
              ROUND(OFFSET($P45,0,AP$13),15-13*ORÇAMENTO!$AF$7)/$H45*OFFSET(ORÇAMENTO!$X$15,ROW(AP45)-ROW(AP$15),0),
              ROUND(ROUND(OFFSET($P45,0,AP$13),15-13*ORÇAMENTO!$AF$7)*OFFSET(ORÇAMENTO!$W$15,ROW(AP45)-ROW(AP$15),0),15-13*ORÇAMENTO!$AF$11)),
         0)</f>
        <v>0</v>
      </c>
      <c r="AQ45" s="453">
        <f ca="1">IF(AND($D45="Serviço",AQ$12&lt;&gt;0,$H45&gt;0,OR(AUTOEVENTO&lt;&gt;"manual",$M45&lt;&gt;$A$15)),
        IF(Import.TipoArredondamento&lt;&gt;"TransfereGOV",
              ROUND(OFFSET($P45,0,AQ$13),15-13*ORÇAMENTO!$AF$7)/$H45*OFFSET(ORÇAMENTO!$X$15,ROW(AQ45)-ROW(AQ$15),0),
              ROUND(ROUND(OFFSET($P45,0,AQ$13),15-13*ORÇAMENTO!$AF$7)*OFFSET(ORÇAMENTO!$W$15,ROW(AQ45)-ROW(AQ$15),0),15-13*ORÇAMENTO!$AF$11)),
         0)</f>
        <v>0</v>
      </c>
      <c r="AR45" s="453">
        <f ca="1">IF(AND($D45="Serviço",AR$12&lt;&gt;0,$H45&gt;0,OR(AUTOEVENTO&lt;&gt;"manual",$M45&lt;&gt;$A$15)),
        IF(Import.TipoArredondamento&lt;&gt;"TransfereGOV",
              ROUND(OFFSET($P45,0,AR$13),15-13*ORÇAMENTO!$AF$7)/$H45*OFFSET(ORÇAMENTO!$X$15,ROW(AR45)-ROW(AR$15),0),
              ROUND(ROUND(OFFSET($P45,0,AR$13),15-13*ORÇAMENTO!$AF$7)*OFFSET(ORÇAMENTO!$W$15,ROW(AR45)-ROW(AR$15),0),15-13*ORÇAMENTO!$AF$11)),
         0)</f>
        <v>0</v>
      </c>
      <c r="AS45" s="453">
        <f ca="1">IF(AND($D45="Serviço",AS$12&lt;&gt;0,$H45&gt;0,OR(AUTOEVENTO&lt;&gt;"manual",$M45&lt;&gt;$A$15)),
        IF(Import.TipoArredondamento&lt;&gt;"TransfereGOV",
              ROUND(OFFSET($P45,0,AS$13),15-13*ORÇAMENTO!$AF$7)/$H45*OFFSET(ORÇAMENTO!$X$15,ROW(AS45)-ROW(AS$15),0),
              ROUND(ROUND(OFFSET($P45,0,AS$13),15-13*ORÇAMENTO!$AF$7)*OFFSET(ORÇAMENTO!$W$15,ROW(AS45)-ROW(AS$15),0),15-13*ORÇAMENTO!$AF$11)),
         0)</f>
        <v>0</v>
      </c>
      <c r="AT45" s="453">
        <f ca="1">IF(AND($D45="Serviço",AT$12&lt;&gt;0,$H45&gt;0,OR(AUTOEVENTO&lt;&gt;"manual",$M45&lt;&gt;$A$15)),
        IF(Import.TipoArredondamento&lt;&gt;"TransfereGOV",
              ROUND(OFFSET($P45,0,AT$13),15-13*ORÇAMENTO!$AF$7)/$H45*OFFSET(ORÇAMENTO!$X$15,ROW(AT45)-ROW(AT$15),0),
              ROUND(ROUND(OFFSET($P45,0,AT$13),15-13*ORÇAMENTO!$AF$7)*OFFSET(ORÇAMENTO!$W$15,ROW(AT45)-ROW(AT$15),0),15-13*ORÇAMENTO!$AF$11)),
         0)</f>
        <v>0</v>
      </c>
      <c r="AU45" s="453">
        <f ca="1">IF(AND($D45="Serviço",AU$12&lt;&gt;0,$H45&gt;0,OR(AUTOEVENTO&lt;&gt;"manual",$M45&lt;&gt;$A$15)),
        IF(Import.TipoArredondamento&lt;&gt;"TransfereGOV",
              ROUND(OFFSET($P45,0,AU$13),15-13*ORÇAMENTO!$AF$7)/$H45*OFFSET(ORÇAMENTO!$X$15,ROW(AU45)-ROW(AU$15),0),
              ROUND(ROUND(OFFSET($P45,0,AU$13),15-13*ORÇAMENTO!$AF$7)*OFFSET(ORÇAMENTO!$W$15,ROW(AU45)-ROW(AU$15),0),15-13*ORÇAMENTO!$AF$11)),
         0)</f>
        <v>0</v>
      </c>
      <c r="AV45" s="453">
        <f ca="1">IF(AND($D45="Serviço",AV$12&lt;&gt;0,$H45&gt;0,OR(AUTOEVENTO&lt;&gt;"manual",$M45&lt;&gt;$A$15)),
        IF(Import.TipoArredondamento&lt;&gt;"TransfereGOV",
              ROUND(OFFSET($P45,0,AV$13),15-13*ORÇAMENTO!$AF$7)/$H45*OFFSET(ORÇAMENTO!$X$15,ROW(AV45)-ROW(AV$15),0),
              ROUND(ROUND(OFFSET($P45,0,AV$13),15-13*ORÇAMENTO!$AF$7)*OFFSET(ORÇAMENTO!$W$15,ROW(AV45)-ROW(AV$15),0),15-13*ORÇAMENTO!$AF$11)),
         0)</f>
        <v>0</v>
      </c>
      <c r="AW45" s="453">
        <f ca="1">IF(AND($D45="Serviço",AW$12&lt;&gt;0,$H45&gt;0,OR(AUTOEVENTO&lt;&gt;"manual",$M45&lt;&gt;$A$15)),
        IF(Import.TipoArredondamento&lt;&gt;"TransfereGOV",
              ROUND(OFFSET($P45,0,AW$13),15-13*ORÇAMENTO!$AF$7)/$H45*OFFSET(ORÇAMENTO!$X$15,ROW(AW45)-ROW(AW$15),0),
              ROUND(ROUND(OFFSET($P45,0,AW$13),15-13*ORÇAMENTO!$AF$7)*OFFSET(ORÇAMENTO!$W$15,ROW(AW45)-ROW(AW$15),0),15-13*ORÇAMENTO!$AF$11)),
         0)</f>
        <v>0</v>
      </c>
      <c r="AX45" s="453">
        <f ca="1">IF(AND($D45="Serviço",AX$12&lt;&gt;0,$H45&gt;0,OR(AUTOEVENTO&lt;&gt;"manual",$M45&lt;&gt;$A$15)),
        IF(Import.TipoArredondamento&lt;&gt;"TransfereGOV",
              ROUND(OFFSET($P45,0,AX$13),15-13*ORÇAMENTO!$AF$7)/$H45*OFFSET(ORÇAMENTO!$X$15,ROW(AX45)-ROW(AX$15),0),
              ROUND(ROUND(OFFSET($P45,0,AX$13),15-13*ORÇAMENTO!$AF$7)*OFFSET(ORÇAMENTO!$W$15,ROW(AX45)-ROW(AX$15),0),15-13*ORÇAMENTO!$AF$11)),
         0)</f>
        <v>0</v>
      </c>
      <c r="AY45" s="453">
        <f ca="1">IF(AND($D45="Serviço",AY$12&lt;&gt;0,$H45&gt;0,OR(AUTOEVENTO&lt;&gt;"manual",$M45&lt;&gt;$A$15)),
        IF(Import.TipoArredondamento&lt;&gt;"TransfereGOV",
              ROUND(OFFSET($P45,0,AY$13),15-13*ORÇAMENTO!$AF$7)/$H45*OFFSET(ORÇAMENTO!$X$15,ROW(AY45)-ROW(AY$15),0),
              ROUND(ROUND(OFFSET($P45,0,AY$13),15-13*ORÇAMENTO!$AF$7)*OFFSET(ORÇAMENTO!$W$15,ROW(AY45)-ROW(AY$15),0),15-13*ORÇAMENTO!$AF$11)),
         0)</f>
        <v>0</v>
      </c>
      <c r="AZ45" s="453">
        <f ca="1">IF(AND($D45="Serviço",AZ$12&lt;&gt;0,$H45&gt;0,OR(AUTOEVENTO&lt;&gt;"manual",$M45&lt;&gt;$A$15)),
        IF(Import.TipoArredondamento&lt;&gt;"TransfereGOV",
              ROUND(OFFSET($P45,0,AZ$13),15-13*ORÇAMENTO!$AF$7)/$H45*OFFSET(ORÇAMENTO!$X$15,ROW(AZ45)-ROW(AZ$15),0),
              ROUND(ROUND(OFFSET($P45,0,AZ$13),15-13*ORÇAMENTO!$AF$7)*OFFSET(ORÇAMENTO!$W$15,ROW(AZ45)-ROW(AZ$15),0),15-13*ORÇAMENTO!$AF$11)),
         0)</f>
        <v>0</v>
      </c>
      <c r="BA45" s="453">
        <f ca="1">IF(AND($D45="Serviço",BA$12&lt;&gt;0,$H45&gt;0,OR(AUTOEVENTO&lt;&gt;"manual",$M45&lt;&gt;$A$15)),
        IF(Import.TipoArredondamento&lt;&gt;"TransfereGOV",
              ROUND(OFFSET($P45,0,BA$13),15-13*ORÇAMENTO!$AF$7)/$H45*OFFSET(ORÇAMENTO!$X$15,ROW(BA45)-ROW(BA$15),0),
              ROUND(ROUND(OFFSET($P45,0,BA$13),15-13*ORÇAMENTO!$AF$7)*OFFSET(ORÇAMENTO!$W$15,ROW(BA45)-ROW(BA$15),0),15-13*ORÇAMENTO!$AF$11)),
         0)</f>
        <v>0</v>
      </c>
      <c r="BC45" s="171">
        <f ca="1">IF(OR($D45&lt;&gt;"Serviço",AND(AUTOEVENTO="Manual",$M45=$A$15)),0,
         IF(OFFSET(CRONOPLE!$F$15,$M45-$A$15,BC$13)=0,10^12,OFFSET(CRONOPLE!$F$15,$M45-$A$15,BC$13)))</f>
        <v>1000000000000</v>
      </c>
      <c r="BD45" s="171">
        <f ca="1">IF(OR($D45&lt;&gt;"Serviço",AND(AUTOEVENTO="Manual",$M45=$A$15)),0,
         IF(OFFSET(CRONOPLE!$F$15,$M45-$A$15,BD$13)=0,10^12,OFFSET(CRONOPLE!$F$15,$M45-$A$15,BD$13)))</f>
        <v>1000000000000</v>
      </c>
      <c r="BE45" s="171">
        <f ca="1">IF(OR($D45&lt;&gt;"Serviço",AND(AUTOEVENTO="Manual",$M45=$A$15)),0,
         IF(OFFSET(CRONOPLE!$F$15,$M45-$A$15,BE$13)=0,10^12,OFFSET(CRONOPLE!$F$15,$M45-$A$15,BE$13)))</f>
        <v>2</v>
      </c>
      <c r="BF45" s="171">
        <f ca="1">IF(OR($D45&lt;&gt;"Serviço",AND(AUTOEVENTO="Manual",$M45=$A$15)),0,
         IF(OFFSET(CRONOPLE!$F$15,$M45-$A$15,BF$13)=0,10^12,OFFSET(CRONOPLE!$F$15,$M45-$A$15,BF$13)))</f>
        <v>1000000000000</v>
      </c>
      <c r="BG45" s="171">
        <f ca="1">IF(OR($D45&lt;&gt;"Serviço",AND(AUTOEVENTO="Manual",$M45=$A$15)),0,
         IF(OFFSET(CRONOPLE!$F$15,$M45-$A$15,BG$13)=0,10^12,OFFSET(CRONOPLE!$F$15,$M45-$A$15,BG$13)))</f>
        <v>1000000000000</v>
      </c>
      <c r="BH45" s="171">
        <f ca="1">IF(OR($D45&lt;&gt;"Serviço",AND(AUTOEVENTO="Manual",$M45=$A$15)),0,
         IF(OFFSET(CRONOPLE!$F$15,$M45-$A$15,BH$13)=0,10^12,OFFSET(CRONOPLE!$F$15,$M45-$A$15,BH$13)))</f>
        <v>1000000000000</v>
      </c>
      <c r="BI45" s="171">
        <f ca="1">IF(OR($D45&lt;&gt;"Serviço",AND(AUTOEVENTO="Manual",$M45=$A$15)),0,
         IF(OFFSET(CRONOPLE!$F$15,$M45-$A$15,BI$13)=0,10^12,OFFSET(CRONOPLE!$F$15,$M45-$A$15,BI$13)))</f>
        <v>1000000000000</v>
      </c>
      <c r="BJ45" s="171">
        <f ca="1">IF(OR($D45&lt;&gt;"Serviço",AND(AUTOEVENTO="Manual",$M45=$A$15)),0,
         IF(OFFSET(CRONOPLE!$F$15,$M45-$A$15,BJ$13)=0,10^12,OFFSET(CRONOPLE!$F$15,$M45-$A$15,BJ$13)))</f>
        <v>1000000000000</v>
      </c>
      <c r="BK45" s="171">
        <f ca="1">IF(OR($D45&lt;&gt;"Serviço",AND(AUTOEVENTO="Manual",$M45=$A$15)),0,
         IF(OFFSET(CRONOPLE!$F$15,$M45-$A$15,BK$13)=0,10^12,OFFSET(CRONOPLE!$F$15,$M45-$A$15,BK$13)))</f>
        <v>1000000000000</v>
      </c>
      <c r="BL45" s="171">
        <f ca="1">IF(OR($D45&lt;&gt;"Serviço",AND(AUTOEVENTO="Manual",$M45=$A$15)),0,
         IF(OFFSET(CRONOPLE!$F$15,$M45-$A$15,BL$13)=0,10^12,OFFSET(CRONOPLE!$F$15,$M45-$A$15,BL$13)))</f>
        <v>1000000000000</v>
      </c>
      <c r="BM45" s="171">
        <f ca="1">IF(OR($D45&lt;&gt;"Serviço",AND(AUTOEVENTO="Manual",$M45=$A$15)),0,
         IF(OFFSET(CRONOPLE!$F$15,$M45-$A$15,BM$13)=0,10^12,OFFSET(CRONOPLE!$F$15,$M45-$A$15,BM$13)))</f>
        <v>1000000000000</v>
      </c>
      <c r="BN45" s="171">
        <f ca="1">IF(OR($D45&lt;&gt;"Serviço",AND(AUTOEVENTO="Manual",$M45=$A$15)),0,
         IF(OFFSET(CRONOPLE!$F$15,$M45-$A$15,BN$13)=0,10^12,OFFSET(CRONOPLE!$F$15,$M45-$A$15,BN$13)))</f>
        <v>4</v>
      </c>
      <c r="BO45" s="171">
        <f ca="1">IF(OR($D45&lt;&gt;"Serviço",AND(AUTOEVENTO="Manual",$M45=$A$15)),0,
         IF(OFFSET(CRONOPLE!$F$15,$M45-$A$15,BO$13)=0,10^12,OFFSET(CRONOPLE!$F$15,$M45-$A$15,BO$13)))</f>
        <v>1000000000000</v>
      </c>
      <c r="BP45" s="171">
        <f ca="1">IF(OR($D45&lt;&gt;"Serviço",AND(AUTOEVENTO="Manual",$M45=$A$15)),0,
         IF(OFFSET(CRONOPLE!$F$15,$M45-$A$15,BP$13)=0,10^12,OFFSET(CRONOPLE!$F$15,$M45-$A$15,BP$13)))</f>
        <v>1000000000000</v>
      </c>
      <c r="BQ45" s="171">
        <f ca="1">IF(OR($D45&lt;&gt;"Serviço",AND(AUTOEVENTO="Manual",$M45=$A$15)),0,
         IF(OFFSET(CRONOPLE!$F$15,$M45-$A$15,BQ$13)=0,10^12,OFFSET(CRONOPLE!$F$15,$M45-$A$15,BQ$13)))</f>
        <v>1000000000000</v>
      </c>
      <c r="BR45" s="171">
        <f ca="1">IF(OR($D45&lt;&gt;"Serviço",AND(AUTOEVENTO="Manual",$M45=$A$15)),0,
         IF(OFFSET(CRONOPLE!$F$15,$M45-$A$15,BR$13)=0,10^12,OFFSET(CRONOPLE!$F$15,$M45-$A$15,BR$13)))</f>
        <v>1000000000000</v>
      </c>
      <c r="BS45" s="171">
        <f ca="1">IF(OR($D45&lt;&gt;"Serviço",AND(AUTOEVENTO="Manual",$M45=$A$15)),0,
         IF(OFFSET(CRONOPLE!$F$15,$M45-$A$15,BS$13)=0,10^12,OFFSET(CRONOPLE!$F$15,$M45-$A$15,BS$13)))</f>
        <v>1000000000000</v>
      </c>
      <c r="BT45" s="171">
        <f ca="1">IF(OR($D45&lt;&gt;"Serviço",AND(AUTOEVENTO="Manual",$M45=$A$15)),0,
         IF(OFFSET(CRONOPLE!$F$15,$M45-$A$15,BT$13)=0,10^12,OFFSET(CRONOPLE!$F$15,$M45-$A$15,BT$13)))</f>
        <v>1000000000000</v>
      </c>
      <c r="BV45" s="172">
        <f ca="1">IF(OR($D45&lt;&gt;"Serviço",AND(AUTOEVENTO="Manual",$M45=$A$15),$M45&gt;(ROW(PLE.lastrow)-ROW(PLE.firstrow))),0,
           IF(OFFSET(PLE!$G$15,$M45-$A$15,BV$13)="",10^12,OFFSET(PLE!$G$15,$M45-$A$15,BV$13)))</f>
        <v>1000000000000</v>
      </c>
      <c r="BW45" s="172">
        <f ca="1">IF(OR($D45&lt;&gt;"Serviço",AND(AUTOEVENTO="Manual",$M45=$A$15),$M45&gt;(ROW(PLE.lastrow)-ROW(PLE.firstrow))),0,
           IF(OFFSET(PLE!$G$15,$M45-$A$15,BW$13)="",10^12,OFFSET(PLE!$G$15,$M45-$A$15,BW$13)))</f>
        <v>1000000000000</v>
      </c>
      <c r="BX45" s="172">
        <f ca="1">IF(OR($D45&lt;&gt;"Serviço",AND(AUTOEVENTO="Manual",$M45=$A$15),$M45&gt;(ROW(PLE.lastrow)-ROW(PLE.firstrow))),0,
           IF(OFFSET(PLE!$G$15,$M45-$A$15,BX$13)="",10^12,OFFSET(PLE!$G$15,$M45-$A$15,BX$13)))</f>
        <v>1000000000000</v>
      </c>
      <c r="BY45" s="172">
        <f ca="1">IF(OR($D45&lt;&gt;"Serviço",AND(AUTOEVENTO="Manual",$M45=$A$15),$M45&gt;(ROW(PLE.lastrow)-ROW(PLE.firstrow))),0,
           IF(OFFSET(PLE!$G$15,$M45-$A$15,BY$13)="",10^12,OFFSET(PLE!$G$15,$M45-$A$15,BY$13)))</f>
        <v>1000000000000</v>
      </c>
      <c r="BZ45" s="172">
        <f ca="1">IF(OR($D45&lt;&gt;"Serviço",AND(AUTOEVENTO="Manual",$M45=$A$15),$M45&gt;(ROW(PLE.lastrow)-ROW(PLE.firstrow))),0,
           IF(OFFSET(PLE!$G$15,$M45-$A$15,BZ$13)="",10^12,OFFSET(PLE!$G$15,$M45-$A$15,BZ$13)))</f>
        <v>1000000000000</v>
      </c>
      <c r="CA45" s="172">
        <f ca="1">IF(OR($D45&lt;&gt;"Serviço",AND(AUTOEVENTO="Manual",$M45=$A$15),$M45&gt;(ROW(PLE.lastrow)-ROW(PLE.firstrow))),0,
           IF(OFFSET(PLE!$G$15,$M45-$A$15,CA$13)="",10^12,OFFSET(PLE!$G$15,$M45-$A$15,CA$13)))</f>
        <v>1000000000000</v>
      </c>
      <c r="CB45" s="172">
        <f ca="1">IF(OR($D45&lt;&gt;"Serviço",AND(AUTOEVENTO="Manual",$M45=$A$15),$M45&gt;(ROW(PLE.lastrow)-ROW(PLE.firstrow))),0,
           IF(OFFSET(PLE!$G$15,$M45-$A$15,CB$13)="",10^12,OFFSET(PLE!$G$15,$M45-$A$15,CB$13)))</f>
        <v>1000000000000</v>
      </c>
      <c r="CC45" s="172">
        <f ca="1">IF(OR($D45&lt;&gt;"Serviço",AND(AUTOEVENTO="Manual",$M45=$A$15),$M45&gt;(ROW(PLE.lastrow)-ROW(PLE.firstrow))),0,
           IF(OFFSET(PLE!$G$15,$M45-$A$15,CC$13)="",10^12,OFFSET(PLE!$G$15,$M45-$A$15,CC$13)))</f>
        <v>1000000000000</v>
      </c>
      <c r="CD45" s="172">
        <f ca="1">IF(OR($D45&lt;&gt;"Serviço",AND(AUTOEVENTO="Manual",$M45=$A$15),$M45&gt;(ROW(PLE.lastrow)-ROW(PLE.firstrow))),0,
           IF(OFFSET(PLE!$G$15,$M45-$A$15,CD$13)="",10^12,OFFSET(PLE!$G$15,$M45-$A$15,CD$13)))</f>
        <v>1000000000000</v>
      </c>
      <c r="CE45" s="172">
        <f ca="1">IF(OR($D45&lt;&gt;"Serviço",AND(AUTOEVENTO="Manual",$M45=$A$15),$M45&gt;(ROW(PLE.lastrow)-ROW(PLE.firstrow))),0,
           IF(OFFSET(PLE!$G$15,$M45-$A$15,CE$13)="",10^12,OFFSET(PLE!$G$15,$M45-$A$15,CE$13)))</f>
        <v>1000000000000</v>
      </c>
      <c r="CF45" s="172">
        <f ca="1">IF(OR($D45&lt;&gt;"Serviço",AND(AUTOEVENTO="Manual",$M45=$A$15),$M45&gt;(ROW(PLE.lastrow)-ROW(PLE.firstrow))),0,
           IF(OFFSET(PLE!$G$15,$M45-$A$15,CF$13)="",10^12,OFFSET(PLE!$G$15,$M45-$A$15,CF$13)))</f>
        <v>1000000000000</v>
      </c>
      <c r="CG45" s="172">
        <f ca="1">IF(OR($D45&lt;&gt;"Serviço",AND(AUTOEVENTO="Manual",$M45=$A$15),$M45&gt;(ROW(PLE.lastrow)-ROW(PLE.firstrow))),0,
           IF(OFFSET(PLE!$G$15,$M45-$A$15,CG$13)="",10^12,OFFSET(PLE!$G$15,$M45-$A$15,CG$13)))</f>
        <v>1000000000000</v>
      </c>
      <c r="CH45" s="172">
        <f ca="1">IF(OR($D45&lt;&gt;"Serviço",AND(AUTOEVENTO="Manual",$M45=$A$15),$M45&gt;(ROW(PLE.lastrow)-ROW(PLE.firstrow))),0,
           IF(OFFSET(PLE!$G$15,$M45-$A$15,CH$13)="",10^12,OFFSET(PLE!$G$15,$M45-$A$15,CH$13)))</f>
        <v>1000000000000</v>
      </c>
      <c r="CI45" s="172">
        <f ca="1">IF(OR($D45&lt;&gt;"Serviço",AND(AUTOEVENTO="Manual",$M45=$A$15),$M45&gt;(ROW(PLE.lastrow)-ROW(PLE.firstrow))),0,
           IF(OFFSET(PLE!$G$15,$M45-$A$15,CI$13)="",10^12,OFFSET(PLE!$G$15,$M45-$A$15,CI$13)))</f>
        <v>1000000000000</v>
      </c>
      <c r="CJ45" s="172">
        <f ca="1">IF(OR($D45&lt;&gt;"Serviço",AND(AUTOEVENTO="Manual",$M45=$A$15),$M45&gt;(ROW(PLE.lastrow)-ROW(PLE.firstrow))),0,
           IF(OFFSET(PLE!$G$15,$M45-$A$15,CJ$13)="",10^12,OFFSET(PLE!$G$15,$M45-$A$15,CJ$13)))</f>
        <v>1000000000000</v>
      </c>
      <c r="CK45" s="172">
        <f ca="1">IF(OR($D45&lt;&gt;"Serviço",AND(AUTOEVENTO="Manual",$M45=$A$15),$M45&gt;(ROW(PLE.lastrow)-ROW(PLE.firstrow))),0,
           IF(OFFSET(PLE!$G$15,$M45-$A$15,CK$13)="",10^12,OFFSET(PLE!$G$15,$M45-$A$15,CK$13)))</f>
        <v>1000000000000</v>
      </c>
      <c r="CL45" s="172">
        <f ca="1">IF(OR($D45&lt;&gt;"Serviço",AND(AUTOEVENTO="Manual",$M45=$A$15),$M45&gt;(ROW(PLE.lastrow)-ROW(PLE.firstrow))),0,
           IF(OFFSET(PLE!$G$15,$M45-$A$15,CL$13)="",10^12,OFFSET(PLE!$G$15,$M45-$A$15,CL$13)))</f>
        <v>1000000000000</v>
      </c>
      <c r="CM45" s="172">
        <f ca="1">IF(OR($D45&lt;&gt;"Serviço",AND(AUTOEVENTO="Manual",$M45=$A$15),$M45&gt;(ROW(PLE.lastrow)-ROW(PLE.firstrow))),0,
           IF(OFFSET(PLE!$G$15,$M45-$A$15,CM$13)="",10^12,OFFSET(PLE!$G$15,$M45-$A$15,CM$13)))</f>
        <v>1000000000000</v>
      </c>
    </row>
    <row r="46" spans="1:91" ht="26.4" x14ac:dyDescent="0.25">
      <c r="A46" s="7" t="str">
        <f t="shared" ca="1" si="11"/>
        <v>26</v>
      </c>
      <c r="B46" s="7" t="str">
        <f ca="1">OFFSET(ORÇAMENTO!C$15,ROW(B46)-ROW(B$15),0)</f>
        <v>S</v>
      </c>
      <c r="C46" s="7" t="str">
        <f ca="1">OFFSET(ORÇAMENTO!L$15,ROW(C46)-ROW(C$15),0)</f>
        <v>F</v>
      </c>
      <c r="D46" s="116" t="str">
        <f ca="1">OFFSET(ORÇAMENTO!N$15,ROW(D46)-ROW(D$15),0)</f>
        <v>Serviço</v>
      </c>
      <c r="E46" s="117" t="str">
        <f ca="1">OFFSET(ORÇAMENTO!O$15,ROW(E46)-ROW(E$15),0)</f>
        <v>1.5.5.</v>
      </c>
      <c r="F46" s="163" t="str">
        <f ca="1">OFFSET(ORÇAMENTO!R$15,ROW(F46)-ROW(F$15),0)</f>
        <v>CIMENTO ASFÁLTICO CAP 50-70, COLETADO NA ANP, ACRESCIDO DE IMPOSTOS (ICMS, PIS, CONFINS)</v>
      </c>
      <c r="G46" s="164" t="str">
        <f ca="1">IF($D46&lt;&gt;"Serviço","",OFFSET(ORÇAMENTO!S$15,ROW(G46)-ROW(G$15),0))</f>
        <v>KG</v>
      </c>
      <c r="H46" s="122" cm="1">
        <f t="array" aca="1" ref="H46" ca="1">IF($D46&lt;&gt;"Serviço",0,IF(ACOMPANHAMENTO="BM",ROUND(OFFSET(ORÇAMENTO!AJ$15,ROW(H46)-ROW(H$15),0),15-13*ORÇAMENTO!$AF$7),SUMPRODUCT(($Q$1:$AI$1=1)*ROUND($Q46:$AI46,15-13*ORÇAMENTO!$AF$7))))</f>
        <v>1200.46</v>
      </c>
      <c r="I46" s="468"/>
      <c r="J46" s="651" t="e" cm="1">
        <f t="array" aca="1" ref="J46" ca="1">IF(OR(B46&lt;&gt;"S",CÁLCULO.FrentesPreenchidas=0),"",IF(AND(ACOMPANHAMENTO="PLE",AUTOEVENTO="Manual",OR(H46&gt;0,ORÇAMENTO!AC46="QUANT."),OR(K46="",M46=0,N46="")),"►E",IF(AND(ACOMPANHAMENTO="PLE",ORÇAMENTO!AC46="QUANT."),"►Q",IF(AND(ACOMPANHAMENTO="PLE",H46&lt;&gt;SUMPRODUCT(($Q$1:$AI$1=1)*ROUND(Q46:AI46,15))),"►S",IF(AND(COUNTIF($P$11:$AI$11,"▼")=0,H46&gt;0,I46=""),"◄M","")))))</f>
        <v>#NAME?</v>
      </c>
      <c r="K46" s="652"/>
      <c r="L46" s="165" t="s">
        <v>764</v>
      </c>
      <c r="M46" s="166">
        <f ca="1">IF($D46&lt;&gt;"Serviço","",
          IF(AUTOEVENTO="manual",$A46,
                IF(ISERROR(MATCH($A46,$A$15:OFFSET($A46,-1,0),0)),MAX($M$15:OFFSET(M46,-1,0))+1,
                      INDEX($M$15:OFFSET(M46,-1,0),MATCH($A46,$A$15:OFFSET($A46,-1,0),0)))))</f>
        <v>5</v>
      </c>
      <c r="N46" s="167" t="str">
        <f ca="1">IF($D46&lt;&gt;"Serviço","",
         IF(AUTOEVENTO="Manual",
                IF($A46=0,"&lt;-- defina o número do agrupador",
                       OFFSET(EVENTOS!$D$15,$A46-$A$15,0)),
                OFFSET($F$15,$A46,0)))</f>
        <v xml:space="preserve">FAIXAS ELEVADAS </v>
      </c>
      <c r="O46" s="168"/>
      <c r="Q46" s="168"/>
      <c r="R46" s="169"/>
      <c r="S46" s="169">
        <f>ROUND(4.225*2.51*56.6*2,2)</f>
        <v>1200.46</v>
      </c>
      <c r="T46" s="169"/>
      <c r="U46" s="169"/>
      <c r="V46" s="169"/>
      <c r="W46" s="169"/>
      <c r="X46" s="169"/>
      <c r="Y46" s="169"/>
      <c r="Z46" s="170"/>
      <c r="AA46" s="169"/>
      <c r="AB46" s="169"/>
      <c r="AC46" s="169"/>
      <c r="AD46" s="169"/>
      <c r="AE46" s="169"/>
      <c r="AF46" s="169"/>
      <c r="AG46" s="169"/>
      <c r="AH46" s="170"/>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L46" s="453">
        <f ca="1">IF(AND($D46="Serviço",AL$12&lt;&gt;0,$H46&gt;0,OR(AUTOEVENTO&lt;&gt;"manual",$M46&lt;&gt;$A$15)),
        IF(Import.TipoArredondamento&lt;&gt;"TransfereGOV",
              ROUND(OFFSET($P46,0,AL$13),15-13*ORÇAMENTO!$AF$7)/$H46*OFFSET(ORÇAMENTO!$X$15,ROW(AL46)-ROW(AL$15),0),
              ROUND(ROUND(OFFSET($P46,0,AL$13),15-13*ORÇAMENTO!$AF$7)*OFFSET(ORÇAMENTO!$W$15,ROW(AL46)-ROW(AL$15),0),15-13*ORÇAMENTO!$AF$11)),
         0)</f>
        <v>6710.57</v>
      </c>
      <c r="AM46" s="453">
        <f ca="1">IF(AND($D46="Serviço",AM$12&lt;&gt;0,$H46&gt;0,OR(AUTOEVENTO&lt;&gt;"manual",$M46&lt;&gt;$A$15)),
        IF(Import.TipoArredondamento&lt;&gt;"TransfereGOV",
              ROUND(OFFSET($P46,0,AM$13),15-13*ORÇAMENTO!$AF$7)/$H46*OFFSET(ORÇAMENTO!$X$15,ROW(AM46)-ROW(AM$15),0),
              ROUND(ROUND(OFFSET($P46,0,AM$13),15-13*ORÇAMENTO!$AF$7)*OFFSET(ORÇAMENTO!$W$15,ROW(AM46)-ROW(AM$15),0),15-13*ORÇAMENTO!$AF$11)),
         0)</f>
        <v>0</v>
      </c>
      <c r="AN46" s="453">
        <f ca="1">IF(AND($D46="Serviço",AN$12&lt;&gt;0,$H46&gt;0,OR(AUTOEVENTO&lt;&gt;"manual",$M46&lt;&gt;$A$15)),
        IF(Import.TipoArredondamento&lt;&gt;"TransfereGOV",
              ROUND(OFFSET($P46,0,AN$13),15-13*ORÇAMENTO!$AF$7)/$H46*OFFSET(ORÇAMENTO!$X$15,ROW(AN46)-ROW(AN$15),0),
              ROUND(ROUND(OFFSET($P46,0,AN$13),15-13*ORÇAMENTO!$AF$7)*OFFSET(ORÇAMENTO!$W$15,ROW(AN46)-ROW(AN$15),0),15-13*ORÇAMENTO!$AF$11)),
         0)</f>
        <v>0</v>
      </c>
      <c r="AO46" s="453">
        <f ca="1">IF(AND($D46="Serviço",AO$12&lt;&gt;0,$H46&gt;0,OR(AUTOEVENTO&lt;&gt;"manual",$M46&lt;&gt;$A$15)),
        IF(Import.TipoArredondamento&lt;&gt;"TransfereGOV",
              ROUND(OFFSET($P46,0,AO$13),15-13*ORÇAMENTO!$AF$7)/$H46*OFFSET(ORÇAMENTO!$X$15,ROW(AO46)-ROW(AO$15),0),
              ROUND(ROUND(OFFSET($P46,0,AO$13),15-13*ORÇAMENTO!$AF$7)*OFFSET(ORÇAMENTO!$W$15,ROW(AO46)-ROW(AO$15),0),15-13*ORÇAMENTO!$AF$11)),
         0)</f>
        <v>0</v>
      </c>
      <c r="AP46" s="453">
        <f ca="1">IF(AND($D46="Serviço",AP$12&lt;&gt;0,$H46&gt;0,OR(AUTOEVENTO&lt;&gt;"manual",$M46&lt;&gt;$A$15)),
        IF(Import.TipoArredondamento&lt;&gt;"TransfereGOV",
              ROUND(OFFSET($P46,0,AP$13),15-13*ORÇAMENTO!$AF$7)/$H46*OFFSET(ORÇAMENTO!$X$15,ROW(AP46)-ROW(AP$15),0),
              ROUND(ROUND(OFFSET($P46,0,AP$13),15-13*ORÇAMENTO!$AF$7)*OFFSET(ORÇAMENTO!$W$15,ROW(AP46)-ROW(AP$15),0),15-13*ORÇAMENTO!$AF$11)),
         0)</f>
        <v>0</v>
      </c>
      <c r="AQ46" s="453">
        <f ca="1">IF(AND($D46="Serviço",AQ$12&lt;&gt;0,$H46&gt;0,OR(AUTOEVENTO&lt;&gt;"manual",$M46&lt;&gt;$A$15)),
        IF(Import.TipoArredondamento&lt;&gt;"TransfereGOV",
              ROUND(OFFSET($P46,0,AQ$13),15-13*ORÇAMENTO!$AF$7)/$H46*OFFSET(ORÇAMENTO!$X$15,ROW(AQ46)-ROW(AQ$15),0),
              ROUND(ROUND(OFFSET($P46,0,AQ$13),15-13*ORÇAMENTO!$AF$7)*OFFSET(ORÇAMENTO!$W$15,ROW(AQ46)-ROW(AQ$15),0),15-13*ORÇAMENTO!$AF$11)),
         0)</f>
        <v>0</v>
      </c>
      <c r="AR46" s="453">
        <f ca="1">IF(AND($D46="Serviço",AR$12&lt;&gt;0,$H46&gt;0,OR(AUTOEVENTO&lt;&gt;"manual",$M46&lt;&gt;$A$15)),
        IF(Import.TipoArredondamento&lt;&gt;"TransfereGOV",
              ROUND(OFFSET($P46,0,AR$13),15-13*ORÇAMENTO!$AF$7)/$H46*OFFSET(ORÇAMENTO!$X$15,ROW(AR46)-ROW(AR$15),0),
              ROUND(ROUND(OFFSET($P46,0,AR$13),15-13*ORÇAMENTO!$AF$7)*OFFSET(ORÇAMENTO!$W$15,ROW(AR46)-ROW(AR$15),0),15-13*ORÇAMENTO!$AF$11)),
         0)</f>
        <v>0</v>
      </c>
      <c r="AS46" s="453">
        <f ca="1">IF(AND($D46="Serviço",AS$12&lt;&gt;0,$H46&gt;0,OR(AUTOEVENTO&lt;&gt;"manual",$M46&lt;&gt;$A$15)),
        IF(Import.TipoArredondamento&lt;&gt;"TransfereGOV",
              ROUND(OFFSET($P46,0,AS$13),15-13*ORÇAMENTO!$AF$7)/$H46*OFFSET(ORÇAMENTO!$X$15,ROW(AS46)-ROW(AS$15),0),
              ROUND(ROUND(OFFSET($P46,0,AS$13),15-13*ORÇAMENTO!$AF$7)*OFFSET(ORÇAMENTO!$W$15,ROW(AS46)-ROW(AS$15),0),15-13*ORÇAMENTO!$AF$11)),
         0)</f>
        <v>0</v>
      </c>
      <c r="AT46" s="453">
        <f ca="1">IF(AND($D46="Serviço",AT$12&lt;&gt;0,$H46&gt;0,OR(AUTOEVENTO&lt;&gt;"manual",$M46&lt;&gt;$A$15)),
        IF(Import.TipoArredondamento&lt;&gt;"TransfereGOV",
              ROUND(OFFSET($P46,0,AT$13),15-13*ORÇAMENTO!$AF$7)/$H46*OFFSET(ORÇAMENTO!$X$15,ROW(AT46)-ROW(AT$15),0),
              ROUND(ROUND(OFFSET($P46,0,AT$13),15-13*ORÇAMENTO!$AF$7)*OFFSET(ORÇAMENTO!$W$15,ROW(AT46)-ROW(AT$15),0),15-13*ORÇAMENTO!$AF$11)),
         0)</f>
        <v>0</v>
      </c>
      <c r="AU46" s="453">
        <f ca="1">IF(AND($D46="Serviço",AU$12&lt;&gt;0,$H46&gt;0,OR(AUTOEVENTO&lt;&gt;"manual",$M46&lt;&gt;$A$15)),
        IF(Import.TipoArredondamento&lt;&gt;"TransfereGOV",
              ROUND(OFFSET($P46,0,AU$13),15-13*ORÇAMENTO!$AF$7)/$H46*OFFSET(ORÇAMENTO!$X$15,ROW(AU46)-ROW(AU$15),0),
              ROUND(ROUND(OFFSET($P46,0,AU$13),15-13*ORÇAMENTO!$AF$7)*OFFSET(ORÇAMENTO!$W$15,ROW(AU46)-ROW(AU$15),0),15-13*ORÇAMENTO!$AF$11)),
         0)</f>
        <v>0</v>
      </c>
      <c r="AV46" s="453">
        <f ca="1">IF(AND($D46="Serviço",AV$12&lt;&gt;0,$H46&gt;0,OR(AUTOEVENTO&lt;&gt;"manual",$M46&lt;&gt;$A$15)),
        IF(Import.TipoArredondamento&lt;&gt;"TransfereGOV",
              ROUND(OFFSET($P46,0,AV$13),15-13*ORÇAMENTO!$AF$7)/$H46*OFFSET(ORÇAMENTO!$X$15,ROW(AV46)-ROW(AV$15),0),
              ROUND(ROUND(OFFSET($P46,0,AV$13),15-13*ORÇAMENTO!$AF$7)*OFFSET(ORÇAMENTO!$W$15,ROW(AV46)-ROW(AV$15),0),15-13*ORÇAMENTO!$AF$11)),
         0)</f>
        <v>0</v>
      </c>
      <c r="AW46" s="453">
        <f ca="1">IF(AND($D46="Serviço",AW$12&lt;&gt;0,$H46&gt;0,OR(AUTOEVENTO&lt;&gt;"manual",$M46&lt;&gt;$A$15)),
        IF(Import.TipoArredondamento&lt;&gt;"TransfereGOV",
              ROUND(OFFSET($P46,0,AW$13),15-13*ORÇAMENTO!$AF$7)/$H46*OFFSET(ORÇAMENTO!$X$15,ROW(AW46)-ROW(AW$15),0),
              ROUND(ROUND(OFFSET($P46,0,AW$13),15-13*ORÇAMENTO!$AF$7)*OFFSET(ORÇAMENTO!$W$15,ROW(AW46)-ROW(AW$15),0),15-13*ORÇAMENTO!$AF$11)),
         0)</f>
        <v>0</v>
      </c>
      <c r="AX46" s="453">
        <f ca="1">IF(AND($D46="Serviço",AX$12&lt;&gt;0,$H46&gt;0,OR(AUTOEVENTO&lt;&gt;"manual",$M46&lt;&gt;$A$15)),
        IF(Import.TipoArredondamento&lt;&gt;"TransfereGOV",
              ROUND(OFFSET($P46,0,AX$13),15-13*ORÇAMENTO!$AF$7)/$H46*OFFSET(ORÇAMENTO!$X$15,ROW(AX46)-ROW(AX$15),0),
              ROUND(ROUND(OFFSET($P46,0,AX$13),15-13*ORÇAMENTO!$AF$7)*OFFSET(ORÇAMENTO!$W$15,ROW(AX46)-ROW(AX$15),0),15-13*ORÇAMENTO!$AF$11)),
         0)</f>
        <v>0</v>
      </c>
      <c r="AY46" s="453">
        <f ca="1">IF(AND($D46="Serviço",AY$12&lt;&gt;0,$H46&gt;0,OR(AUTOEVENTO&lt;&gt;"manual",$M46&lt;&gt;$A$15)),
        IF(Import.TipoArredondamento&lt;&gt;"TransfereGOV",
              ROUND(OFFSET($P46,0,AY$13),15-13*ORÇAMENTO!$AF$7)/$H46*OFFSET(ORÇAMENTO!$X$15,ROW(AY46)-ROW(AY$15),0),
              ROUND(ROUND(OFFSET($P46,0,AY$13),15-13*ORÇAMENTO!$AF$7)*OFFSET(ORÇAMENTO!$W$15,ROW(AY46)-ROW(AY$15),0),15-13*ORÇAMENTO!$AF$11)),
         0)</f>
        <v>0</v>
      </c>
      <c r="AZ46" s="453">
        <f ca="1">IF(AND($D46="Serviço",AZ$12&lt;&gt;0,$H46&gt;0,OR(AUTOEVENTO&lt;&gt;"manual",$M46&lt;&gt;$A$15)),
        IF(Import.TipoArredondamento&lt;&gt;"TransfereGOV",
              ROUND(OFFSET($P46,0,AZ$13),15-13*ORÇAMENTO!$AF$7)/$H46*OFFSET(ORÇAMENTO!$X$15,ROW(AZ46)-ROW(AZ$15),0),
              ROUND(ROUND(OFFSET($P46,0,AZ$13),15-13*ORÇAMENTO!$AF$7)*OFFSET(ORÇAMENTO!$W$15,ROW(AZ46)-ROW(AZ$15),0),15-13*ORÇAMENTO!$AF$11)),
         0)</f>
        <v>0</v>
      </c>
      <c r="BA46" s="453">
        <f ca="1">IF(AND($D46="Serviço",BA$12&lt;&gt;0,$H46&gt;0,OR(AUTOEVENTO&lt;&gt;"manual",$M46&lt;&gt;$A$15)),
        IF(Import.TipoArredondamento&lt;&gt;"TransfereGOV",
              ROUND(OFFSET($P46,0,BA$13),15-13*ORÇAMENTO!$AF$7)/$H46*OFFSET(ORÇAMENTO!$X$15,ROW(BA46)-ROW(BA$15),0),
              ROUND(ROUND(OFFSET($P46,0,BA$13),15-13*ORÇAMENTO!$AF$7)*OFFSET(ORÇAMENTO!$W$15,ROW(BA46)-ROW(BA$15),0),15-13*ORÇAMENTO!$AF$11)),
         0)</f>
        <v>0</v>
      </c>
      <c r="BC46" s="171">
        <f ca="1">IF(OR($D46&lt;&gt;"Serviço",AND(AUTOEVENTO="Manual",$M46=$A$15)),0,
         IF(OFFSET(CRONOPLE!$F$15,$M46-$A$15,BC$13)=0,10^12,OFFSET(CRONOPLE!$F$15,$M46-$A$15,BC$13)))</f>
        <v>1000000000000</v>
      </c>
      <c r="BD46" s="171">
        <f ca="1">IF(OR($D46&lt;&gt;"Serviço",AND(AUTOEVENTO="Manual",$M46=$A$15)),0,
         IF(OFFSET(CRONOPLE!$F$15,$M46-$A$15,BD$13)=0,10^12,OFFSET(CRONOPLE!$F$15,$M46-$A$15,BD$13)))</f>
        <v>1000000000000</v>
      </c>
      <c r="BE46" s="171">
        <f ca="1">IF(OR($D46&lt;&gt;"Serviço",AND(AUTOEVENTO="Manual",$M46=$A$15)),0,
         IF(OFFSET(CRONOPLE!$F$15,$M46-$A$15,BE$13)=0,10^12,OFFSET(CRONOPLE!$F$15,$M46-$A$15,BE$13)))</f>
        <v>2</v>
      </c>
      <c r="BF46" s="171">
        <f ca="1">IF(OR($D46&lt;&gt;"Serviço",AND(AUTOEVENTO="Manual",$M46=$A$15)),0,
         IF(OFFSET(CRONOPLE!$F$15,$M46-$A$15,BF$13)=0,10^12,OFFSET(CRONOPLE!$F$15,$M46-$A$15,BF$13)))</f>
        <v>1000000000000</v>
      </c>
      <c r="BG46" s="171">
        <f ca="1">IF(OR($D46&lt;&gt;"Serviço",AND(AUTOEVENTO="Manual",$M46=$A$15)),0,
         IF(OFFSET(CRONOPLE!$F$15,$M46-$A$15,BG$13)=0,10^12,OFFSET(CRONOPLE!$F$15,$M46-$A$15,BG$13)))</f>
        <v>1000000000000</v>
      </c>
      <c r="BH46" s="171">
        <f ca="1">IF(OR($D46&lt;&gt;"Serviço",AND(AUTOEVENTO="Manual",$M46=$A$15)),0,
         IF(OFFSET(CRONOPLE!$F$15,$M46-$A$15,BH$13)=0,10^12,OFFSET(CRONOPLE!$F$15,$M46-$A$15,BH$13)))</f>
        <v>1000000000000</v>
      </c>
      <c r="BI46" s="171">
        <f ca="1">IF(OR($D46&lt;&gt;"Serviço",AND(AUTOEVENTO="Manual",$M46=$A$15)),0,
         IF(OFFSET(CRONOPLE!$F$15,$M46-$A$15,BI$13)=0,10^12,OFFSET(CRONOPLE!$F$15,$M46-$A$15,BI$13)))</f>
        <v>1000000000000</v>
      </c>
      <c r="BJ46" s="171">
        <f ca="1">IF(OR($D46&lt;&gt;"Serviço",AND(AUTOEVENTO="Manual",$M46=$A$15)),0,
         IF(OFFSET(CRONOPLE!$F$15,$M46-$A$15,BJ$13)=0,10^12,OFFSET(CRONOPLE!$F$15,$M46-$A$15,BJ$13)))</f>
        <v>1000000000000</v>
      </c>
      <c r="BK46" s="171">
        <f ca="1">IF(OR($D46&lt;&gt;"Serviço",AND(AUTOEVENTO="Manual",$M46=$A$15)),0,
         IF(OFFSET(CRONOPLE!$F$15,$M46-$A$15,BK$13)=0,10^12,OFFSET(CRONOPLE!$F$15,$M46-$A$15,BK$13)))</f>
        <v>1000000000000</v>
      </c>
      <c r="BL46" s="171">
        <f ca="1">IF(OR($D46&lt;&gt;"Serviço",AND(AUTOEVENTO="Manual",$M46=$A$15)),0,
         IF(OFFSET(CRONOPLE!$F$15,$M46-$A$15,BL$13)=0,10^12,OFFSET(CRONOPLE!$F$15,$M46-$A$15,BL$13)))</f>
        <v>1000000000000</v>
      </c>
      <c r="BM46" s="171">
        <f ca="1">IF(OR($D46&lt;&gt;"Serviço",AND(AUTOEVENTO="Manual",$M46=$A$15)),0,
         IF(OFFSET(CRONOPLE!$F$15,$M46-$A$15,BM$13)=0,10^12,OFFSET(CRONOPLE!$F$15,$M46-$A$15,BM$13)))</f>
        <v>1000000000000</v>
      </c>
      <c r="BN46" s="171">
        <f ca="1">IF(OR($D46&lt;&gt;"Serviço",AND(AUTOEVENTO="Manual",$M46=$A$15)),0,
         IF(OFFSET(CRONOPLE!$F$15,$M46-$A$15,BN$13)=0,10^12,OFFSET(CRONOPLE!$F$15,$M46-$A$15,BN$13)))</f>
        <v>4</v>
      </c>
      <c r="BO46" s="171">
        <f ca="1">IF(OR($D46&lt;&gt;"Serviço",AND(AUTOEVENTO="Manual",$M46=$A$15)),0,
         IF(OFFSET(CRONOPLE!$F$15,$M46-$A$15,BO$13)=0,10^12,OFFSET(CRONOPLE!$F$15,$M46-$A$15,BO$13)))</f>
        <v>1000000000000</v>
      </c>
      <c r="BP46" s="171">
        <f ca="1">IF(OR($D46&lt;&gt;"Serviço",AND(AUTOEVENTO="Manual",$M46=$A$15)),0,
         IF(OFFSET(CRONOPLE!$F$15,$M46-$A$15,BP$13)=0,10^12,OFFSET(CRONOPLE!$F$15,$M46-$A$15,BP$13)))</f>
        <v>1000000000000</v>
      </c>
      <c r="BQ46" s="171">
        <f ca="1">IF(OR($D46&lt;&gt;"Serviço",AND(AUTOEVENTO="Manual",$M46=$A$15)),0,
         IF(OFFSET(CRONOPLE!$F$15,$M46-$A$15,BQ$13)=0,10^12,OFFSET(CRONOPLE!$F$15,$M46-$A$15,BQ$13)))</f>
        <v>1000000000000</v>
      </c>
      <c r="BR46" s="171">
        <f ca="1">IF(OR($D46&lt;&gt;"Serviço",AND(AUTOEVENTO="Manual",$M46=$A$15)),0,
         IF(OFFSET(CRONOPLE!$F$15,$M46-$A$15,BR$13)=0,10^12,OFFSET(CRONOPLE!$F$15,$M46-$A$15,BR$13)))</f>
        <v>1000000000000</v>
      </c>
      <c r="BS46" s="171">
        <f ca="1">IF(OR($D46&lt;&gt;"Serviço",AND(AUTOEVENTO="Manual",$M46=$A$15)),0,
         IF(OFFSET(CRONOPLE!$F$15,$M46-$A$15,BS$13)=0,10^12,OFFSET(CRONOPLE!$F$15,$M46-$A$15,BS$13)))</f>
        <v>1000000000000</v>
      </c>
      <c r="BT46" s="171">
        <f ca="1">IF(OR($D46&lt;&gt;"Serviço",AND(AUTOEVENTO="Manual",$M46=$A$15)),0,
         IF(OFFSET(CRONOPLE!$F$15,$M46-$A$15,BT$13)=0,10^12,OFFSET(CRONOPLE!$F$15,$M46-$A$15,BT$13)))</f>
        <v>1000000000000</v>
      </c>
      <c r="BV46" s="172">
        <f ca="1">IF(OR($D46&lt;&gt;"Serviço",AND(AUTOEVENTO="Manual",$M46=$A$15),$M46&gt;(ROW(PLE.lastrow)-ROW(PLE.firstrow))),0,
           IF(OFFSET(PLE!$G$15,$M46-$A$15,BV$13)="",10^12,OFFSET(PLE!$G$15,$M46-$A$15,BV$13)))</f>
        <v>1000000000000</v>
      </c>
      <c r="BW46" s="172">
        <f ca="1">IF(OR($D46&lt;&gt;"Serviço",AND(AUTOEVENTO="Manual",$M46=$A$15),$M46&gt;(ROW(PLE.lastrow)-ROW(PLE.firstrow))),0,
           IF(OFFSET(PLE!$G$15,$M46-$A$15,BW$13)="",10^12,OFFSET(PLE!$G$15,$M46-$A$15,BW$13)))</f>
        <v>1000000000000</v>
      </c>
      <c r="BX46" s="172">
        <f ca="1">IF(OR($D46&lt;&gt;"Serviço",AND(AUTOEVENTO="Manual",$M46=$A$15),$M46&gt;(ROW(PLE.lastrow)-ROW(PLE.firstrow))),0,
           IF(OFFSET(PLE!$G$15,$M46-$A$15,BX$13)="",10^12,OFFSET(PLE!$G$15,$M46-$A$15,BX$13)))</f>
        <v>1000000000000</v>
      </c>
      <c r="BY46" s="172">
        <f ca="1">IF(OR($D46&lt;&gt;"Serviço",AND(AUTOEVENTO="Manual",$M46=$A$15),$M46&gt;(ROW(PLE.lastrow)-ROW(PLE.firstrow))),0,
           IF(OFFSET(PLE!$G$15,$M46-$A$15,BY$13)="",10^12,OFFSET(PLE!$G$15,$M46-$A$15,BY$13)))</f>
        <v>1000000000000</v>
      </c>
      <c r="BZ46" s="172">
        <f ca="1">IF(OR($D46&lt;&gt;"Serviço",AND(AUTOEVENTO="Manual",$M46=$A$15),$M46&gt;(ROW(PLE.lastrow)-ROW(PLE.firstrow))),0,
           IF(OFFSET(PLE!$G$15,$M46-$A$15,BZ$13)="",10^12,OFFSET(PLE!$G$15,$M46-$A$15,BZ$13)))</f>
        <v>1000000000000</v>
      </c>
      <c r="CA46" s="172">
        <f ca="1">IF(OR($D46&lt;&gt;"Serviço",AND(AUTOEVENTO="Manual",$M46=$A$15),$M46&gt;(ROW(PLE.lastrow)-ROW(PLE.firstrow))),0,
           IF(OFFSET(PLE!$G$15,$M46-$A$15,CA$13)="",10^12,OFFSET(PLE!$G$15,$M46-$A$15,CA$13)))</f>
        <v>1000000000000</v>
      </c>
      <c r="CB46" s="172">
        <f ca="1">IF(OR($D46&lt;&gt;"Serviço",AND(AUTOEVENTO="Manual",$M46=$A$15),$M46&gt;(ROW(PLE.lastrow)-ROW(PLE.firstrow))),0,
           IF(OFFSET(PLE!$G$15,$M46-$A$15,CB$13)="",10^12,OFFSET(PLE!$G$15,$M46-$A$15,CB$13)))</f>
        <v>1000000000000</v>
      </c>
      <c r="CC46" s="172">
        <f ca="1">IF(OR($D46&lt;&gt;"Serviço",AND(AUTOEVENTO="Manual",$M46=$A$15),$M46&gt;(ROW(PLE.lastrow)-ROW(PLE.firstrow))),0,
           IF(OFFSET(PLE!$G$15,$M46-$A$15,CC$13)="",10^12,OFFSET(PLE!$G$15,$M46-$A$15,CC$13)))</f>
        <v>1000000000000</v>
      </c>
      <c r="CD46" s="172">
        <f ca="1">IF(OR($D46&lt;&gt;"Serviço",AND(AUTOEVENTO="Manual",$M46=$A$15),$M46&gt;(ROW(PLE.lastrow)-ROW(PLE.firstrow))),0,
           IF(OFFSET(PLE!$G$15,$M46-$A$15,CD$13)="",10^12,OFFSET(PLE!$G$15,$M46-$A$15,CD$13)))</f>
        <v>1000000000000</v>
      </c>
      <c r="CE46" s="172">
        <f ca="1">IF(OR($D46&lt;&gt;"Serviço",AND(AUTOEVENTO="Manual",$M46=$A$15),$M46&gt;(ROW(PLE.lastrow)-ROW(PLE.firstrow))),0,
           IF(OFFSET(PLE!$G$15,$M46-$A$15,CE$13)="",10^12,OFFSET(PLE!$G$15,$M46-$A$15,CE$13)))</f>
        <v>1000000000000</v>
      </c>
      <c r="CF46" s="172">
        <f ca="1">IF(OR($D46&lt;&gt;"Serviço",AND(AUTOEVENTO="Manual",$M46=$A$15),$M46&gt;(ROW(PLE.lastrow)-ROW(PLE.firstrow))),0,
           IF(OFFSET(PLE!$G$15,$M46-$A$15,CF$13)="",10^12,OFFSET(PLE!$G$15,$M46-$A$15,CF$13)))</f>
        <v>1000000000000</v>
      </c>
      <c r="CG46" s="172">
        <f ca="1">IF(OR($D46&lt;&gt;"Serviço",AND(AUTOEVENTO="Manual",$M46=$A$15),$M46&gt;(ROW(PLE.lastrow)-ROW(PLE.firstrow))),0,
           IF(OFFSET(PLE!$G$15,$M46-$A$15,CG$13)="",10^12,OFFSET(PLE!$G$15,$M46-$A$15,CG$13)))</f>
        <v>1000000000000</v>
      </c>
      <c r="CH46" s="172">
        <f ca="1">IF(OR($D46&lt;&gt;"Serviço",AND(AUTOEVENTO="Manual",$M46=$A$15),$M46&gt;(ROW(PLE.lastrow)-ROW(PLE.firstrow))),0,
           IF(OFFSET(PLE!$G$15,$M46-$A$15,CH$13)="",10^12,OFFSET(PLE!$G$15,$M46-$A$15,CH$13)))</f>
        <v>1000000000000</v>
      </c>
      <c r="CI46" s="172">
        <f ca="1">IF(OR($D46&lt;&gt;"Serviço",AND(AUTOEVENTO="Manual",$M46=$A$15),$M46&gt;(ROW(PLE.lastrow)-ROW(PLE.firstrow))),0,
           IF(OFFSET(PLE!$G$15,$M46-$A$15,CI$13)="",10^12,OFFSET(PLE!$G$15,$M46-$A$15,CI$13)))</f>
        <v>1000000000000</v>
      </c>
      <c r="CJ46" s="172">
        <f ca="1">IF(OR($D46&lt;&gt;"Serviço",AND(AUTOEVENTO="Manual",$M46=$A$15),$M46&gt;(ROW(PLE.lastrow)-ROW(PLE.firstrow))),0,
           IF(OFFSET(PLE!$G$15,$M46-$A$15,CJ$13)="",10^12,OFFSET(PLE!$G$15,$M46-$A$15,CJ$13)))</f>
        <v>1000000000000</v>
      </c>
      <c r="CK46" s="172">
        <f ca="1">IF(OR($D46&lt;&gt;"Serviço",AND(AUTOEVENTO="Manual",$M46=$A$15),$M46&gt;(ROW(PLE.lastrow)-ROW(PLE.firstrow))),0,
           IF(OFFSET(PLE!$G$15,$M46-$A$15,CK$13)="",10^12,OFFSET(PLE!$G$15,$M46-$A$15,CK$13)))</f>
        <v>1000000000000</v>
      </c>
      <c r="CL46" s="172">
        <f ca="1">IF(OR($D46&lt;&gt;"Serviço",AND(AUTOEVENTO="Manual",$M46=$A$15),$M46&gt;(ROW(PLE.lastrow)-ROW(PLE.firstrow))),0,
           IF(OFFSET(PLE!$G$15,$M46-$A$15,CL$13)="",10^12,OFFSET(PLE!$G$15,$M46-$A$15,CL$13)))</f>
        <v>1000000000000</v>
      </c>
      <c r="CM46" s="172">
        <f ca="1">IF(OR($D46&lt;&gt;"Serviço",AND(AUTOEVENTO="Manual",$M46=$A$15),$M46&gt;(ROW(PLE.lastrow)-ROW(PLE.firstrow))),0,
           IF(OFFSET(PLE!$G$15,$M46-$A$15,CM$13)="",10^12,OFFSET(PLE!$G$15,$M46-$A$15,CM$13)))</f>
        <v>1000000000000</v>
      </c>
    </row>
    <row r="47" spans="1:91" ht="26.4" x14ac:dyDescent="0.25">
      <c r="A47" s="7" t="str">
        <f t="shared" ca="1" si="11"/>
        <v>26</v>
      </c>
      <c r="B47" s="7" t="str">
        <f ca="1">OFFSET(ORÇAMENTO!C$15,ROW(B47)-ROW(B$15),0)</f>
        <v>S</v>
      </c>
      <c r="C47" s="7" t="str">
        <f ca="1">OFFSET(ORÇAMENTO!L$15,ROW(C47)-ROW(C$15),0)</f>
        <v>F</v>
      </c>
      <c r="D47" s="116" t="str">
        <f ca="1">OFFSET(ORÇAMENTO!N$15,ROW(D47)-ROW(D$15),0)</f>
        <v>Serviço</v>
      </c>
      <c r="E47" s="117" t="str">
        <f ca="1">OFFSET(ORÇAMENTO!O$15,ROW(E47)-ROW(E$15),0)</f>
        <v>1.5.6.</v>
      </c>
      <c r="F47" s="163" t="str">
        <f ca="1">OFFSET(ORÇAMENTO!R$15,ROW(F47)-ROW(F$15),0)</f>
        <v>Transporte de material betuminoso com caminhão tanque distribuidor - rodovia pavimentada</v>
      </c>
      <c r="G47" s="164" t="str">
        <f ca="1">IF($D47&lt;&gt;"Serviço","",OFFSET(ORÇAMENTO!S$15,ROW(G47)-ROW(G$15),0))</f>
        <v>tkm</v>
      </c>
      <c r="H47" s="122" cm="1">
        <f t="array" aca="1" ref="H47" ca="1">IF($D47&lt;&gt;"Serviço",0,IF(ACOMPANHAMENTO="BM",ROUND(OFFSET(ORÇAMENTO!AJ$15,ROW(H47)-ROW(H$15),0),15-13*ORÇAMENTO!$AF$7),SUMPRODUCT(($Q$1:$AI$1=1)*ROUND($Q47:$AI47,15-13*ORÇAMENTO!$AF$7))))</f>
        <v>404.56</v>
      </c>
      <c r="I47" s="468"/>
      <c r="J47" s="651" t="e" cm="1">
        <f t="array" aca="1" ref="J47" ca="1">IF(OR(B47&lt;&gt;"S",CÁLCULO.FrentesPreenchidas=0),"",IF(AND(ACOMPANHAMENTO="PLE",AUTOEVENTO="Manual",OR(H47&gt;0,ORÇAMENTO!AC47="QUANT."),OR(K47="",M47=0,N47="")),"►E",IF(AND(ACOMPANHAMENTO="PLE",ORÇAMENTO!AC47="QUANT."),"►Q",IF(AND(ACOMPANHAMENTO="PLE",H47&lt;&gt;SUMPRODUCT(($Q$1:$AI$1=1)*ROUND(Q47:AI47,15))),"►S",IF(AND(COUNTIF($P$11:$AI$11,"▼")=0,H47&gt;0,I47=""),"◄M","")))))</f>
        <v>#NAME?</v>
      </c>
      <c r="K47" s="652"/>
      <c r="L47" s="165" t="s">
        <v>764</v>
      </c>
      <c r="M47" s="166">
        <f ca="1">IF($D47&lt;&gt;"Serviço","",
          IF(AUTOEVENTO="manual",$A47,
                IF(ISERROR(MATCH($A47,$A$15:OFFSET($A47,-1,0),0)),MAX($M$15:OFFSET(M47,-1,0))+1,
                      INDEX($M$15:OFFSET(M47,-1,0),MATCH($A47,$A$15:OFFSET($A47,-1,0),0)))))</f>
        <v>5</v>
      </c>
      <c r="N47" s="167" t="str">
        <f ca="1">IF($D47&lt;&gt;"Serviço","",
         IF(AUTOEVENTO="Manual",
                IF($A47=0,"&lt;-- defina o número do agrupador",
                       OFFSET(EVENTOS!$D$15,$A47-$A$15,0)),
                OFFSET($F$15,$A47,0)))</f>
        <v xml:space="preserve">FAIXAS ELEVADAS </v>
      </c>
      <c r="O47" s="168"/>
      <c r="Q47" s="168"/>
      <c r="R47" s="169"/>
      <c r="S47" s="169">
        <f>ROUND((S46/1000)*337,2)</f>
        <v>404.56</v>
      </c>
      <c r="T47" s="169"/>
      <c r="U47" s="169"/>
      <c r="V47" s="169"/>
      <c r="W47" s="169"/>
      <c r="X47" s="169"/>
      <c r="Y47" s="169"/>
      <c r="Z47" s="170"/>
      <c r="AA47" s="169"/>
      <c r="AB47" s="169"/>
      <c r="AC47" s="169"/>
      <c r="AD47" s="169"/>
      <c r="AE47" s="169"/>
      <c r="AF47" s="169"/>
      <c r="AG47" s="169"/>
      <c r="AH47" s="170"/>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L47" s="453">
        <f ca="1">IF(AND($D47="Serviço",AL$12&lt;&gt;0,$H47&gt;0,OR(AUTOEVENTO&lt;&gt;"manual",$M47&lt;&gt;$A$15)),
        IF(Import.TipoArredondamento&lt;&gt;"TransfereGOV",
              ROUND(OFFSET($P47,0,AL$13),15-13*ORÇAMENTO!$AF$7)/$H47*OFFSET(ORÇAMENTO!$X$15,ROW(AL47)-ROW(AL$15),0),
              ROUND(ROUND(OFFSET($P47,0,AL$13),15-13*ORÇAMENTO!$AF$7)*OFFSET(ORÇAMENTO!$W$15,ROW(AL47)-ROW(AL$15),0),15-13*ORÇAMENTO!$AF$11)),
         0)</f>
        <v>1031.6300000000001</v>
      </c>
      <c r="AM47" s="453">
        <f ca="1">IF(AND($D47="Serviço",AM$12&lt;&gt;0,$H47&gt;0,OR(AUTOEVENTO&lt;&gt;"manual",$M47&lt;&gt;$A$15)),
        IF(Import.TipoArredondamento&lt;&gt;"TransfereGOV",
              ROUND(OFFSET($P47,0,AM$13),15-13*ORÇAMENTO!$AF$7)/$H47*OFFSET(ORÇAMENTO!$X$15,ROW(AM47)-ROW(AM$15),0),
              ROUND(ROUND(OFFSET($P47,0,AM$13),15-13*ORÇAMENTO!$AF$7)*OFFSET(ORÇAMENTO!$W$15,ROW(AM47)-ROW(AM$15),0),15-13*ORÇAMENTO!$AF$11)),
         0)</f>
        <v>0</v>
      </c>
      <c r="AN47" s="453">
        <f ca="1">IF(AND($D47="Serviço",AN$12&lt;&gt;0,$H47&gt;0,OR(AUTOEVENTO&lt;&gt;"manual",$M47&lt;&gt;$A$15)),
        IF(Import.TipoArredondamento&lt;&gt;"TransfereGOV",
              ROUND(OFFSET($P47,0,AN$13),15-13*ORÇAMENTO!$AF$7)/$H47*OFFSET(ORÇAMENTO!$X$15,ROW(AN47)-ROW(AN$15),0),
              ROUND(ROUND(OFFSET($P47,0,AN$13),15-13*ORÇAMENTO!$AF$7)*OFFSET(ORÇAMENTO!$W$15,ROW(AN47)-ROW(AN$15),0),15-13*ORÇAMENTO!$AF$11)),
         0)</f>
        <v>0</v>
      </c>
      <c r="AO47" s="453">
        <f ca="1">IF(AND($D47="Serviço",AO$12&lt;&gt;0,$H47&gt;0,OR(AUTOEVENTO&lt;&gt;"manual",$M47&lt;&gt;$A$15)),
        IF(Import.TipoArredondamento&lt;&gt;"TransfereGOV",
              ROUND(OFFSET($P47,0,AO$13),15-13*ORÇAMENTO!$AF$7)/$H47*OFFSET(ORÇAMENTO!$X$15,ROW(AO47)-ROW(AO$15),0),
              ROUND(ROUND(OFFSET($P47,0,AO$13),15-13*ORÇAMENTO!$AF$7)*OFFSET(ORÇAMENTO!$W$15,ROW(AO47)-ROW(AO$15),0),15-13*ORÇAMENTO!$AF$11)),
         0)</f>
        <v>0</v>
      </c>
      <c r="AP47" s="453">
        <f ca="1">IF(AND($D47="Serviço",AP$12&lt;&gt;0,$H47&gt;0,OR(AUTOEVENTO&lt;&gt;"manual",$M47&lt;&gt;$A$15)),
        IF(Import.TipoArredondamento&lt;&gt;"TransfereGOV",
              ROUND(OFFSET($P47,0,AP$13),15-13*ORÇAMENTO!$AF$7)/$H47*OFFSET(ORÇAMENTO!$X$15,ROW(AP47)-ROW(AP$15),0),
              ROUND(ROUND(OFFSET($P47,0,AP$13),15-13*ORÇAMENTO!$AF$7)*OFFSET(ORÇAMENTO!$W$15,ROW(AP47)-ROW(AP$15),0),15-13*ORÇAMENTO!$AF$11)),
         0)</f>
        <v>0</v>
      </c>
      <c r="AQ47" s="453">
        <f ca="1">IF(AND($D47="Serviço",AQ$12&lt;&gt;0,$H47&gt;0,OR(AUTOEVENTO&lt;&gt;"manual",$M47&lt;&gt;$A$15)),
        IF(Import.TipoArredondamento&lt;&gt;"TransfereGOV",
              ROUND(OFFSET($P47,0,AQ$13),15-13*ORÇAMENTO!$AF$7)/$H47*OFFSET(ORÇAMENTO!$X$15,ROW(AQ47)-ROW(AQ$15),0),
              ROUND(ROUND(OFFSET($P47,0,AQ$13),15-13*ORÇAMENTO!$AF$7)*OFFSET(ORÇAMENTO!$W$15,ROW(AQ47)-ROW(AQ$15),0),15-13*ORÇAMENTO!$AF$11)),
         0)</f>
        <v>0</v>
      </c>
      <c r="AR47" s="453">
        <f ca="1">IF(AND($D47="Serviço",AR$12&lt;&gt;0,$H47&gt;0,OR(AUTOEVENTO&lt;&gt;"manual",$M47&lt;&gt;$A$15)),
        IF(Import.TipoArredondamento&lt;&gt;"TransfereGOV",
              ROUND(OFFSET($P47,0,AR$13),15-13*ORÇAMENTO!$AF$7)/$H47*OFFSET(ORÇAMENTO!$X$15,ROW(AR47)-ROW(AR$15),0),
              ROUND(ROUND(OFFSET($P47,0,AR$13),15-13*ORÇAMENTO!$AF$7)*OFFSET(ORÇAMENTO!$W$15,ROW(AR47)-ROW(AR$15),0),15-13*ORÇAMENTO!$AF$11)),
         0)</f>
        <v>0</v>
      </c>
      <c r="AS47" s="453">
        <f ca="1">IF(AND($D47="Serviço",AS$12&lt;&gt;0,$H47&gt;0,OR(AUTOEVENTO&lt;&gt;"manual",$M47&lt;&gt;$A$15)),
        IF(Import.TipoArredondamento&lt;&gt;"TransfereGOV",
              ROUND(OFFSET($P47,0,AS$13),15-13*ORÇAMENTO!$AF$7)/$H47*OFFSET(ORÇAMENTO!$X$15,ROW(AS47)-ROW(AS$15),0),
              ROUND(ROUND(OFFSET($P47,0,AS$13),15-13*ORÇAMENTO!$AF$7)*OFFSET(ORÇAMENTO!$W$15,ROW(AS47)-ROW(AS$15),0),15-13*ORÇAMENTO!$AF$11)),
         0)</f>
        <v>0</v>
      </c>
      <c r="AT47" s="453">
        <f ca="1">IF(AND($D47="Serviço",AT$12&lt;&gt;0,$H47&gt;0,OR(AUTOEVENTO&lt;&gt;"manual",$M47&lt;&gt;$A$15)),
        IF(Import.TipoArredondamento&lt;&gt;"TransfereGOV",
              ROUND(OFFSET($P47,0,AT$13),15-13*ORÇAMENTO!$AF$7)/$H47*OFFSET(ORÇAMENTO!$X$15,ROW(AT47)-ROW(AT$15),0),
              ROUND(ROUND(OFFSET($P47,0,AT$13),15-13*ORÇAMENTO!$AF$7)*OFFSET(ORÇAMENTO!$W$15,ROW(AT47)-ROW(AT$15),0),15-13*ORÇAMENTO!$AF$11)),
         0)</f>
        <v>0</v>
      </c>
      <c r="AU47" s="453">
        <f ca="1">IF(AND($D47="Serviço",AU$12&lt;&gt;0,$H47&gt;0,OR(AUTOEVENTO&lt;&gt;"manual",$M47&lt;&gt;$A$15)),
        IF(Import.TipoArredondamento&lt;&gt;"TransfereGOV",
              ROUND(OFFSET($P47,0,AU$13),15-13*ORÇAMENTO!$AF$7)/$H47*OFFSET(ORÇAMENTO!$X$15,ROW(AU47)-ROW(AU$15),0),
              ROUND(ROUND(OFFSET($P47,0,AU$13),15-13*ORÇAMENTO!$AF$7)*OFFSET(ORÇAMENTO!$W$15,ROW(AU47)-ROW(AU$15),0),15-13*ORÇAMENTO!$AF$11)),
         0)</f>
        <v>0</v>
      </c>
      <c r="AV47" s="453">
        <f ca="1">IF(AND($D47="Serviço",AV$12&lt;&gt;0,$H47&gt;0,OR(AUTOEVENTO&lt;&gt;"manual",$M47&lt;&gt;$A$15)),
        IF(Import.TipoArredondamento&lt;&gt;"TransfereGOV",
              ROUND(OFFSET($P47,0,AV$13),15-13*ORÇAMENTO!$AF$7)/$H47*OFFSET(ORÇAMENTO!$X$15,ROW(AV47)-ROW(AV$15),0),
              ROUND(ROUND(OFFSET($P47,0,AV$13),15-13*ORÇAMENTO!$AF$7)*OFFSET(ORÇAMENTO!$W$15,ROW(AV47)-ROW(AV$15),0),15-13*ORÇAMENTO!$AF$11)),
         0)</f>
        <v>0</v>
      </c>
      <c r="AW47" s="453">
        <f ca="1">IF(AND($D47="Serviço",AW$12&lt;&gt;0,$H47&gt;0,OR(AUTOEVENTO&lt;&gt;"manual",$M47&lt;&gt;$A$15)),
        IF(Import.TipoArredondamento&lt;&gt;"TransfereGOV",
              ROUND(OFFSET($P47,0,AW$13),15-13*ORÇAMENTO!$AF$7)/$H47*OFFSET(ORÇAMENTO!$X$15,ROW(AW47)-ROW(AW$15),0),
              ROUND(ROUND(OFFSET($P47,0,AW$13),15-13*ORÇAMENTO!$AF$7)*OFFSET(ORÇAMENTO!$W$15,ROW(AW47)-ROW(AW$15),0),15-13*ORÇAMENTO!$AF$11)),
         0)</f>
        <v>0</v>
      </c>
      <c r="AX47" s="453">
        <f ca="1">IF(AND($D47="Serviço",AX$12&lt;&gt;0,$H47&gt;0,OR(AUTOEVENTO&lt;&gt;"manual",$M47&lt;&gt;$A$15)),
        IF(Import.TipoArredondamento&lt;&gt;"TransfereGOV",
              ROUND(OFFSET($P47,0,AX$13),15-13*ORÇAMENTO!$AF$7)/$H47*OFFSET(ORÇAMENTO!$X$15,ROW(AX47)-ROW(AX$15),0),
              ROUND(ROUND(OFFSET($P47,0,AX$13),15-13*ORÇAMENTO!$AF$7)*OFFSET(ORÇAMENTO!$W$15,ROW(AX47)-ROW(AX$15),0),15-13*ORÇAMENTO!$AF$11)),
         0)</f>
        <v>0</v>
      </c>
      <c r="AY47" s="453">
        <f ca="1">IF(AND($D47="Serviço",AY$12&lt;&gt;0,$H47&gt;0,OR(AUTOEVENTO&lt;&gt;"manual",$M47&lt;&gt;$A$15)),
        IF(Import.TipoArredondamento&lt;&gt;"TransfereGOV",
              ROUND(OFFSET($P47,0,AY$13),15-13*ORÇAMENTO!$AF$7)/$H47*OFFSET(ORÇAMENTO!$X$15,ROW(AY47)-ROW(AY$15),0),
              ROUND(ROUND(OFFSET($P47,0,AY$13),15-13*ORÇAMENTO!$AF$7)*OFFSET(ORÇAMENTO!$W$15,ROW(AY47)-ROW(AY$15),0),15-13*ORÇAMENTO!$AF$11)),
         0)</f>
        <v>0</v>
      </c>
      <c r="AZ47" s="453">
        <f ca="1">IF(AND($D47="Serviço",AZ$12&lt;&gt;0,$H47&gt;0,OR(AUTOEVENTO&lt;&gt;"manual",$M47&lt;&gt;$A$15)),
        IF(Import.TipoArredondamento&lt;&gt;"TransfereGOV",
              ROUND(OFFSET($P47,0,AZ$13),15-13*ORÇAMENTO!$AF$7)/$H47*OFFSET(ORÇAMENTO!$X$15,ROW(AZ47)-ROW(AZ$15),0),
              ROUND(ROUND(OFFSET($P47,0,AZ$13),15-13*ORÇAMENTO!$AF$7)*OFFSET(ORÇAMENTO!$W$15,ROW(AZ47)-ROW(AZ$15),0),15-13*ORÇAMENTO!$AF$11)),
         0)</f>
        <v>0</v>
      </c>
      <c r="BA47" s="453">
        <f ca="1">IF(AND($D47="Serviço",BA$12&lt;&gt;0,$H47&gt;0,OR(AUTOEVENTO&lt;&gt;"manual",$M47&lt;&gt;$A$15)),
        IF(Import.TipoArredondamento&lt;&gt;"TransfereGOV",
              ROUND(OFFSET($P47,0,BA$13),15-13*ORÇAMENTO!$AF$7)/$H47*OFFSET(ORÇAMENTO!$X$15,ROW(BA47)-ROW(BA$15),0),
              ROUND(ROUND(OFFSET($P47,0,BA$13),15-13*ORÇAMENTO!$AF$7)*OFFSET(ORÇAMENTO!$W$15,ROW(BA47)-ROW(BA$15),0),15-13*ORÇAMENTO!$AF$11)),
         0)</f>
        <v>0</v>
      </c>
      <c r="BC47" s="171">
        <f ca="1">IF(OR($D47&lt;&gt;"Serviço",AND(AUTOEVENTO="Manual",$M47=$A$15)),0,
         IF(OFFSET(CRONOPLE!$F$15,$M47-$A$15,BC$13)=0,10^12,OFFSET(CRONOPLE!$F$15,$M47-$A$15,BC$13)))</f>
        <v>1000000000000</v>
      </c>
      <c r="BD47" s="171">
        <f ca="1">IF(OR($D47&lt;&gt;"Serviço",AND(AUTOEVENTO="Manual",$M47=$A$15)),0,
         IF(OFFSET(CRONOPLE!$F$15,$M47-$A$15,BD$13)=0,10^12,OFFSET(CRONOPLE!$F$15,$M47-$A$15,BD$13)))</f>
        <v>1000000000000</v>
      </c>
      <c r="BE47" s="171">
        <f ca="1">IF(OR($D47&lt;&gt;"Serviço",AND(AUTOEVENTO="Manual",$M47=$A$15)),0,
         IF(OFFSET(CRONOPLE!$F$15,$M47-$A$15,BE$13)=0,10^12,OFFSET(CRONOPLE!$F$15,$M47-$A$15,BE$13)))</f>
        <v>2</v>
      </c>
      <c r="BF47" s="171">
        <f ca="1">IF(OR($D47&lt;&gt;"Serviço",AND(AUTOEVENTO="Manual",$M47=$A$15)),0,
         IF(OFFSET(CRONOPLE!$F$15,$M47-$A$15,BF$13)=0,10^12,OFFSET(CRONOPLE!$F$15,$M47-$A$15,BF$13)))</f>
        <v>1000000000000</v>
      </c>
      <c r="BG47" s="171">
        <f ca="1">IF(OR($D47&lt;&gt;"Serviço",AND(AUTOEVENTO="Manual",$M47=$A$15)),0,
         IF(OFFSET(CRONOPLE!$F$15,$M47-$A$15,BG$13)=0,10^12,OFFSET(CRONOPLE!$F$15,$M47-$A$15,BG$13)))</f>
        <v>1000000000000</v>
      </c>
      <c r="BH47" s="171">
        <f ca="1">IF(OR($D47&lt;&gt;"Serviço",AND(AUTOEVENTO="Manual",$M47=$A$15)),0,
         IF(OFFSET(CRONOPLE!$F$15,$M47-$A$15,BH$13)=0,10^12,OFFSET(CRONOPLE!$F$15,$M47-$A$15,BH$13)))</f>
        <v>1000000000000</v>
      </c>
      <c r="BI47" s="171">
        <f ca="1">IF(OR($D47&lt;&gt;"Serviço",AND(AUTOEVENTO="Manual",$M47=$A$15)),0,
         IF(OFFSET(CRONOPLE!$F$15,$M47-$A$15,BI$13)=0,10^12,OFFSET(CRONOPLE!$F$15,$M47-$A$15,BI$13)))</f>
        <v>1000000000000</v>
      </c>
      <c r="BJ47" s="171">
        <f ca="1">IF(OR($D47&lt;&gt;"Serviço",AND(AUTOEVENTO="Manual",$M47=$A$15)),0,
         IF(OFFSET(CRONOPLE!$F$15,$M47-$A$15,BJ$13)=0,10^12,OFFSET(CRONOPLE!$F$15,$M47-$A$15,BJ$13)))</f>
        <v>1000000000000</v>
      </c>
      <c r="BK47" s="171">
        <f ca="1">IF(OR($D47&lt;&gt;"Serviço",AND(AUTOEVENTO="Manual",$M47=$A$15)),0,
         IF(OFFSET(CRONOPLE!$F$15,$M47-$A$15,BK$13)=0,10^12,OFFSET(CRONOPLE!$F$15,$M47-$A$15,BK$13)))</f>
        <v>1000000000000</v>
      </c>
      <c r="BL47" s="171">
        <f ca="1">IF(OR($D47&lt;&gt;"Serviço",AND(AUTOEVENTO="Manual",$M47=$A$15)),0,
         IF(OFFSET(CRONOPLE!$F$15,$M47-$A$15,BL$13)=0,10^12,OFFSET(CRONOPLE!$F$15,$M47-$A$15,BL$13)))</f>
        <v>1000000000000</v>
      </c>
      <c r="BM47" s="171">
        <f ca="1">IF(OR($D47&lt;&gt;"Serviço",AND(AUTOEVENTO="Manual",$M47=$A$15)),0,
         IF(OFFSET(CRONOPLE!$F$15,$M47-$A$15,BM$13)=0,10^12,OFFSET(CRONOPLE!$F$15,$M47-$A$15,BM$13)))</f>
        <v>1000000000000</v>
      </c>
      <c r="BN47" s="171">
        <f ca="1">IF(OR($D47&lt;&gt;"Serviço",AND(AUTOEVENTO="Manual",$M47=$A$15)),0,
         IF(OFFSET(CRONOPLE!$F$15,$M47-$A$15,BN$13)=0,10^12,OFFSET(CRONOPLE!$F$15,$M47-$A$15,BN$13)))</f>
        <v>4</v>
      </c>
      <c r="BO47" s="171">
        <f ca="1">IF(OR($D47&lt;&gt;"Serviço",AND(AUTOEVENTO="Manual",$M47=$A$15)),0,
         IF(OFFSET(CRONOPLE!$F$15,$M47-$A$15,BO$13)=0,10^12,OFFSET(CRONOPLE!$F$15,$M47-$A$15,BO$13)))</f>
        <v>1000000000000</v>
      </c>
      <c r="BP47" s="171">
        <f ca="1">IF(OR($D47&lt;&gt;"Serviço",AND(AUTOEVENTO="Manual",$M47=$A$15)),0,
         IF(OFFSET(CRONOPLE!$F$15,$M47-$A$15,BP$13)=0,10^12,OFFSET(CRONOPLE!$F$15,$M47-$A$15,BP$13)))</f>
        <v>1000000000000</v>
      </c>
      <c r="BQ47" s="171">
        <f ca="1">IF(OR($D47&lt;&gt;"Serviço",AND(AUTOEVENTO="Manual",$M47=$A$15)),0,
         IF(OFFSET(CRONOPLE!$F$15,$M47-$A$15,BQ$13)=0,10^12,OFFSET(CRONOPLE!$F$15,$M47-$A$15,BQ$13)))</f>
        <v>1000000000000</v>
      </c>
      <c r="BR47" s="171">
        <f ca="1">IF(OR($D47&lt;&gt;"Serviço",AND(AUTOEVENTO="Manual",$M47=$A$15)),0,
         IF(OFFSET(CRONOPLE!$F$15,$M47-$A$15,BR$13)=0,10^12,OFFSET(CRONOPLE!$F$15,$M47-$A$15,BR$13)))</f>
        <v>1000000000000</v>
      </c>
      <c r="BS47" s="171">
        <f ca="1">IF(OR($D47&lt;&gt;"Serviço",AND(AUTOEVENTO="Manual",$M47=$A$15)),0,
         IF(OFFSET(CRONOPLE!$F$15,$M47-$A$15,BS$13)=0,10^12,OFFSET(CRONOPLE!$F$15,$M47-$A$15,BS$13)))</f>
        <v>1000000000000</v>
      </c>
      <c r="BT47" s="171">
        <f ca="1">IF(OR($D47&lt;&gt;"Serviço",AND(AUTOEVENTO="Manual",$M47=$A$15)),0,
         IF(OFFSET(CRONOPLE!$F$15,$M47-$A$15,BT$13)=0,10^12,OFFSET(CRONOPLE!$F$15,$M47-$A$15,BT$13)))</f>
        <v>1000000000000</v>
      </c>
      <c r="BV47" s="172">
        <f ca="1">IF(OR($D47&lt;&gt;"Serviço",AND(AUTOEVENTO="Manual",$M47=$A$15),$M47&gt;(ROW(PLE.lastrow)-ROW(PLE.firstrow))),0,
           IF(OFFSET(PLE!$G$15,$M47-$A$15,BV$13)="",10^12,OFFSET(PLE!$G$15,$M47-$A$15,BV$13)))</f>
        <v>1000000000000</v>
      </c>
      <c r="BW47" s="172">
        <f ca="1">IF(OR($D47&lt;&gt;"Serviço",AND(AUTOEVENTO="Manual",$M47=$A$15),$M47&gt;(ROW(PLE.lastrow)-ROW(PLE.firstrow))),0,
           IF(OFFSET(PLE!$G$15,$M47-$A$15,BW$13)="",10^12,OFFSET(PLE!$G$15,$M47-$A$15,BW$13)))</f>
        <v>1000000000000</v>
      </c>
      <c r="BX47" s="172">
        <f ca="1">IF(OR($D47&lt;&gt;"Serviço",AND(AUTOEVENTO="Manual",$M47=$A$15),$M47&gt;(ROW(PLE.lastrow)-ROW(PLE.firstrow))),0,
           IF(OFFSET(PLE!$G$15,$M47-$A$15,BX$13)="",10^12,OFFSET(PLE!$G$15,$M47-$A$15,BX$13)))</f>
        <v>1000000000000</v>
      </c>
      <c r="BY47" s="172">
        <f ca="1">IF(OR($D47&lt;&gt;"Serviço",AND(AUTOEVENTO="Manual",$M47=$A$15),$M47&gt;(ROW(PLE.lastrow)-ROW(PLE.firstrow))),0,
           IF(OFFSET(PLE!$G$15,$M47-$A$15,BY$13)="",10^12,OFFSET(PLE!$G$15,$M47-$A$15,BY$13)))</f>
        <v>1000000000000</v>
      </c>
      <c r="BZ47" s="172">
        <f ca="1">IF(OR($D47&lt;&gt;"Serviço",AND(AUTOEVENTO="Manual",$M47=$A$15),$M47&gt;(ROW(PLE.lastrow)-ROW(PLE.firstrow))),0,
           IF(OFFSET(PLE!$G$15,$M47-$A$15,BZ$13)="",10^12,OFFSET(PLE!$G$15,$M47-$A$15,BZ$13)))</f>
        <v>1000000000000</v>
      </c>
      <c r="CA47" s="172">
        <f ca="1">IF(OR($D47&lt;&gt;"Serviço",AND(AUTOEVENTO="Manual",$M47=$A$15),$M47&gt;(ROW(PLE.lastrow)-ROW(PLE.firstrow))),0,
           IF(OFFSET(PLE!$G$15,$M47-$A$15,CA$13)="",10^12,OFFSET(PLE!$G$15,$M47-$A$15,CA$13)))</f>
        <v>1000000000000</v>
      </c>
      <c r="CB47" s="172">
        <f ca="1">IF(OR($D47&lt;&gt;"Serviço",AND(AUTOEVENTO="Manual",$M47=$A$15),$M47&gt;(ROW(PLE.lastrow)-ROW(PLE.firstrow))),0,
           IF(OFFSET(PLE!$G$15,$M47-$A$15,CB$13)="",10^12,OFFSET(PLE!$G$15,$M47-$A$15,CB$13)))</f>
        <v>1000000000000</v>
      </c>
      <c r="CC47" s="172">
        <f ca="1">IF(OR($D47&lt;&gt;"Serviço",AND(AUTOEVENTO="Manual",$M47=$A$15),$M47&gt;(ROW(PLE.lastrow)-ROW(PLE.firstrow))),0,
           IF(OFFSET(PLE!$G$15,$M47-$A$15,CC$13)="",10^12,OFFSET(PLE!$G$15,$M47-$A$15,CC$13)))</f>
        <v>1000000000000</v>
      </c>
      <c r="CD47" s="172">
        <f ca="1">IF(OR($D47&lt;&gt;"Serviço",AND(AUTOEVENTO="Manual",$M47=$A$15),$M47&gt;(ROW(PLE.lastrow)-ROW(PLE.firstrow))),0,
           IF(OFFSET(PLE!$G$15,$M47-$A$15,CD$13)="",10^12,OFFSET(PLE!$G$15,$M47-$A$15,CD$13)))</f>
        <v>1000000000000</v>
      </c>
      <c r="CE47" s="172">
        <f ca="1">IF(OR($D47&lt;&gt;"Serviço",AND(AUTOEVENTO="Manual",$M47=$A$15),$M47&gt;(ROW(PLE.lastrow)-ROW(PLE.firstrow))),0,
           IF(OFFSET(PLE!$G$15,$M47-$A$15,CE$13)="",10^12,OFFSET(PLE!$G$15,$M47-$A$15,CE$13)))</f>
        <v>1000000000000</v>
      </c>
      <c r="CF47" s="172">
        <f ca="1">IF(OR($D47&lt;&gt;"Serviço",AND(AUTOEVENTO="Manual",$M47=$A$15),$M47&gt;(ROW(PLE.lastrow)-ROW(PLE.firstrow))),0,
           IF(OFFSET(PLE!$G$15,$M47-$A$15,CF$13)="",10^12,OFFSET(PLE!$G$15,$M47-$A$15,CF$13)))</f>
        <v>1000000000000</v>
      </c>
      <c r="CG47" s="172">
        <f ca="1">IF(OR($D47&lt;&gt;"Serviço",AND(AUTOEVENTO="Manual",$M47=$A$15),$M47&gt;(ROW(PLE.lastrow)-ROW(PLE.firstrow))),0,
           IF(OFFSET(PLE!$G$15,$M47-$A$15,CG$13)="",10^12,OFFSET(PLE!$G$15,$M47-$A$15,CG$13)))</f>
        <v>1000000000000</v>
      </c>
      <c r="CH47" s="172">
        <f ca="1">IF(OR($D47&lt;&gt;"Serviço",AND(AUTOEVENTO="Manual",$M47=$A$15),$M47&gt;(ROW(PLE.lastrow)-ROW(PLE.firstrow))),0,
           IF(OFFSET(PLE!$G$15,$M47-$A$15,CH$13)="",10^12,OFFSET(PLE!$G$15,$M47-$A$15,CH$13)))</f>
        <v>1000000000000</v>
      </c>
      <c r="CI47" s="172">
        <f ca="1">IF(OR($D47&lt;&gt;"Serviço",AND(AUTOEVENTO="Manual",$M47=$A$15),$M47&gt;(ROW(PLE.lastrow)-ROW(PLE.firstrow))),0,
           IF(OFFSET(PLE!$G$15,$M47-$A$15,CI$13)="",10^12,OFFSET(PLE!$G$15,$M47-$A$15,CI$13)))</f>
        <v>1000000000000</v>
      </c>
      <c r="CJ47" s="172">
        <f ca="1">IF(OR($D47&lt;&gt;"Serviço",AND(AUTOEVENTO="Manual",$M47=$A$15),$M47&gt;(ROW(PLE.lastrow)-ROW(PLE.firstrow))),0,
           IF(OFFSET(PLE!$G$15,$M47-$A$15,CJ$13)="",10^12,OFFSET(PLE!$G$15,$M47-$A$15,CJ$13)))</f>
        <v>1000000000000</v>
      </c>
      <c r="CK47" s="172">
        <f ca="1">IF(OR($D47&lt;&gt;"Serviço",AND(AUTOEVENTO="Manual",$M47=$A$15),$M47&gt;(ROW(PLE.lastrow)-ROW(PLE.firstrow))),0,
           IF(OFFSET(PLE!$G$15,$M47-$A$15,CK$13)="",10^12,OFFSET(PLE!$G$15,$M47-$A$15,CK$13)))</f>
        <v>1000000000000</v>
      </c>
      <c r="CL47" s="172">
        <f ca="1">IF(OR($D47&lt;&gt;"Serviço",AND(AUTOEVENTO="Manual",$M47=$A$15),$M47&gt;(ROW(PLE.lastrow)-ROW(PLE.firstrow))),0,
           IF(OFFSET(PLE!$G$15,$M47-$A$15,CL$13)="",10^12,OFFSET(PLE!$G$15,$M47-$A$15,CL$13)))</f>
        <v>1000000000000</v>
      </c>
      <c r="CM47" s="172">
        <f ca="1">IF(OR($D47&lt;&gt;"Serviço",AND(AUTOEVENTO="Manual",$M47=$A$15),$M47&gt;(ROW(PLE.lastrow)-ROW(PLE.firstrow))),0,
           IF(OFFSET(PLE!$G$15,$M47-$A$15,CM$13)="",10^12,OFFSET(PLE!$G$15,$M47-$A$15,CM$13)))</f>
        <v>1000000000000</v>
      </c>
    </row>
    <row r="48" spans="1:91" ht="13.2" x14ac:dyDescent="0.25">
      <c r="A48" s="7" t="str">
        <f t="shared" ca="1" si="11"/>
        <v>33.</v>
      </c>
      <c r="B48" s="7">
        <f ca="1">OFFSET(ORÇAMENTO!C$15,ROW(B48)-ROW(B$15),0)</f>
        <v>2</v>
      </c>
      <c r="C48" s="7" t="str">
        <f ca="1">OFFSET(ORÇAMENTO!L$15,ROW(C48)-ROW(C$15),0)</f>
        <v>F</v>
      </c>
      <c r="D48" s="116" t="str">
        <f ca="1">OFFSET(ORÇAMENTO!N$15,ROW(D48)-ROW(D$15),0)</f>
        <v>Nível 2</v>
      </c>
      <c r="E48" s="117" t="str">
        <f ca="1">OFFSET(ORÇAMENTO!O$15,ROW(E48)-ROW(E$15),0)</f>
        <v>1.6.</v>
      </c>
      <c r="F48" s="163" t="str">
        <f ca="1">OFFSET(ORÇAMENTO!R$15,ROW(F48)-ROW(F$15),0)</f>
        <v>SINALIZAÇÃO</v>
      </c>
      <c r="G48" s="164" t="str">
        <f ca="1">IF($D48&lt;&gt;"Serviço","",OFFSET(ORÇAMENTO!S$15,ROW(G48)-ROW(G$15),0))</f>
        <v/>
      </c>
      <c r="H48" s="122" cm="1">
        <f t="array" aca="1" ref="H48" ca="1">IF($D48&lt;&gt;"Serviço",0,IF(ACOMPANHAMENTO="BM",ROUND(OFFSET(ORÇAMENTO!AJ$15,ROW(H48)-ROW(H$15),0),15-13*ORÇAMENTO!$AF$7),SUMPRODUCT(($Q$1:$AI$1=1)*ROUND($Q48:$AI48,15-13*ORÇAMENTO!$AF$7))))</f>
        <v>0</v>
      </c>
      <c r="I48" s="468"/>
      <c r="J48" s="651" t="str" cm="1">
        <f t="array" aca="1" ref="J48" ca="1">IF(OR(B48&lt;&gt;"S",CÁLCULO.FrentesPreenchidas=0),"",IF(AND(ACOMPANHAMENTO="PLE",AUTOEVENTO="Manual",OR(H48&gt;0,ORÇAMENTO!AC48="QUANT."),OR(K48="",M48=0,N48="")),"►E",IF(AND(ACOMPANHAMENTO="PLE",ORÇAMENTO!AC48="QUANT."),"►Q",IF(AND(ACOMPANHAMENTO="PLE",H48&lt;&gt;SUMPRODUCT(($Q$1:$AI$1=1)*ROUND(Q48:AI48,15))),"►S",IF(AND(COUNTIF($P$11:$AI$11,"▼")=0,H48&gt;0,I48=""),"◄M","")))))</f>
        <v/>
      </c>
      <c r="K48" s="652"/>
      <c r="L48" s="165" t="s">
        <v>764</v>
      </c>
      <c r="M48" s="166" t="str">
        <f ca="1">IF($D48&lt;&gt;"Serviço","",
          IF(AUTOEVENTO="manual",$A48,
                IF(ISERROR(MATCH($A48,$A$15:OFFSET($A48,-1,0),0)),MAX($M$15:OFFSET(M48,-1,0))+1,
                      INDEX($M$15:OFFSET(M48,-1,0),MATCH($A48,$A$15:OFFSET($A48,-1,0),0)))))</f>
        <v/>
      </c>
      <c r="N48" s="167" t="str">
        <f ca="1">IF($D48&lt;&gt;"Serviço","",
         IF(AUTOEVENTO="Manual",
                IF($A48=0,"&lt;-- defina o número do agrupador",
                       OFFSET(EVENTOS!$D$15,$A48-$A$15,0)),
                OFFSET($F$15,$A48,0)))</f>
        <v/>
      </c>
      <c r="O48" s="168"/>
      <c r="Q48" s="168"/>
      <c r="R48" s="169"/>
      <c r="S48" s="169"/>
      <c r="T48" s="169"/>
      <c r="U48" s="169"/>
      <c r="V48" s="169"/>
      <c r="W48" s="169"/>
      <c r="X48" s="169"/>
      <c r="Y48" s="169"/>
      <c r="Z48" s="170"/>
      <c r="AA48" s="169"/>
      <c r="AB48" s="169"/>
      <c r="AC48" s="169"/>
      <c r="AD48" s="169"/>
      <c r="AE48" s="169"/>
      <c r="AF48" s="169"/>
      <c r="AG48" s="169"/>
      <c r="AH48" s="170"/>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L48" s="453">
        <f ca="1">IF(AND($D48="Serviço",AL$12&lt;&gt;0,$H48&gt;0,OR(AUTOEVENTO&lt;&gt;"manual",$M48&lt;&gt;$A$15)),
        IF(Import.TipoArredondamento&lt;&gt;"TransfereGOV",
              ROUND(OFFSET($P48,0,AL$13),15-13*ORÇAMENTO!$AF$7)/$H48*OFFSET(ORÇAMENTO!$X$15,ROW(AL48)-ROW(AL$15),0),
              ROUND(ROUND(OFFSET($P48,0,AL$13),15-13*ORÇAMENTO!$AF$7)*OFFSET(ORÇAMENTO!$W$15,ROW(AL48)-ROW(AL$15),0),15-13*ORÇAMENTO!$AF$11)),
         0)</f>
        <v>0</v>
      </c>
      <c r="AM48" s="453">
        <f ca="1">IF(AND($D48="Serviço",AM$12&lt;&gt;0,$H48&gt;0,OR(AUTOEVENTO&lt;&gt;"manual",$M48&lt;&gt;$A$15)),
        IF(Import.TipoArredondamento&lt;&gt;"TransfereGOV",
              ROUND(OFFSET($P48,0,AM$13),15-13*ORÇAMENTO!$AF$7)/$H48*OFFSET(ORÇAMENTO!$X$15,ROW(AM48)-ROW(AM$15),0),
              ROUND(ROUND(OFFSET($P48,0,AM$13),15-13*ORÇAMENTO!$AF$7)*OFFSET(ORÇAMENTO!$W$15,ROW(AM48)-ROW(AM$15),0),15-13*ORÇAMENTO!$AF$11)),
         0)</f>
        <v>0</v>
      </c>
      <c r="AN48" s="453">
        <f ca="1">IF(AND($D48="Serviço",AN$12&lt;&gt;0,$H48&gt;0,OR(AUTOEVENTO&lt;&gt;"manual",$M48&lt;&gt;$A$15)),
        IF(Import.TipoArredondamento&lt;&gt;"TransfereGOV",
              ROUND(OFFSET($P48,0,AN$13),15-13*ORÇAMENTO!$AF$7)/$H48*OFFSET(ORÇAMENTO!$X$15,ROW(AN48)-ROW(AN$15),0),
              ROUND(ROUND(OFFSET($P48,0,AN$13),15-13*ORÇAMENTO!$AF$7)*OFFSET(ORÇAMENTO!$W$15,ROW(AN48)-ROW(AN$15),0),15-13*ORÇAMENTO!$AF$11)),
         0)</f>
        <v>0</v>
      </c>
      <c r="AO48" s="453">
        <f ca="1">IF(AND($D48="Serviço",AO$12&lt;&gt;0,$H48&gt;0,OR(AUTOEVENTO&lt;&gt;"manual",$M48&lt;&gt;$A$15)),
        IF(Import.TipoArredondamento&lt;&gt;"TransfereGOV",
              ROUND(OFFSET($P48,0,AO$13),15-13*ORÇAMENTO!$AF$7)/$H48*OFFSET(ORÇAMENTO!$X$15,ROW(AO48)-ROW(AO$15),0),
              ROUND(ROUND(OFFSET($P48,0,AO$13),15-13*ORÇAMENTO!$AF$7)*OFFSET(ORÇAMENTO!$W$15,ROW(AO48)-ROW(AO$15),0),15-13*ORÇAMENTO!$AF$11)),
         0)</f>
        <v>0</v>
      </c>
      <c r="AP48" s="453">
        <f ca="1">IF(AND($D48="Serviço",AP$12&lt;&gt;0,$H48&gt;0,OR(AUTOEVENTO&lt;&gt;"manual",$M48&lt;&gt;$A$15)),
        IF(Import.TipoArredondamento&lt;&gt;"TransfereGOV",
              ROUND(OFFSET($P48,0,AP$13),15-13*ORÇAMENTO!$AF$7)/$H48*OFFSET(ORÇAMENTO!$X$15,ROW(AP48)-ROW(AP$15),0),
              ROUND(ROUND(OFFSET($P48,0,AP$13),15-13*ORÇAMENTO!$AF$7)*OFFSET(ORÇAMENTO!$W$15,ROW(AP48)-ROW(AP$15),0),15-13*ORÇAMENTO!$AF$11)),
         0)</f>
        <v>0</v>
      </c>
      <c r="AQ48" s="453">
        <f ca="1">IF(AND($D48="Serviço",AQ$12&lt;&gt;0,$H48&gt;0,OR(AUTOEVENTO&lt;&gt;"manual",$M48&lt;&gt;$A$15)),
        IF(Import.TipoArredondamento&lt;&gt;"TransfereGOV",
              ROUND(OFFSET($P48,0,AQ$13),15-13*ORÇAMENTO!$AF$7)/$H48*OFFSET(ORÇAMENTO!$X$15,ROW(AQ48)-ROW(AQ$15),0),
              ROUND(ROUND(OFFSET($P48,0,AQ$13),15-13*ORÇAMENTO!$AF$7)*OFFSET(ORÇAMENTO!$W$15,ROW(AQ48)-ROW(AQ$15),0),15-13*ORÇAMENTO!$AF$11)),
         0)</f>
        <v>0</v>
      </c>
      <c r="AR48" s="453">
        <f ca="1">IF(AND($D48="Serviço",AR$12&lt;&gt;0,$H48&gt;0,OR(AUTOEVENTO&lt;&gt;"manual",$M48&lt;&gt;$A$15)),
        IF(Import.TipoArredondamento&lt;&gt;"TransfereGOV",
              ROUND(OFFSET($P48,0,AR$13),15-13*ORÇAMENTO!$AF$7)/$H48*OFFSET(ORÇAMENTO!$X$15,ROW(AR48)-ROW(AR$15),0),
              ROUND(ROUND(OFFSET($P48,0,AR$13),15-13*ORÇAMENTO!$AF$7)*OFFSET(ORÇAMENTO!$W$15,ROW(AR48)-ROW(AR$15),0),15-13*ORÇAMENTO!$AF$11)),
         0)</f>
        <v>0</v>
      </c>
      <c r="AS48" s="453">
        <f ca="1">IF(AND($D48="Serviço",AS$12&lt;&gt;0,$H48&gt;0,OR(AUTOEVENTO&lt;&gt;"manual",$M48&lt;&gt;$A$15)),
        IF(Import.TipoArredondamento&lt;&gt;"TransfereGOV",
              ROUND(OFFSET($P48,0,AS$13),15-13*ORÇAMENTO!$AF$7)/$H48*OFFSET(ORÇAMENTO!$X$15,ROW(AS48)-ROW(AS$15),0),
              ROUND(ROUND(OFFSET($P48,0,AS$13),15-13*ORÇAMENTO!$AF$7)*OFFSET(ORÇAMENTO!$W$15,ROW(AS48)-ROW(AS$15),0),15-13*ORÇAMENTO!$AF$11)),
         0)</f>
        <v>0</v>
      </c>
      <c r="AT48" s="453">
        <f ca="1">IF(AND($D48="Serviço",AT$12&lt;&gt;0,$H48&gt;0,OR(AUTOEVENTO&lt;&gt;"manual",$M48&lt;&gt;$A$15)),
        IF(Import.TipoArredondamento&lt;&gt;"TransfereGOV",
              ROUND(OFFSET($P48,0,AT$13),15-13*ORÇAMENTO!$AF$7)/$H48*OFFSET(ORÇAMENTO!$X$15,ROW(AT48)-ROW(AT$15),0),
              ROUND(ROUND(OFFSET($P48,0,AT$13),15-13*ORÇAMENTO!$AF$7)*OFFSET(ORÇAMENTO!$W$15,ROW(AT48)-ROW(AT$15),0),15-13*ORÇAMENTO!$AF$11)),
         0)</f>
        <v>0</v>
      </c>
      <c r="AU48" s="453">
        <f ca="1">IF(AND($D48="Serviço",AU$12&lt;&gt;0,$H48&gt;0,OR(AUTOEVENTO&lt;&gt;"manual",$M48&lt;&gt;$A$15)),
        IF(Import.TipoArredondamento&lt;&gt;"TransfereGOV",
              ROUND(OFFSET($P48,0,AU$13),15-13*ORÇAMENTO!$AF$7)/$H48*OFFSET(ORÇAMENTO!$X$15,ROW(AU48)-ROW(AU$15),0),
              ROUND(ROUND(OFFSET($P48,0,AU$13),15-13*ORÇAMENTO!$AF$7)*OFFSET(ORÇAMENTO!$W$15,ROW(AU48)-ROW(AU$15),0),15-13*ORÇAMENTO!$AF$11)),
         0)</f>
        <v>0</v>
      </c>
      <c r="AV48" s="453">
        <f ca="1">IF(AND($D48="Serviço",AV$12&lt;&gt;0,$H48&gt;0,OR(AUTOEVENTO&lt;&gt;"manual",$M48&lt;&gt;$A$15)),
        IF(Import.TipoArredondamento&lt;&gt;"TransfereGOV",
              ROUND(OFFSET($P48,0,AV$13),15-13*ORÇAMENTO!$AF$7)/$H48*OFFSET(ORÇAMENTO!$X$15,ROW(AV48)-ROW(AV$15),0),
              ROUND(ROUND(OFFSET($P48,0,AV$13),15-13*ORÇAMENTO!$AF$7)*OFFSET(ORÇAMENTO!$W$15,ROW(AV48)-ROW(AV$15),0),15-13*ORÇAMENTO!$AF$11)),
         0)</f>
        <v>0</v>
      </c>
      <c r="AW48" s="453">
        <f ca="1">IF(AND($D48="Serviço",AW$12&lt;&gt;0,$H48&gt;0,OR(AUTOEVENTO&lt;&gt;"manual",$M48&lt;&gt;$A$15)),
        IF(Import.TipoArredondamento&lt;&gt;"TransfereGOV",
              ROUND(OFFSET($P48,0,AW$13),15-13*ORÇAMENTO!$AF$7)/$H48*OFFSET(ORÇAMENTO!$X$15,ROW(AW48)-ROW(AW$15),0),
              ROUND(ROUND(OFFSET($P48,0,AW$13),15-13*ORÇAMENTO!$AF$7)*OFFSET(ORÇAMENTO!$W$15,ROW(AW48)-ROW(AW$15),0),15-13*ORÇAMENTO!$AF$11)),
         0)</f>
        <v>0</v>
      </c>
      <c r="AX48" s="453">
        <f ca="1">IF(AND($D48="Serviço",AX$12&lt;&gt;0,$H48&gt;0,OR(AUTOEVENTO&lt;&gt;"manual",$M48&lt;&gt;$A$15)),
        IF(Import.TipoArredondamento&lt;&gt;"TransfereGOV",
              ROUND(OFFSET($P48,0,AX$13),15-13*ORÇAMENTO!$AF$7)/$H48*OFFSET(ORÇAMENTO!$X$15,ROW(AX48)-ROW(AX$15),0),
              ROUND(ROUND(OFFSET($P48,0,AX$13),15-13*ORÇAMENTO!$AF$7)*OFFSET(ORÇAMENTO!$W$15,ROW(AX48)-ROW(AX$15),0),15-13*ORÇAMENTO!$AF$11)),
         0)</f>
        <v>0</v>
      </c>
      <c r="AY48" s="453">
        <f ca="1">IF(AND($D48="Serviço",AY$12&lt;&gt;0,$H48&gt;0,OR(AUTOEVENTO&lt;&gt;"manual",$M48&lt;&gt;$A$15)),
        IF(Import.TipoArredondamento&lt;&gt;"TransfereGOV",
              ROUND(OFFSET($P48,0,AY$13),15-13*ORÇAMENTO!$AF$7)/$H48*OFFSET(ORÇAMENTO!$X$15,ROW(AY48)-ROW(AY$15),0),
              ROUND(ROUND(OFFSET($P48,0,AY$13),15-13*ORÇAMENTO!$AF$7)*OFFSET(ORÇAMENTO!$W$15,ROW(AY48)-ROW(AY$15),0),15-13*ORÇAMENTO!$AF$11)),
         0)</f>
        <v>0</v>
      </c>
      <c r="AZ48" s="453">
        <f ca="1">IF(AND($D48="Serviço",AZ$12&lt;&gt;0,$H48&gt;0,OR(AUTOEVENTO&lt;&gt;"manual",$M48&lt;&gt;$A$15)),
        IF(Import.TipoArredondamento&lt;&gt;"TransfereGOV",
              ROUND(OFFSET($P48,0,AZ$13),15-13*ORÇAMENTO!$AF$7)/$H48*OFFSET(ORÇAMENTO!$X$15,ROW(AZ48)-ROW(AZ$15),0),
              ROUND(ROUND(OFFSET($P48,0,AZ$13),15-13*ORÇAMENTO!$AF$7)*OFFSET(ORÇAMENTO!$W$15,ROW(AZ48)-ROW(AZ$15),0),15-13*ORÇAMENTO!$AF$11)),
         0)</f>
        <v>0</v>
      </c>
      <c r="BA48" s="453">
        <f ca="1">IF(AND($D48="Serviço",BA$12&lt;&gt;0,$H48&gt;0,OR(AUTOEVENTO&lt;&gt;"manual",$M48&lt;&gt;$A$15)),
        IF(Import.TipoArredondamento&lt;&gt;"TransfereGOV",
              ROUND(OFFSET($P48,0,BA$13),15-13*ORÇAMENTO!$AF$7)/$H48*OFFSET(ORÇAMENTO!$X$15,ROW(BA48)-ROW(BA$15),0),
              ROUND(ROUND(OFFSET($P48,0,BA$13),15-13*ORÇAMENTO!$AF$7)*OFFSET(ORÇAMENTO!$W$15,ROW(BA48)-ROW(BA$15),0),15-13*ORÇAMENTO!$AF$11)),
         0)</f>
        <v>0</v>
      </c>
      <c r="BC48" s="171">
        <f ca="1">IF(OR($D48&lt;&gt;"Serviço",AND(AUTOEVENTO="Manual",$M48=$A$15)),0,
         IF(OFFSET(CRONOPLE!$F$15,$M48-$A$15,BC$13)=0,10^12,OFFSET(CRONOPLE!$F$15,$M48-$A$15,BC$13)))</f>
        <v>0</v>
      </c>
      <c r="BD48" s="171">
        <f ca="1">IF(OR($D48&lt;&gt;"Serviço",AND(AUTOEVENTO="Manual",$M48=$A$15)),0,
         IF(OFFSET(CRONOPLE!$F$15,$M48-$A$15,BD$13)=0,10^12,OFFSET(CRONOPLE!$F$15,$M48-$A$15,BD$13)))</f>
        <v>0</v>
      </c>
      <c r="BE48" s="171">
        <f ca="1">IF(OR($D48&lt;&gt;"Serviço",AND(AUTOEVENTO="Manual",$M48=$A$15)),0,
         IF(OFFSET(CRONOPLE!$F$15,$M48-$A$15,BE$13)=0,10^12,OFFSET(CRONOPLE!$F$15,$M48-$A$15,BE$13)))</f>
        <v>0</v>
      </c>
      <c r="BF48" s="171">
        <f ca="1">IF(OR($D48&lt;&gt;"Serviço",AND(AUTOEVENTO="Manual",$M48=$A$15)),0,
         IF(OFFSET(CRONOPLE!$F$15,$M48-$A$15,BF$13)=0,10^12,OFFSET(CRONOPLE!$F$15,$M48-$A$15,BF$13)))</f>
        <v>0</v>
      </c>
      <c r="BG48" s="171">
        <f ca="1">IF(OR($D48&lt;&gt;"Serviço",AND(AUTOEVENTO="Manual",$M48=$A$15)),0,
         IF(OFFSET(CRONOPLE!$F$15,$M48-$A$15,BG$13)=0,10^12,OFFSET(CRONOPLE!$F$15,$M48-$A$15,BG$13)))</f>
        <v>0</v>
      </c>
      <c r="BH48" s="171">
        <f ca="1">IF(OR($D48&lt;&gt;"Serviço",AND(AUTOEVENTO="Manual",$M48=$A$15)),0,
         IF(OFFSET(CRONOPLE!$F$15,$M48-$A$15,BH$13)=0,10^12,OFFSET(CRONOPLE!$F$15,$M48-$A$15,BH$13)))</f>
        <v>0</v>
      </c>
      <c r="BI48" s="171">
        <f ca="1">IF(OR($D48&lt;&gt;"Serviço",AND(AUTOEVENTO="Manual",$M48=$A$15)),0,
         IF(OFFSET(CRONOPLE!$F$15,$M48-$A$15,BI$13)=0,10^12,OFFSET(CRONOPLE!$F$15,$M48-$A$15,BI$13)))</f>
        <v>0</v>
      </c>
      <c r="BJ48" s="171">
        <f ca="1">IF(OR($D48&lt;&gt;"Serviço",AND(AUTOEVENTO="Manual",$M48=$A$15)),0,
         IF(OFFSET(CRONOPLE!$F$15,$M48-$A$15,BJ$13)=0,10^12,OFFSET(CRONOPLE!$F$15,$M48-$A$15,BJ$13)))</f>
        <v>0</v>
      </c>
      <c r="BK48" s="171">
        <f ca="1">IF(OR($D48&lt;&gt;"Serviço",AND(AUTOEVENTO="Manual",$M48=$A$15)),0,
         IF(OFFSET(CRONOPLE!$F$15,$M48-$A$15,BK$13)=0,10^12,OFFSET(CRONOPLE!$F$15,$M48-$A$15,BK$13)))</f>
        <v>0</v>
      </c>
      <c r="BL48" s="171">
        <f ca="1">IF(OR($D48&lt;&gt;"Serviço",AND(AUTOEVENTO="Manual",$M48=$A$15)),0,
         IF(OFFSET(CRONOPLE!$F$15,$M48-$A$15,BL$13)=0,10^12,OFFSET(CRONOPLE!$F$15,$M48-$A$15,BL$13)))</f>
        <v>0</v>
      </c>
      <c r="BM48" s="171">
        <f ca="1">IF(OR($D48&lt;&gt;"Serviço",AND(AUTOEVENTO="Manual",$M48=$A$15)),0,
         IF(OFFSET(CRONOPLE!$F$15,$M48-$A$15,BM$13)=0,10^12,OFFSET(CRONOPLE!$F$15,$M48-$A$15,BM$13)))</f>
        <v>0</v>
      </c>
      <c r="BN48" s="171">
        <f ca="1">IF(OR($D48&lt;&gt;"Serviço",AND(AUTOEVENTO="Manual",$M48=$A$15)),0,
         IF(OFFSET(CRONOPLE!$F$15,$M48-$A$15,BN$13)=0,10^12,OFFSET(CRONOPLE!$F$15,$M48-$A$15,BN$13)))</f>
        <v>0</v>
      </c>
      <c r="BO48" s="171">
        <f ca="1">IF(OR($D48&lt;&gt;"Serviço",AND(AUTOEVENTO="Manual",$M48=$A$15)),0,
         IF(OFFSET(CRONOPLE!$F$15,$M48-$A$15,BO$13)=0,10^12,OFFSET(CRONOPLE!$F$15,$M48-$A$15,BO$13)))</f>
        <v>0</v>
      </c>
      <c r="BP48" s="171">
        <f ca="1">IF(OR($D48&lt;&gt;"Serviço",AND(AUTOEVENTO="Manual",$M48=$A$15)),0,
         IF(OFFSET(CRONOPLE!$F$15,$M48-$A$15,BP$13)=0,10^12,OFFSET(CRONOPLE!$F$15,$M48-$A$15,BP$13)))</f>
        <v>0</v>
      </c>
      <c r="BQ48" s="171">
        <f ca="1">IF(OR($D48&lt;&gt;"Serviço",AND(AUTOEVENTO="Manual",$M48=$A$15)),0,
         IF(OFFSET(CRONOPLE!$F$15,$M48-$A$15,BQ$13)=0,10^12,OFFSET(CRONOPLE!$F$15,$M48-$A$15,BQ$13)))</f>
        <v>0</v>
      </c>
      <c r="BR48" s="171">
        <f ca="1">IF(OR($D48&lt;&gt;"Serviço",AND(AUTOEVENTO="Manual",$M48=$A$15)),0,
         IF(OFFSET(CRONOPLE!$F$15,$M48-$A$15,BR$13)=0,10^12,OFFSET(CRONOPLE!$F$15,$M48-$A$15,BR$13)))</f>
        <v>0</v>
      </c>
      <c r="BS48" s="171">
        <f ca="1">IF(OR($D48&lt;&gt;"Serviço",AND(AUTOEVENTO="Manual",$M48=$A$15)),0,
         IF(OFFSET(CRONOPLE!$F$15,$M48-$A$15,BS$13)=0,10^12,OFFSET(CRONOPLE!$F$15,$M48-$A$15,BS$13)))</f>
        <v>0</v>
      </c>
      <c r="BT48" s="171">
        <f ca="1">IF(OR($D48&lt;&gt;"Serviço",AND(AUTOEVENTO="Manual",$M48=$A$15)),0,
         IF(OFFSET(CRONOPLE!$F$15,$M48-$A$15,BT$13)=0,10^12,OFFSET(CRONOPLE!$F$15,$M48-$A$15,BT$13)))</f>
        <v>0</v>
      </c>
      <c r="BV48" s="172">
        <f ca="1">IF(OR($D48&lt;&gt;"Serviço",AND(AUTOEVENTO="Manual",$M48=$A$15),$M48&gt;(ROW(PLE.lastrow)-ROW(PLE.firstrow))),0,
           IF(OFFSET(PLE!$G$15,$M48-$A$15,BV$13)="",10^12,OFFSET(PLE!$G$15,$M48-$A$15,BV$13)))</f>
        <v>0</v>
      </c>
      <c r="BW48" s="172">
        <f ca="1">IF(OR($D48&lt;&gt;"Serviço",AND(AUTOEVENTO="Manual",$M48=$A$15),$M48&gt;(ROW(PLE.lastrow)-ROW(PLE.firstrow))),0,
           IF(OFFSET(PLE!$G$15,$M48-$A$15,BW$13)="",10^12,OFFSET(PLE!$G$15,$M48-$A$15,BW$13)))</f>
        <v>0</v>
      </c>
      <c r="BX48" s="172">
        <f ca="1">IF(OR($D48&lt;&gt;"Serviço",AND(AUTOEVENTO="Manual",$M48=$A$15),$M48&gt;(ROW(PLE.lastrow)-ROW(PLE.firstrow))),0,
           IF(OFFSET(PLE!$G$15,$M48-$A$15,BX$13)="",10^12,OFFSET(PLE!$G$15,$M48-$A$15,BX$13)))</f>
        <v>0</v>
      </c>
      <c r="BY48" s="172">
        <f ca="1">IF(OR($D48&lt;&gt;"Serviço",AND(AUTOEVENTO="Manual",$M48=$A$15),$M48&gt;(ROW(PLE.lastrow)-ROW(PLE.firstrow))),0,
           IF(OFFSET(PLE!$G$15,$M48-$A$15,BY$13)="",10^12,OFFSET(PLE!$G$15,$M48-$A$15,BY$13)))</f>
        <v>0</v>
      </c>
      <c r="BZ48" s="172">
        <f ca="1">IF(OR($D48&lt;&gt;"Serviço",AND(AUTOEVENTO="Manual",$M48=$A$15),$M48&gt;(ROW(PLE.lastrow)-ROW(PLE.firstrow))),0,
           IF(OFFSET(PLE!$G$15,$M48-$A$15,BZ$13)="",10^12,OFFSET(PLE!$G$15,$M48-$A$15,BZ$13)))</f>
        <v>0</v>
      </c>
      <c r="CA48" s="172">
        <f ca="1">IF(OR($D48&lt;&gt;"Serviço",AND(AUTOEVENTO="Manual",$M48=$A$15),$M48&gt;(ROW(PLE.lastrow)-ROW(PLE.firstrow))),0,
           IF(OFFSET(PLE!$G$15,$M48-$A$15,CA$13)="",10^12,OFFSET(PLE!$G$15,$M48-$A$15,CA$13)))</f>
        <v>0</v>
      </c>
      <c r="CB48" s="172">
        <f ca="1">IF(OR($D48&lt;&gt;"Serviço",AND(AUTOEVENTO="Manual",$M48=$A$15),$M48&gt;(ROW(PLE.lastrow)-ROW(PLE.firstrow))),0,
           IF(OFFSET(PLE!$G$15,$M48-$A$15,CB$13)="",10^12,OFFSET(PLE!$G$15,$M48-$A$15,CB$13)))</f>
        <v>0</v>
      </c>
      <c r="CC48" s="172">
        <f ca="1">IF(OR($D48&lt;&gt;"Serviço",AND(AUTOEVENTO="Manual",$M48=$A$15),$M48&gt;(ROW(PLE.lastrow)-ROW(PLE.firstrow))),0,
           IF(OFFSET(PLE!$G$15,$M48-$A$15,CC$13)="",10^12,OFFSET(PLE!$G$15,$M48-$A$15,CC$13)))</f>
        <v>0</v>
      </c>
      <c r="CD48" s="172">
        <f ca="1">IF(OR($D48&lt;&gt;"Serviço",AND(AUTOEVENTO="Manual",$M48=$A$15),$M48&gt;(ROW(PLE.lastrow)-ROW(PLE.firstrow))),0,
           IF(OFFSET(PLE!$G$15,$M48-$A$15,CD$13)="",10^12,OFFSET(PLE!$G$15,$M48-$A$15,CD$13)))</f>
        <v>0</v>
      </c>
      <c r="CE48" s="172">
        <f ca="1">IF(OR($D48&lt;&gt;"Serviço",AND(AUTOEVENTO="Manual",$M48=$A$15),$M48&gt;(ROW(PLE.lastrow)-ROW(PLE.firstrow))),0,
           IF(OFFSET(PLE!$G$15,$M48-$A$15,CE$13)="",10^12,OFFSET(PLE!$G$15,$M48-$A$15,CE$13)))</f>
        <v>0</v>
      </c>
      <c r="CF48" s="172">
        <f ca="1">IF(OR($D48&lt;&gt;"Serviço",AND(AUTOEVENTO="Manual",$M48=$A$15),$M48&gt;(ROW(PLE.lastrow)-ROW(PLE.firstrow))),0,
           IF(OFFSET(PLE!$G$15,$M48-$A$15,CF$13)="",10^12,OFFSET(PLE!$G$15,$M48-$A$15,CF$13)))</f>
        <v>0</v>
      </c>
      <c r="CG48" s="172">
        <f ca="1">IF(OR($D48&lt;&gt;"Serviço",AND(AUTOEVENTO="Manual",$M48=$A$15),$M48&gt;(ROW(PLE.lastrow)-ROW(PLE.firstrow))),0,
           IF(OFFSET(PLE!$G$15,$M48-$A$15,CG$13)="",10^12,OFFSET(PLE!$G$15,$M48-$A$15,CG$13)))</f>
        <v>0</v>
      </c>
      <c r="CH48" s="172">
        <f ca="1">IF(OR($D48&lt;&gt;"Serviço",AND(AUTOEVENTO="Manual",$M48=$A$15),$M48&gt;(ROW(PLE.lastrow)-ROW(PLE.firstrow))),0,
           IF(OFFSET(PLE!$G$15,$M48-$A$15,CH$13)="",10^12,OFFSET(PLE!$G$15,$M48-$A$15,CH$13)))</f>
        <v>0</v>
      </c>
      <c r="CI48" s="172">
        <f ca="1">IF(OR($D48&lt;&gt;"Serviço",AND(AUTOEVENTO="Manual",$M48=$A$15),$M48&gt;(ROW(PLE.lastrow)-ROW(PLE.firstrow))),0,
           IF(OFFSET(PLE!$G$15,$M48-$A$15,CI$13)="",10^12,OFFSET(PLE!$G$15,$M48-$A$15,CI$13)))</f>
        <v>0</v>
      </c>
      <c r="CJ48" s="172">
        <f ca="1">IF(OR($D48&lt;&gt;"Serviço",AND(AUTOEVENTO="Manual",$M48=$A$15),$M48&gt;(ROW(PLE.lastrow)-ROW(PLE.firstrow))),0,
           IF(OFFSET(PLE!$G$15,$M48-$A$15,CJ$13)="",10^12,OFFSET(PLE!$G$15,$M48-$A$15,CJ$13)))</f>
        <v>0</v>
      </c>
      <c r="CK48" s="172">
        <f ca="1">IF(OR($D48&lt;&gt;"Serviço",AND(AUTOEVENTO="Manual",$M48=$A$15),$M48&gt;(ROW(PLE.lastrow)-ROW(PLE.firstrow))),0,
           IF(OFFSET(PLE!$G$15,$M48-$A$15,CK$13)="",10^12,OFFSET(PLE!$G$15,$M48-$A$15,CK$13)))</f>
        <v>0</v>
      </c>
      <c r="CL48" s="172">
        <f ca="1">IF(OR($D48&lt;&gt;"Serviço",AND(AUTOEVENTO="Manual",$M48=$A$15),$M48&gt;(ROW(PLE.lastrow)-ROW(PLE.firstrow))),0,
           IF(OFFSET(PLE!$G$15,$M48-$A$15,CL$13)="",10^12,OFFSET(PLE!$G$15,$M48-$A$15,CL$13)))</f>
        <v>0</v>
      </c>
      <c r="CM48" s="172">
        <f ca="1">IF(OR($D48&lt;&gt;"Serviço",AND(AUTOEVENTO="Manual",$M48=$A$15),$M48&gt;(ROW(PLE.lastrow)-ROW(PLE.firstrow))),0,
           IF(OFFSET(PLE!$G$15,$M48-$A$15,CM$13)="",10^12,OFFSET(PLE!$G$15,$M48-$A$15,CM$13)))</f>
        <v>0</v>
      </c>
    </row>
    <row r="49" spans="1:91" ht="39.6" x14ac:dyDescent="0.25">
      <c r="A49" s="7" t="str">
        <f t="shared" ca="1" si="11"/>
        <v>33</v>
      </c>
      <c r="B49" s="7" t="str">
        <f ca="1">OFFSET(ORÇAMENTO!C$15,ROW(B49)-ROW(B$15),0)</f>
        <v>S</v>
      </c>
      <c r="C49" s="7" t="str">
        <f ca="1">OFFSET(ORÇAMENTO!L$15,ROW(C49)-ROW(C$15),0)</f>
        <v>F</v>
      </c>
      <c r="D49" s="116" t="str">
        <f ca="1">OFFSET(ORÇAMENTO!N$15,ROW(D49)-ROW(D$15),0)</f>
        <v>Serviço</v>
      </c>
      <c r="E49" s="117" t="str">
        <f ca="1">OFFSET(ORÇAMENTO!O$15,ROW(E49)-ROW(E$15),0)</f>
        <v>1.6.1.</v>
      </c>
      <c r="F49" s="163" t="str">
        <f ca="1">OFFSET(ORÇAMENTO!R$15,ROW(F49)-ROW(F$15),0)</f>
        <v>PINTURA DE FAIXA DE PEDESTRE OU ZEBRADA, TINTA RETROREFLETIVA A BASE DE RESINA ACRÍLICA COMMICROESFERAS DE VIDRO, E= 30CM</v>
      </c>
      <c r="G49" s="164" t="str">
        <f ca="1">IF($D49&lt;&gt;"Serviço","",OFFSET(ORÇAMENTO!S$15,ROW(G49)-ROW(G$15),0))</f>
        <v>M2</v>
      </c>
      <c r="H49" s="122" cm="1">
        <f t="array" aca="1" ref="H49" ca="1">IF($D49&lt;&gt;"Serviço",0,IF(ACOMPANHAMENTO="BM",ROUND(OFFSET(ORÇAMENTO!AJ$15,ROW(H49)-ROW(H$15),0),15-13*ORÇAMENTO!$AF$7),SUMPRODUCT(($Q$1:$AI$1=1)*ROUND($Q49:$AI49,15-13*ORÇAMENTO!$AF$7))))</f>
        <v>72.05</v>
      </c>
      <c r="I49" s="468"/>
      <c r="J49" s="651" t="e" cm="1">
        <f t="array" aca="1" ref="J49" ca="1">IF(OR(B49&lt;&gt;"S",CÁLCULO.FrentesPreenchidas=0),"",IF(AND(ACOMPANHAMENTO="PLE",AUTOEVENTO="Manual",OR(H49&gt;0,ORÇAMENTO!AC49="QUANT."),OR(K49="",M49=0,N49="")),"►E",IF(AND(ACOMPANHAMENTO="PLE",ORÇAMENTO!AC49="QUANT."),"►Q",IF(AND(ACOMPANHAMENTO="PLE",H49&lt;&gt;SUMPRODUCT(($Q$1:$AI$1=1)*ROUND(Q49:AI49,15))),"►S",IF(AND(COUNTIF($P$11:$AI$11,"▼")=0,H49&gt;0,I49=""),"◄M","")))))</f>
        <v>#NAME?</v>
      </c>
      <c r="K49" s="652"/>
      <c r="L49" s="165" t="s">
        <v>764</v>
      </c>
      <c r="M49" s="166">
        <f ca="1">IF($D49&lt;&gt;"Serviço","",
          IF(AUTOEVENTO="manual",$A49,
                IF(ISERROR(MATCH($A49,$A$15:OFFSET($A49,-1,0),0)),MAX($M$15:OFFSET(M49,-1,0))+1,
                      INDEX($M$15:OFFSET(M49,-1,0),MATCH($A49,$A$15:OFFSET($A49,-1,0),0)))))</f>
        <v>6</v>
      </c>
      <c r="N49" s="167" t="str">
        <f ca="1">IF($D49&lt;&gt;"Serviço","",
         IF(AUTOEVENTO="Manual",
                IF($A49=0,"&lt;-- defina o número do agrupador",
                       OFFSET(EVENTOS!$D$15,$A49-$A$15,0)),
                OFFSET($F$15,$A49,0)))</f>
        <v>SINALIZAÇÃO</v>
      </c>
      <c r="O49" s="168"/>
      <c r="Q49" s="168"/>
      <c r="R49" s="169"/>
      <c r="S49" s="169">
        <v>72.05</v>
      </c>
      <c r="T49" s="169"/>
      <c r="U49" s="169"/>
      <c r="V49" s="169"/>
      <c r="W49" s="169"/>
      <c r="X49" s="169"/>
      <c r="Y49" s="169"/>
      <c r="Z49" s="170"/>
      <c r="AA49" s="169"/>
      <c r="AB49" s="169"/>
      <c r="AC49" s="169"/>
      <c r="AD49" s="169"/>
      <c r="AE49" s="169"/>
      <c r="AF49" s="169"/>
      <c r="AG49" s="169"/>
      <c r="AH49" s="170"/>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L49" s="453">
        <f ca="1">IF(AND($D49="Serviço",AL$12&lt;&gt;0,$H49&gt;0,OR(AUTOEVENTO&lt;&gt;"manual",$M49&lt;&gt;$A$15)),
        IF(Import.TipoArredondamento&lt;&gt;"TransfereGOV",
              ROUND(OFFSET($P49,0,AL$13),15-13*ORÇAMENTO!$AF$7)/$H49*OFFSET(ORÇAMENTO!$X$15,ROW(AL49)-ROW(AL$15),0),
              ROUND(ROUND(OFFSET($P49,0,AL$13),15-13*ORÇAMENTO!$AF$7)*OFFSET(ORÇAMENTO!$W$15,ROW(AL49)-ROW(AL$15),0),15-13*ORÇAMENTO!$AF$11)),
         0)</f>
        <v>3496.59</v>
      </c>
      <c r="AM49" s="453">
        <f ca="1">IF(AND($D49="Serviço",AM$12&lt;&gt;0,$H49&gt;0,OR(AUTOEVENTO&lt;&gt;"manual",$M49&lt;&gt;$A$15)),
        IF(Import.TipoArredondamento&lt;&gt;"TransfereGOV",
              ROUND(OFFSET($P49,0,AM$13),15-13*ORÇAMENTO!$AF$7)/$H49*OFFSET(ORÇAMENTO!$X$15,ROW(AM49)-ROW(AM$15),0),
              ROUND(ROUND(OFFSET($P49,0,AM$13),15-13*ORÇAMENTO!$AF$7)*OFFSET(ORÇAMENTO!$W$15,ROW(AM49)-ROW(AM$15),0),15-13*ORÇAMENTO!$AF$11)),
         0)</f>
        <v>0</v>
      </c>
      <c r="AN49" s="453">
        <f ca="1">IF(AND($D49="Serviço",AN$12&lt;&gt;0,$H49&gt;0,OR(AUTOEVENTO&lt;&gt;"manual",$M49&lt;&gt;$A$15)),
        IF(Import.TipoArredondamento&lt;&gt;"TransfereGOV",
              ROUND(OFFSET($P49,0,AN$13),15-13*ORÇAMENTO!$AF$7)/$H49*OFFSET(ORÇAMENTO!$X$15,ROW(AN49)-ROW(AN$15),0),
              ROUND(ROUND(OFFSET($P49,0,AN$13),15-13*ORÇAMENTO!$AF$7)*OFFSET(ORÇAMENTO!$W$15,ROW(AN49)-ROW(AN$15),0),15-13*ORÇAMENTO!$AF$11)),
         0)</f>
        <v>0</v>
      </c>
      <c r="AO49" s="453">
        <f ca="1">IF(AND($D49="Serviço",AO$12&lt;&gt;0,$H49&gt;0,OR(AUTOEVENTO&lt;&gt;"manual",$M49&lt;&gt;$A$15)),
        IF(Import.TipoArredondamento&lt;&gt;"TransfereGOV",
              ROUND(OFFSET($P49,0,AO$13),15-13*ORÇAMENTO!$AF$7)/$H49*OFFSET(ORÇAMENTO!$X$15,ROW(AO49)-ROW(AO$15),0),
              ROUND(ROUND(OFFSET($P49,0,AO$13),15-13*ORÇAMENTO!$AF$7)*OFFSET(ORÇAMENTO!$W$15,ROW(AO49)-ROW(AO$15),0),15-13*ORÇAMENTO!$AF$11)),
         0)</f>
        <v>0</v>
      </c>
      <c r="AP49" s="453">
        <f ca="1">IF(AND($D49="Serviço",AP$12&lt;&gt;0,$H49&gt;0,OR(AUTOEVENTO&lt;&gt;"manual",$M49&lt;&gt;$A$15)),
        IF(Import.TipoArredondamento&lt;&gt;"TransfereGOV",
              ROUND(OFFSET($P49,0,AP$13),15-13*ORÇAMENTO!$AF$7)/$H49*OFFSET(ORÇAMENTO!$X$15,ROW(AP49)-ROW(AP$15),0),
              ROUND(ROUND(OFFSET($P49,0,AP$13),15-13*ORÇAMENTO!$AF$7)*OFFSET(ORÇAMENTO!$W$15,ROW(AP49)-ROW(AP$15),0),15-13*ORÇAMENTO!$AF$11)),
         0)</f>
        <v>0</v>
      </c>
      <c r="AQ49" s="453">
        <f ca="1">IF(AND($D49="Serviço",AQ$12&lt;&gt;0,$H49&gt;0,OR(AUTOEVENTO&lt;&gt;"manual",$M49&lt;&gt;$A$15)),
        IF(Import.TipoArredondamento&lt;&gt;"TransfereGOV",
              ROUND(OFFSET($P49,0,AQ$13),15-13*ORÇAMENTO!$AF$7)/$H49*OFFSET(ORÇAMENTO!$X$15,ROW(AQ49)-ROW(AQ$15),0),
              ROUND(ROUND(OFFSET($P49,0,AQ$13),15-13*ORÇAMENTO!$AF$7)*OFFSET(ORÇAMENTO!$W$15,ROW(AQ49)-ROW(AQ$15),0),15-13*ORÇAMENTO!$AF$11)),
         0)</f>
        <v>0</v>
      </c>
      <c r="AR49" s="453">
        <f ca="1">IF(AND($D49="Serviço",AR$12&lt;&gt;0,$H49&gt;0,OR(AUTOEVENTO&lt;&gt;"manual",$M49&lt;&gt;$A$15)),
        IF(Import.TipoArredondamento&lt;&gt;"TransfereGOV",
              ROUND(OFFSET($P49,0,AR$13),15-13*ORÇAMENTO!$AF$7)/$H49*OFFSET(ORÇAMENTO!$X$15,ROW(AR49)-ROW(AR$15),0),
              ROUND(ROUND(OFFSET($P49,0,AR$13),15-13*ORÇAMENTO!$AF$7)*OFFSET(ORÇAMENTO!$W$15,ROW(AR49)-ROW(AR$15),0),15-13*ORÇAMENTO!$AF$11)),
         0)</f>
        <v>0</v>
      </c>
      <c r="AS49" s="453">
        <f ca="1">IF(AND($D49="Serviço",AS$12&lt;&gt;0,$H49&gt;0,OR(AUTOEVENTO&lt;&gt;"manual",$M49&lt;&gt;$A$15)),
        IF(Import.TipoArredondamento&lt;&gt;"TransfereGOV",
              ROUND(OFFSET($P49,0,AS$13),15-13*ORÇAMENTO!$AF$7)/$H49*OFFSET(ORÇAMENTO!$X$15,ROW(AS49)-ROW(AS$15),0),
              ROUND(ROUND(OFFSET($P49,0,AS$13),15-13*ORÇAMENTO!$AF$7)*OFFSET(ORÇAMENTO!$W$15,ROW(AS49)-ROW(AS$15),0),15-13*ORÇAMENTO!$AF$11)),
         0)</f>
        <v>0</v>
      </c>
      <c r="AT49" s="453">
        <f ca="1">IF(AND($D49="Serviço",AT$12&lt;&gt;0,$H49&gt;0,OR(AUTOEVENTO&lt;&gt;"manual",$M49&lt;&gt;$A$15)),
        IF(Import.TipoArredondamento&lt;&gt;"TransfereGOV",
              ROUND(OFFSET($P49,0,AT$13),15-13*ORÇAMENTO!$AF$7)/$H49*OFFSET(ORÇAMENTO!$X$15,ROW(AT49)-ROW(AT$15),0),
              ROUND(ROUND(OFFSET($P49,0,AT$13),15-13*ORÇAMENTO!$AF$7)*OFFSET(ORÇAMENTO!$W$15,ROW(AT49)-ROW(AT$15),0),15-13*ORÇAMENTO!$AF$11)),
         0)</f>
        <v>0</v>
      </c>
      <c r="AU49" s="453">
        <f ca="1">IF(AND($D49="Serviço",AU$12&lt;&gt;0,$H49&gt;0,OR(AUTOEVENTO&lt;&gt;"manual",$M49&lt;&gt;$A$15)),
        IF(Import.TipoArredondamento&lt;&gt;"TransfereGOV",
              ROUND(OFFSET($P49,0,AU$13),15-13*ORÇAMENTO!$AF$7)/$H49*OFFSET(ORÇAMENTO!$X$15,ROW(AU49)-ROW(AU$15),0),
              ROUND(ROUND(OFFSET($P49,0,AU$13),15-13*ORÇAMENTO!$AF$7)*OFFSET(ORÇAMENTO!$W$15,ROW(AU49)-ROW(AU$15),0),15-13*ORÇAMENTO!$AF$11)),
         0)</f>
        <v>0</v>
      </c>
      <c r="AV49" s="453">
        <f ca="1">IF(AND($D49="Serviço",AV$12&lt;&gt;0,$H49&gt;0,OR(AUTOEVENTO&lt;&gt;"manual",$M49&lt;&gt;$A$15)),
        IF(Import.TipoArredondamento&lt;&gt;"TransfereGOV",
              ROUND(OFFSET($P49,0,AV$13),15-13*ORÇAMENTO!$AF$7)/$H49*OFFSET(ORÇAMENTO!$X$15,ROW(AV49)-ROW(AV$15),0),
              ROUND(ROUND(OFFSET($P49,0,AV$13),15-13*ORÇAMENTO!$AF$7)*OFFSET(ORÇAMENTO!$W$15,ROW(AV49)-ROW(AV$15),0),15-13*ORÇAMENTO!$AF$11)),
         0)</f>
        <v>0</v>
      </c>
      <c r="AW49" s="453">
        <f ca="1">IF(AND($D49="Serviço",AW$12&lt;&gt;0,$H49&gt;0,OR(AUTOEVENTO&lt;&gt;"manual",$M49&lt;&gt;$A$15)),
        IF(Import.TipoArredondamento&lt;&gt;"TransfereGOV",
              ROUND(OFFSET($P49,0,AW$13),15-13*ORÇAMENTO!$AF$7)/$H49*OFFSET(ORÇAMENTO!$X$15,ROW(AW49)-ROW(AW$15),0),
              ROUND(ROUND(OFFSET($P49,0,AW$13),15-13*ORÇAMENTO!$AF$7)*OFFSET(ORÇAMENTO!$W$15,ROW(AW49)-ROW(AW$15),0),15-13*ORÇAMENTO!$AF$11)),
         0)</f>
        <v>0</v>
      </c>
      <c r="AX49" s="453">
        <f ca="1">IF(AND($D49="Serviço",AX$12&lt;&gt;0,$H49&gt;0,OR(AUTOEVENTO&lt;&gt;"manual",$M49&lt;&gt;$A$15)),
        IF(Import.TipoArredondamento&lt;&gt;"TransfereGOV",
              ROUND(OFFSET($P49,0,AX$13),15-13*ORÇAMENTO!$AF$7)/$H49*OFFSET(ORÇAMENTO!$X$15,ROW(AX49)-ROW(AX$15),0),
              ROUND(ROUND(OFFSET($P49,0,AX$13),15-13*ORÇAMENTO!$AF$7)*OFFSET(ORÇAMENTO!$W$15,ROW(AX49)-ROW(AX$15),0),15-13*ORÇAMENTO!$AF$11)),
         0)</f>
        <v>0</v>
      </c>
      <c r="AY49" s="453">
        <f ca="1">IF(AND($D49="Serviço",AY$12&lt;&gt;0,$H49&gt;0,OR(AUTOEVENTO&lt;&gt;"manual",$M49&lt;&gt;$A$15)),
        IF(Import.TipoArredondamento&lt;&gt;"TransfereGOV",
              ROUND(OFFSET($P49,0,AY$13),15-13*ORÇAMENTO!$AF$7)/$H49*OFFSET(ORÇAMENTO!$X$15,ROW(AY49)-ROW(AY$15),0),
              ROUND(ROUND(OFFSET($P49,0,AY$13),15-13*ORÇAMENTO!$AF$7)*OFFSET(ORÇAMENTO!$W$15,ROW(AY49)-ROW(AY$15),0),15-13*ORÇAMENTO!$AF$11)),
         0)</f>
        <v>0</v>
      </c>
      <c r="AZ49" s="453">
        <f ca="1">IF(AND($D49="Serviço",AZ$12&lt;&gt;0,$H49&gt;0,OR(AUTOEVENTO&lt;&gt;"manual",$M49&lt;&gt;$A$15)),
        IF(Import.TipoArredondamento&lt;&gt;"TransfereGOV",
              ROUND(OFFSET($P49,0,AZ$13),15-13*ORÇAMENTO!$AF$7)/$H49*OFFSET(ORÇAMENTO!$X$15,ROW(AZ49)-ROW(AZ$15),0),
              ROUND(ROUND(OFFSET($P49,0,AZ$13),15-13*ORÇAMENTO!$AF$7)*OFFSET(ORÇAMENTO!$W$15,ROW(AZ49)-ROW(AZ$15),0),15-13*ORÇAMENTO!$AF$11)),
         0)</f>
        <v>0</v>
      </c>
      <c r="BA49" s="453">
        <f ca="1">IF(AND($D49="Serviço",BA$12&lt;&gt;0,$H49&gt;0,OR(AUTOEVENTO&lt;&gt;"manual",$M49&lt;&gt;$A$15)),
        IF(Import.TipoArredondamento&lt;&gt;"TransfereGOV",
              ROUND(OFFSET($P49,0,BA$13),15-13*ORÇAMENTO!$AF$7)/$H49*OFFSET(ORÇAMENTO!$X$15,ROW(BA49)-ROW(BA$15),0),
              ROUND(ROUND(OFFSET($P49,0,BA$13),15-13*ORÇAMENTO!$AF$7)*OFFSET(ORÇAMENTO!$W$15,ROW(BA49)-ROW(BA$15),0),15-13*ORÇAMENTO!$AF$11)),
         0)</f>
        <v>0</v>
      </c>
      <c r="BC49" s="171">
        <f ca="1">IF(OR($D49&lt;&gt;"Serviço",AND(AUTOEVENTO="Manual",$M49=$A$15)),0,
         IF(OFFSET(CRONOPLE!$F$15,$M49-$A$15,BC$13)=0,10^12,OFFSET(CRONOPLE!$F$15,$M49-$A$15,BC$13)))</f>
        <v>1000000000000</v>
      </c>
      <c r="BD49" s="171">
        <f ca="1">IF(OR($D49&lt;&gt;"Serviço",AND(AUTOEVENTO="Manual",$M49=$A$15)),0,
         IF(OFFSET(CRONOPLE!$F$15,$M49-$A$15,BD$13)=0,10^12,OFFSET(CRONOPLE!$F$15,$M49-$A$15,BD$13)))</f>
        <v>1000000000000</v>
      </c>
      <c r="BE49" s="171">
        <f ca="1">IF(OR($D49&lt;&gt;"Serviço",AND(AUTOEVENTO="Manual",$M49=$A$15)),0,
         IF(OFFSET(CRONOPLE!$F$15,$M49-$A$15,BE$13)=0,10^12,OFFSET(CRONOPLE!$F$15,$M49-$A$15,BE$13)))</f>
        <v>2</v>
      </c>
      <c r="BF49" s="171">
        <f ca="1">IF(OR($D49&lt;&gt;"Serviço",AND(AUTOEVENTO="Manual",$M49=$A$15)),0,
         IF(OFFSET(CRONOPLE!$F$15,$M49-$A$15,BF$13)=0,10^12,OFFSET(CRONOPLE!$F$15,$M49-$A$15,BF$13)))</f>
        <v>1000000000000</v>
      </c>
      <c r="BG49" s="171">
        <f ca="1">IF(OR($D49&lt;&gt;"Serviço",AND(AUTOEVENTO="Manual",$M49=$A$15)),0,
         IF(OFFSET(CRONOPLE!$F$15,$M49-$A$15,BG$13)=0,10^12,OFFSET(CRONOPLE!$F$15,$M49-$A$15,BG$13)))</f>
        <v>1000000000000</v>
      </c>
      <c r="BH49" s="171">
        <f ca="1">IF(OR($D49&lt;&gt;"Serviço",AND(AUTOEVENTO="Manual",$M49=$A$15)),0,
         IF(OFFSET(CRONOPLE!$F$15,$M49-$A$15,BH$13)=0,10^12,OFFSET(CRONOPLE!$F$15,$M49-$A$15,BH$13)))</f>
        <v>1000000000000</v>
      </c>
      <c r="BI49" s="171">
        <f ca="1">IF(OR($D49&lt;&gt;"Serviço",AND(AUTOEVENTO="Manual",$M49=$A$15)),0,
         IF(OFFSET(CRONOPLE!$F$15,$M49-$A$15,BI$13)=0,10^12,OFFSET(CRONOPLE!$F$15,$M49-$A$15,BI$13)))</f>
        <v>1000000000000</v>
      </c>
      <c r="BJ49" s="171">
        <f ca="1">IF(OR($D49&lt;&gt;"Serviço",AND(AUTOEVENTO="Manual",$M49=$A$15)),0,
         IF(OFFSET(CRONOPLE!$F$15,$M49-$A$15,BJ$13)=0,10^12,OFFSET(CRONOPLE!$F$15,$M49-$A$15,BJ$13)))</f>
        <v>1000000000000</v>
      </c>
      <c r="BK49" s="171">
        <f ca="1">IF(OR($D49&lt;&gt;"Serviço",AND(AUTOEVENTO="Manual",$M49=$A$15)),0,
         IF(OFFSET(CRONOPLE!$F$15,$M49-$A$15,BK$13)=0,10^12,OFFSET(CRONOPLE!$F$15,$M49-$A$15,BK$13)))</f>
        <v>1000000000000</v>
      </c>
      <c r="BL49" s="171">
        <f ca="1">IF(OR($D49&lt;&gt;"Serviço",AND(AUTOEVENTO="Manual",$M49=$A$15)),0,
         IF(OFFSET(CRONOPLE!$F$15,$M49-$A$15,BL$13)=0,10^12,OFFSET(CRONOPLE!$F$15,$M49-$A$15,BL$13)))</f>
        <v>1000000000000</v>
      </c>
      <c r="BM49" s="171">
        <f ca="1">IF(OR($D49&lt;&gt;"Serviço",AND(AUTOEVENTO="Manual",$M49=$A$15)),0,
         IF(OFFSET(CRONOPLE!$F$15,$M49-$A$15,BM$13)=0,10^12,OFFSET(CRONOPLE!$F$15,$M49-$A$15,BM$13)))</f>
        <v>1000000000000</v>
      </c>
      <c r="BN49" s="171">
        <f ca="1">IF(OR($D49&lt;&gt;"Serviço",AND(AUTOEVENTO="Manual",$M49=$A$15)),0,
         IF(OFFSET(CRONOPLE!$F$15,$M49-$A$15,BN$13)=0,10^12,OFFSET(CRONOPLE!$F$15,$M49-$A$15,BN$13)))</f>
        <v>1000000000000</v>
      </c>
      <c r="BO49" s="171">
        <f ca="1">IF(OR($D49&lt;&gt;"Serviço",AND(AUTOEVENTO="Manual",$M49=$A$15)),0,
         IF(OFFSET(CRONOPLE!$F$15,$M49-$A$15,BO$13)=0,10^12,OFFSET(CRONOPLE!$F$15,$M49-$A$15,BO$13)))</f>
        <v>3</v>
      </c>
      <c r="BP49" s="171">
        <f ca="1">IF(OR($D49&lt;&gt;"Serviço",AND(AUTOEVENTO="Manual",$M49=$A$15)),0,
         IF(OFFSET(CRONOPLE!$F$15,$M49-$A$15,BP$13)=0,10^12,OFFSET(CRONOPLE!$F$15,$M49-$A$15,BP$13)))</f>
        <v>1000000000000</v>
      </c>
      <c r="BQ49" s="171">
        <f ca="1">IF(OR($D49&lt;&gt;"Serviço",AND(AUTOEVENTO="Manual",$M49=$A$15)),0,
         IF(OFFSET(CRONOPLE!$F$15,$M49-$A$15,BQ$13)=0,10^12,OFFSET(CRONOPLE!$F$15,$M49-$A$15,BQ$13)))</f>
        <v>1000000000000</v>
      </c>
      <c r="BR49" s="171">
        <f ca="1">IF(OR($D49&lt;&gt;"Serviço",AND(AUTOEVENTO="Manual",$M49=$A$15)),0,
         IF(OFFSET(CRONOPLE!$F$15,$M49-$A$15,BR$13)=0,10^12,OFFSET(CRONOPLE!$F$15,$M49-$A$15,BR$13)))</f>
        <v>1000000000000</v>
      </c>
      <c r="BS49" s="171">
        <f ca="1">IF(OR($D49&lt;&gt;"Serviço",AND(AUTOEVENTO="Manual",$M49=$A$15)),0,
         IF(OFFSET(CRONOPLE!$F$15,$M49-$A$15,BS$13)=0,10^12,OFFSET(CRONOPLE!$F$15,$M49-$A$15,BS$13)))</f>
        <v>1000000000000</v>
      </c>
      <c r="BT49" s="171">
        <f ca="1">IF(OR($D49&lt;&gt;"Serviço",AND(AUTOEVENTO="Manual",$M49=$A$15)),0,
         IF(OFFSET(CRONOPLE!$F$15,$M49-$A$15,BT$13)=0,10^12,OFFSET(CRONOPLE!$F$15,$M49-$A$15,BT$13)))</f>
        <v>1000000000000</v>
      </c>
      <c r="BV49" s="172">
        <f ca="1">IF(OR($D49&lt;&gt;"Serviço",AND(AUTOEVENTO="Manual",$M49=$A$15),$M49&gt;(ROW(PLE.lastrow)-ROW(PLE.firstrow))),0,
           IF(OFFSET(PLE!$G$15,$M49-$A$15,BV$13)="",10^12,OFFSET(PLE!$G$15,$M49-$A$15,BV$13)))</f>
        <v>1000000000000</v>
      </c>
      <c r="BW49" s="172">
        <f ca="1">IF(OR($D49&lt;&gt;"Serviço",AND(AUTOEVENTO="Manual",$M49=$A$15),$M49&gt;(ROW(PLE.lastrow)-ROW(PLE.firstrow))),0,
           IF(OFFSET(PLE!$G$15,$M49-$A$15,BW$13)="",10^12,OFFSET(PLE!$G$15,$M49-$A$15,BW$13)))</f>
        <v>1000000000000</v>
      </c>
      <c r="BX49" s="172">
        <f ca="1">IF(OR($D49&lt;&gt;"Serviço",AND(AUTOEVENTO="Manual",$M49=$A$15),$M49&gt;(ROW(PLE.lastrow)-ROW(PLE.firstrow))),0,
           IF(OFFSET(PLE!$G$15,$M49-$A$15,BX$13)="",10^12,OFFSET(PLE!$G$15,$M49-$A$15,BX$13)))</f>
        <v>1000000000000</v>
      </c>
      <c r="BY49" s="172">
        <f ca="1">IF(OR($D49&lt;&gt;"Serviço",AND(AUTOEVENTO="Manual",$M49=$A$15),$M49&gt;(ROW(PLE.lastrow)-ROW(PLE.firstrow))),0,
           IF(OFFSET(PLE!$G$15,$M49-$A$15,BY$13)="",10^12,OFFSET(PLE!$G$15,$M49-$A$15,BY$13)))</f>
        <v>1000000000000</v>
      </c>
      <c r="BZ49" s="172">
        <f ca="1">IF(OR($D49&lt;&gt;"Serviço",AND(AUTOEVENTO="Manual",$M49=$A$15),$M49&gt;(ROW(PLE.lastrow)-ROW(PLE.firstrow))),0,
           IF(OFFSET(PLE!$G$15,$M49-$A$15,BZ$13)="",10^12,OFFSET(PLE!$G$15,$M49-$A$15,BZ$13)))</f>
        <v>1000000000000</v>
      </c>
      <c r="CA49" s="172">
        <f ca="1">IF(OR($D49&lt;&gt;"Serviço",AND(AUTOEVENTO="Manual",$M49=$A$15),$M49&gt;(ROW(PLE.lastrow)-ROW(PLE.firstrow))),0,
           IF(OFFSET(PLE!$G$15,$M49-$A$15,CA$13)="",10^12,OFFSET(PLE!$G$15,$M49-$A$15,CA$13)))</f>
        <v>1000000000000</v>
      </c>
      <c r="CB49" s="172">
        <f ca="1">IF(OR($D49&lt;&gt;"Serviço",AND(AUTOEVENTO="Manual",$M49=$A$15),$M49&gt;(ROW(PLE.lastrow)-ROW(PLE.firstrow))),0,
           IF(OFFSET(PLE!$G$15,$M49-$A$15,CB$13)="",10^12,OFFSET(PLE!$G$15,$M49-$A$15,CB$13)))</f>
        <v>1000000000000</v>
      </c>
      <c r="CC49" s="172">
        <f ca="1">IF(OR($D49&lt;&gt;"Serviço",AND(AUTOEVENTO="Manual",$M49=$A$15),$M49&gt;(ROW(PLE.lastrow)-ROW(PLE.firstrow))),0,
           IF(OFFSET(PLE!$G$15,$M49-$A$15,CC$13)="",10^12,OFFSET(PLE!$G$15,$M49-$A$15,CC$13)))</f>
        <v>1000000000000</v>
      </c>
      <c r="CD49" s="172">
        <f ca="1">IF(OR($D49&lt;&gt;"Serviço",AND(AUTOEVENTO="Manual",$M49=$A$15),$M49&gt;(ROW(PLE.lastrow)-ROW(PLE.firstrow))),0,
           IF(OFFSET(PLE!$G$15,$M49-$A$15,CD$13)="",10^12,OFFSET(PLE!$G$15,$M49-$A$15,CD$13)))</f>
        <v>1000000000000</v>
      </c>
      <c r="CE49" s="172">
        <f ca="1">IF(OR($D49&lt;&gt;"Serviço",AND(AUTOEVENTO="Manual",$M49=$A$15),$M49&gt;(ROW(PLE.lastrow)-ROW(PLE.firstrow))),0,
           IF(OFFSET(PLE!$G$15,$M49-$A$15,CE$13)="",10^12,OFFSET(PLE!$G$15,$M49-$A$15,CE$13)))</f>
        <v>1000000000000</v>
      </c>
      <c r="CF49" s="172">
        <f ca="1">IF(OR($D49&lt;&gt;"Serviço",AND(AUTOEVENTO="Manual",$M49=$A$15),$M49&gt;(ROW(PLE.lastrow)-ROW(PLE.firstrow))),0,
           IF(OFFSET(PLE!$G$15,$M49-$A$15,CF$13)="",10^12,OFFSET(PLE!$G$15,$M49-$A$15,CF$13)))</f>
        <v>1000000000000</v>
      </c>
      <c r="CG49" s="172">
        <f ca="1">IF(OR($D49&lt;&gt;"Serviço",AND(AUTOEVENTO="Manual",$M49=$A$15),$M49&gt;(ROW(PLE.lastrow)-ROW(PLE.firstrow))),0,
           IF(OFFSET(PLE!$G$15,$M49-$A$15,CG$13)="",10^12,OFFSET(PLE!$G$15,$M49-$A$15,CG$13)))</f>
        <v>1000000000000</v>
      </c>
      <c r="CH49" s="172">
        <f ca="1">IF(OR($D49&lt;&gt;"Serviço",AND(AUTOEVENTO="Manual",$M49=$A$15),$M49&gt;(ROW(PLE.lastrow)-ROW(PLE.firstrow))),0,
           IF(OFFSET(PLE!$G$15,$M49-$A$15,CH$13)="",10^12,OFFSET(PLE!$G$15,$M49-$A$15,CH$13)))</f>
        <v>1000000000000</v>
      </c>
      <c r="CI49" s="172">
        <f ca="1">IF(OR($D49&lt;&gt;"Serviço",AND(AUTOEVENTO="Manual",$M49=$A$15),$M49&gt;(ROW(PLE.lastrow)-ROW(PLE.firstrow))),0,
           IF(OFFSET(PLE!$G$15,$M49-$A$15,CI$13)="",10^12,OFFSET(PLE!$G$15,$M49-$A$15,CI$13)))</f>
        <v>1000000000000</v>
      </c>
      <c r="CJ49" s="172">
        <f ca="1">IF(OR($D49&lt;&gt;"Serviço",AND(AUTOEVENTO="Manual",$M49=$A$15),$M49&gt;(ROW(PLE.lastrow)-ROW(PLE.firstrow))),0,
           IF(OFFSET(PLE!$G$15,$M49-$A$15,CJ$13)="",10^12,OFFSET(PLE!$G$15,$M49-$A$15,CJ$13)))</f>
        <v>1000000000000</v>
      </c>
      <c r="CK49" s="172">
        <f ca="1">IF(OR($D49&lt;&gt;"Serviço",AND(AUTOEVENTO="Manual",$M49=$A$15),$M49&gt;(ROW(PLE.lastrow)-ROW(PLE.firstrow))),0,
           IF(OFFSET(PLE!$G$15,$M49-$A$15,CK$13)="",10^12,OFFSET(PLE!$G$15,$M49-$A$15,CK$13)))</f>
        <v>1000000000000</v>
      </c>
      <c r="CL49" s="172">
        <f ca="1">IF(OR($D49&lt;&gt;"Serviço",AND(AUTOEVENTO="Manual",$M49=$A$15),$M49&gt;(ROW(PLE.lastrow)-ROW(PLE.firstrow))),0,
           IF(OFFSET(PLE!$G$15,$M49-$A$15,CL$13)="",10^12,OFFSET(PLE!$G$15,$M49-$A$15,CL$13)))</f>
        <v>1000000000000</v>
      </c>
      <c r="CM49" s="172">
        <f ca="1">IF(OR($D49&lt;&gt;"Serviço",AND(AUTOEVENTO="Manual",$M49=$A$15),$M49&gt;(ROW(PLE.lastrow)-ROW(PLE.firstrow))),0,
           IF(OFFSET(PLE!$G$15,$M49-$A$15,CM$13)="",10^12,OFFSET(PLE!$G$15,$M49-$A$15,CM$13)))</f>
        <v>1000000000000</v>
      </c>
    </row>
    <row r="50" spans="1:91" ht="13.2" x14ac:dyDescent="0.25">
      <c r="A50" s="7" t="str">
        <f t="shared" ca="1" si="11"/>
        <v>33</v>
      </c>
      <c r="B50" s="7" t="str">
        <f ca="1">OFFSET(ORÇAMENTO!C$15,ROW(B50)-ROW(B$15),0)</f>
        <v>S</v>
      </c>
      <c r="C50" s="7" t="str">
        <f ca="1">OFFSET(ORÇAMENTO!L$15,ROW(C50)-ROW(C$15),0)</f>
        <v>F</v>
      </c>
      <c r="D50" s="116" t="str">
        <f ca="1">OFFSET(ORÇAMENTO!N$15,ROW(D50)-ROW(D$15),0)</f>
        <v>Serviço</v>
      </c>
      <c r="E50" s="117" t="str">
        <f ca="1">OFFSET(ORÇAMENTO!O$15,ROW(E50)-ROW(E$15),0)</f>
        <v>1.6.2.</v>
      </c>
      <c r="F50" s="163" t="str">
        <f ca="1">OFFSET(ORÇAMENTO!R$15,ROW(F50)-ROW(F$15),0)</f>
        <v>PLACA DE REGULAMENTAÇÃO OCTOGONAL LADO 0,25M</v>
      </c>
      <c r="G50" s="164" t="str">
        <f ca="1">IF($D50&lt;&gt;"Serviço","",OFFSET(ORÇAMENTO!S$15,ROW(G50)-ROW(G$15),0))</f>
        <v>UN</v>
      </c>
      <c r="H50" s="122" cm="1">
        <f t="array" aca="1" ref="H50" ca="1">IF($D50&lt;&gt;"Serviço",0,IF(ACOMPANHAMENTO="BM",ROUND(OFFSET(ORÇAMENTO!AJ$15,ROW(H50)-ROW(H$15),0),15-13*ORÇAMENTO!$AF$7),SUMPRODUCT(($Q$1:$AI$1=1)*ROUND($Q50:$AI50,15-13*ORÇAMENTO!$AF$7))))</f>
        <v>1</v>
      </c>
      <c r="I50" s="468"/>
      <c r="J50" s="651" t="e" cm="1">
        <f t="array" aca="1" ref="J50" ca="1">IF(OR(B50&lt;&gt;"S",CÁLCULO.FrentesPreenchidas=0),"",IF(AND(ACOMPANHAMENTO="PLE",AUTOEVENTO="Manual",OR(H50&gt;0,ORÇAMENTO!AC50="QUANT."),OR(K50="",M50=0,N50="")),"►E",IF(AND(ACOMPANHAMENTO="PLE",ORÇAMENTO!AC50="QUANT."),"►Q",IF(AND(ACOMPANHAMENTO="PLE",H50&lt;&gt;SUMPRODUCT(($Q$1:$AI$1=1)*ROUND(Q50:AI50,15))),"►S",IF(AND(COUNTIF($P$11:$AI$11,"▼")=0,H50&gt;0,I50=""),"◄M","")))))</f>
        <v>#NAME?</v>
      </c>
      <c r="K50" s="652"/>
      <c r="L50" s="165" t="s">
        <v>764</v>
      </c>
      <c r="M50" s="166">
        <f ca="1">IF($D50&lt;&gt;"Serviço","",
          IF(AUTOEVENTO="manual",$A50,
                IF(ISERROR(MATCH($A50,$A$15:OFFSET($A50,-1,0),0)),MAX($M$15:OFFSET(M50,-1,0))+1,
                      INDEX($M$15:OFFSET(M50,-1,0),MATCH($A50,$A$15:OFFSET($A50,-1,0),0)))))</f>
        <v>6</v>
      </c>
      <c r="N50" s="167" t="str">
        <f ca="1">IF($D50&lt;&gt;"Serviço","",
         IF(AUTOEVENTO="Manual",
                IF($A50=0,"&lt;-- defina o número do agrupador",
                       OFFSET(EVENTOS!$D$15,$A50-$A$15,0)),
                OFFSET($F$15,$A50,0)))</f>
        <v>SINALIZAÇÃO</v>
      </c>
      <c r="O50" s="168"/>
      <c r="Q50" s="168"/>
      <c r="R50" s="169"/>
      <c r="S50" s="169">
        <v>1</v>
      </c>
      <c r="T50" s="169"/>
      <c r="U50" s="169"/>
      <c r="V50" s="169"/>
      <c r="W50" s="169"/>
      <c r="X50" s="169"/>
      <c r="Y50" s="169"/>
      <c r="Z50" s="170"/>
      <c r="AA50" s="169"/>
      <c r="AB50" s="169"/>
      <c r="AC50" s="169"/>
      <c r="AD50" s="169"/>
      <c r="AE50" s="169"/>
      <c r="AF50" s="169"/>
      <c r="AG50" s="169"/>
      <c r="AH50" s="170"/>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L50" s="453">
        <f ca="1">IF(AND($D50="Serviço",AL$12&lt;&gt;0,$H50&gt;0,OR(AUTOEVENTO&lt;&gt;"manual",$M50&lt;&gt;$A$15)),
        IF(Import.TipoArredondamento&lt;&gt;"TransfereGOV",
              ROUND(OFFSET($P50,0,AL$13),15-13*ORÇAMENTO!$AF$7)/$H50*OFFSET(ORÇAMENTO!$X$15,ROW(AL50)-ROW(AL$15),0),
              ROUND(ROUND(OFFSET($P50,0,AL$13),15-13*ORÇAMENTO!$AF$7)*OFFSET(ORÇAMENTO!$W$15,ROW(AL50)-ROW(AL$15),0),15-13*ORÇAMENTO!$AF$11)),
         0)</f>
        <v>902.38</v>
      </c>
      <c r="AM50" s="453">
        <f ca="1">IF(AND($D50="Serviço",AM$12&lt;&gt;0,$H50&gt;0,OR(AUTOEVENTO&lt;&gt;"manual",$M50&lt;&gt;$A$15)),
        IF(Import.TipoArredondamento&lt;&gt;"TransfereGOV",
              ROUND(OFFSET($P50,0,AM$13),15-13*ORÇAMENTO!$AF$7)/$H50*OFFSET(ORÇAMENTO!$X$15,ROW(AM50)-ROW(AM$15),0),
              ROUND(ROUND(OFFSET($P50,0,AM$13),15-13*ORÇAMENTO!$AF$7)*OFFSET(ORÇAMENTO!$W$15,ROW(AM50)-ROW(AM$15),0),15-13*ORÇAMENTO!$AF$11)),
         0)</f>
        <v>0</v>
      </c>
      <c r="AN50" s="453">
        <f ca="1">IF(AND($D50="Serviço",AN$12&lt;&gt;0,$H50&gt;0,OR(AUTOEVENTO&lt;&gt;"manual",$M50&lt;&gt;$A$15)),
        IF(Import.TipoArredondamento&lt;&gt;"TransfereGOV",
              ROUND(OFFSET($P50,0,AN$13),15-13*ORÇAMENTO!$AF$7)/$H50*OFFSET(ORÇAMENTO!$X$15,ROW(AN50)-ROW(AN$15),0),
              ROUND(ROUND(OFFSET($P50,0,AN$13),15-13*ORÇAMENTO!$AF$7)*OFFSET(ORÇAMENTO!$W$15,ROW(AN50)-ROW(AN$15),0),15-13*ORÇAMENTO!$AF$11)),
         0)</f>
        <v>0</v>
      </c>
      <c r="AO50" s="453">
        <f ca="1">IF(AND($D50="Serviço",AO$12&lt;&gt;0,$H50&gt;0,OR(AUTOEVENTO&lt;&gt;"manual",$M50&lt;&gt;$A$15)),
        IF(Import.TipoArredondamento&lt;&gt;"TransfereGOV",
              ROUND(OFFSET($P50,0,AO$13),15-13*ORÇAMENTO!$AF$7)/$H50*OFFSET(ORÇAMENTO!$X$15,ROW(AO50)-ROW(AO$15),0),
              ROUND(ROUND(OFFSET($P50,0,AO$13),15-13*ORÇAMENTO!$AF$7)*OFFSET(ORÇAMENTO!$W$15,ROW(AO50)-ROW(AO$15),0),15-13*ORÇAMENTO!$AF$11)),
         0)</f>
        <v>0</v>
      </c>
      <c r="AP50" s="453">
        <f ca="1">IF(AND($D50="Serviço",AP$12&lt;&gt;0,$H50&gt;0,OR(AUTOEVENTO&lt;&gt;"manual",$M50&lt;&gt;$A$15)),
        IF(Import.TipoArredondamento&lt;&gt;"TransfereGOV",
              ROUND(OFFSET($P50,0,AP$13),15-13*ORÇAMENTO!$AF$7)/$H50*OFFSET(ORÇAMENTO!$X$15,ROW(AP50)-ROW(AP$15),0),
              ROUND(ROUND(OFFSET($P50,0,AP$13),15-13*ORÇAMENTO!$AF$7)*OFFSET(ORÇAMENTO!$W$15,ROW(AP50)-ROW(AP$15),0),15-13*ORÇAMENTO!$AF$11)),
         0)</f>
        <v>0</v>
      </c>
      <c r="AQ50" s="453">
        <f ca="1">IF(AND($D50="Serviço",AQ$12&lt;&gt;0,$H50&gt;0,OR(AUTOEVENTO&lt;&gt;"manual",$M50&lt;&gt;$A$15)),
        IF(Import.TipoArredondamento&lt;&gt;"TransfereGOV",
              ROUND(OFFSET($P50,0,AQ$13),15-13*ORÇAMENTO!$AF$7)/$H50*OFFSET(ORÇAMENTO!$X$15,ROW(AQ50)-ROW(AQ$15),0),
              ROUND(ROUND(OFFSET($P50,0,AQ$13),15-13*ORÇAMENTO!$AF$7)*OFFSET(ORÇAMENTO!$W$15,ROW(AQ50)-ROW(AQ$15),0),15-13*ORÇAMENTO!$AF$11)),
         0)</f>
        <v>0</v>
      </c>
      <c r="AR50" s="453">
        <f ca="1">IF(AND($D50="Serviço",AR$12&lt;&gt;0,$H50&gt;0,OR(AUTOEVENTO&lt;&gt;"manual",$M50&lt;&gt;$A$15)),
        IF(Import.TipoArredondamento&lt;&gt;"TransfereGOV",
              ROUND(OFFSET($P50,0,AR$13),15-13*ORÇAMENTO!$AF$7)/$H50*OFFSET(ORÇAMENTO!$X$15,ROW(AR50)-ROW(AR$15),0),
              ROUND(ROUND(OFFSET($P50,0,AR$13),15-13*ORÇAMENTO!$AF$7)*OFFSET(ORÇAMENTO!$W$15,ROW(AR50)-ROW(AR$15),0),15-13*ORÇAMENTO!$AF$11)),
         0)</f>
        <v>0</v>
      </c>
      <c r="AS50" s="453">
        <f ca="1">IF(AND($D50="Serviço",AS$12&lt;&gt;0,$H50&gt;0,OR(AUTOEVENTO&lt;&gt;"manual",$M50&lt;&gt;$A$15)),
        IF(Import.TipoArredondamento&lt;&gt;"TransfereGOV",
              ROUND(OFFSET($P50,0,AS$13),15-13*ORÇAMENTO!$AF$7)/$H50*OFFSET(ORÇAMENTO!$X$15,ROW(AS50)-ROW(AS$15),0),
              ROUND(ROUND(OFFSET($P50,0,AS$13),15-13*ORÇAMENTO!$AF$7)*OFFSET(ORÇAMENTO!$W$15,ROW(AS50)-ROW(AS$15),0),15-13*ORÇAMENTO!$AF$11)),
         0)</f>
        <v>0</v>
      </c>
      <c r="AT50" s="453">
        <f ca="1">IF(AND($D50="Serviço",AT$12&lt;&gt;0,$H50&gt;0,OR(AUTOEVENTO&lt;&gt;"manual",$M50&lt;&gt;$A$15)),
        IF(Import.TipoArredondamento&lt;&gt;"TransfereGOV",
              ROUND(OFFSET($P50,0,AT$13),15-13*ORÇAMENTO!$AF$7)/$H50*OFFSET(ORÇAMENTO!$X$15,ROW(AT50)-ROW(AT$15),0),
              ROUND(ROUND(OFFSET($P50,0,AT$13),15-13*ORÇAMENTO!$AF$7)*OFFSET(ORÇAMENTO!$W$15,ROW(AT50)-ROW(AT$15),0),15-13*ORÇAMENTO!$AF$11)),
         0)</f>
        <v>0</v>
      </c>
      <c r="AU50" s="453">
        <f ca="1">IF(AND($D50="Serviço",AU$12&lt;&gt;0,$H50&gt;0,OR(AUTOEVENTO&lt;&gt;"manual",$M50&lt;&gt;$A$15)),
        IF(Import.TipoArredondamento&lt;&gt;"TransfereGOV",
              ROUND(OFFSET($P50,0,AU$13),15-13*ORÇAMENTO!$AF$7)/$H50*OFFSET(ORÇAMENTO!$X$15,ROW(AU50)-ROW(AU$15),0),
              ROUND(ROUND(OFFSET($P50,0,AU$13),15-13*ORÇAMENTO!$AF$7)*OFFSET(ORÇAMENTO!$W$15,ROW(AU50)-ROW(AU$15),0),15-13*ORÇAMENTO!$AF$11)),
         0)</f>
        <v>0</v>
      </c>
      <c r="AV50" s="453">
        <f ca="1">IF(AND($D50="Serviço",AV$12&lt;&gt;0,$H50&gt;0,OR(AUTOEVENTO&lt;&gt;"manual",$M50&lt;&gt;$A$15)),
        IF(Import.TipoArredondamento&lt;&gt;"TransfereGOV",
              ROUND(OFFSET($P50,0,AV$13),15-13*ORÇAMENTO!$AF$7)/$H50*OFFSET(ORÇAMENTO!$X$15,ROW(AV50)-ROW(AV$15),0),
              ROUND(ROUND(OFFSET($P50,0,AV$13),15-13*ORÇAMENTO!$AF$7)*OFFSET(ORÇAMENTO!$W$15,ROW(AV50)-ROW(AV$15),0),15-13*ORÇAMENTO!$AF$11)),
         0)</f>
        <v>0</v>
      </c>
      <c r="AW50" s="453">
        <f ca="1">IF(AND($D50="Serviço",AW$12&lt;&gt;0,$H50&gt;0,OR(AUTOEVENTO&lt;&gt;"manual",$M50&lt;&gt;$A$15)),
        IF(Import.TipoArredondamento&lt;&gt;"TransfereGOV",
              ROUND(OFFSET($P50,0,AW$13),15-13*ORÇAMENTO!$AF$7)/$H50*OFFSET(ORÇAMENTO!$X$15,ROW(AW50)-ROW(AW$15),0),
              ROUND(ROUND(OFFSET($P50,0,AW$13),15-13*ORÇAMENTO!$AF$7)*OFFSET(ORÇAMENTO!$W$15,ROW(AW50)-ROW(AW$15),0),15-13*ORÇAMENTO!$AF$11)),
         0)</f>
        <v>0</v>
      </c>
      <c r="AX50" s="453">
        <f ca="1">IF(AND($D50="Serviço",AX$12&lt;&gt;0,$H50&gt;0,OR(AUTOEVENTO&lt;&gt;"manual",$M50&lt;&gt;$A$15)),
        IF(Import.TipoArredondamento&lt;&gt;"TransfereGOV",
              ROUND(OFFSET($P50,0,AX$13),15-13*ORÇAMENTO!$AF$7)/$H50*OFFSET(ORÇAMENTO!$X$15,ROW(AX50)-ROW(AX$15),0),
              ROUND(ROUND(OFFSET($P50,0,AX$13),15-13*ORÇAMENTO!$AF$7)*OFFSET(ORÇAMENTO!$W$15,ROW(AX50)-ROW(AX$15),0),15-13*ORÇAMENTO!$AF$11)),
         0)</f>
        <v>0</v>
      </c>
      <c r="AY50" s="453">
        <f ca="1">IF(AND($D50="Serviço",AY$12&lt;&gt;0,$H50&gt;0,OR(AUTOEVENTO&lt;&gt;"manual",$M50&lt;&gt;$A$15)),
        IF(Import.TipoArredondamento&lt;&gt;"TransfereGOV",
              ROUND(OFFSET($P50,0,AY$13),15-13*ORÇAMENTO!$AF$7)/$H50*OFFSET(ORÇAMENTO!$X$15,ROW(AY50)-ROW(AY$15),0),
              ROUND(ROUND(OFFSET($P50,0,AY$13),15-13*ORÇAMENTO!$AF$7)*OFFSET(ORÇAMENTO!$W$15,ROW(AY50)-ROW(AY$15),0),15-13*ORÇAMENTO!$AF$11)),
         0)</f>
        <v>0</v>
      </c>
      <c r="AZ50" s="453">
        <f ca="1">IF(AND($D50="Serviço",AZ$12&lt;&gt;0,$H50&gt;0,OR(AUTOEVENTO&lt;&gt;"manual",$M50&lt;&gt;$A$15)),
        IF(Import.TipoArredondamento&lt;&gt;"TransfereGOV",
              ROUND(OFFSET($P50,0,AZ$13),15-13*ORÇAMENTO!$AF$7)/$H50*OFFSET(ORÇAMENTO!$X$15,ROW(AZ50)-ROW(AZ$15),0),
              ROUND(ROUND(OFFSET($P50,0,AZ$13),15-13*ORÇAMENTO!$AF$7)*OFFSET(ORÇAMENTO!$W$15,ROW(AZ50)-ROW(AZ$15),0),15-13*ORÇAMENTO!$AF$11)),
         0)</f>
        <v>0</v>
      </c>
      <c r="BA50" s="453">
        <f ca="1">IF(AND($D50="Serviço",BA$12&lt;&gt;0,$H50&gt;0,OR(AUTOEVENTO&lt;&gt;"manual",$M50&lt;&gt;$A$15)),
        IF(Import.TipoArredondamento&lt;&gt;"TransfereGOV",
              ROUND(OFFSET($P50,0,BA$13),15-13*ORÇAMENTO!$AF$7)/$H50*OFFSET(ORÇAMENTO!$X$15,ROW(BA50)-ROW(BA$15),0),
              ROUND(ROUND(OFFSET($P50,0,BA$13),15-13*ORÇAMENTO!$AF$7)*OFFSET(ORÇAMENTO!$W$15,ROW(BA50)-ROW(BA$15),0),15-13*ORÇAMENTO!$AF$11)),
         0)</f>
        <v>0</v>
      </c>
      <c r="BC50" s="171">
        <f ca="1">IF(OR($D50&lt;&gt;"Serviço",AND(AUTOEVENTO="Manual",$M50=$A$15)),0,
         IF(OFFSET(CRONOPLE!$F$15,$M50-$A$15,BC$13)=0,10^12,OFFSET(CRONOPLE!$F$15,$M50-$A$15,BC$13)))</f>
        <v>1000000000000</v>
      </c>
      <c r="BD50" s="171">
        <f ca="1">IF(OR($D50&lt;&gt;"Serviço",AND(AUTOEVENTO="Manual",$M50=$A$15)),0,
         IF(OFFSET(CRONOPLE!$F$15,$M50-$A$15,BD$13)=0,10^12,OFFSET(CRONOPLE!$F$15,$M50-$A$15,BD$13)))</f>
        <v>1000000000000</v>
      </c>
      <c r="BE50" s="171">
        <f ca="1">IF(OR($D50&lt;&gt;"Serviço",AND(AUTOEVENTO="Manual",$M50=$A$15)),0,
         IF(OFFSET(CRONOPLE!$F$15,$M50-$A$15,BE$13)=0,10^12,OFFSET(CRONOPLE!$F$15,$M50-$A$15,BE$13)))</f>
        <v>2</v>
      </c>
      <c r="BF50" s="171">
        <f ca="1">IF(OR($D50&lt;&gt;"Serviço",AND(AUTOEVENTO="Manual",$M50=$A$15)),0,
         IF(OFFSET(CRONOPLE!$F$15,$M50-$A$15,BF$13)=0,10^12,OFFSET(CRONOPLE!$F$15,$M50-$A$15,BF$13)))</f>
        <v>1000000000000</v>
      </c>
      <c r="BG50" s="171">
        <f ca="1">IF(OR($D50&lt;&gt;"Serviço",AND(AUTOEVENTO="Manual",$M50=$A$15)),0,
         IF(OFFSET(CRONOPLE!$F$15,$M50-$A$15,BG$13)=0,10^12,OFFSET(CRONOPLE!$F$15,$M50-$A$15,BG$13)))</f>
        <v>1000000000000</v>
      </c>
      <c r="BH50" s="171">
        <f ca="1">IF(OR($D50&lt;&gt;"Serviço",AND(AUTOEVENTO="Manual",$M50=$A$15)),0,
         IF(OFFSET(CRONOPLE!$F$15,$M50-$A$15,BH$13)=0,10^12,OFFSET(CRONOPLE!$F$15,$M50-$A$15,BH$13)))</f>
        <v>1000000000000</v>
      </c>
      <c r="BI50" s="171">
        <f ca="1">IF(OR($D50&lt;&gt;"Serviço",AND(AUTOEVENTO="Manual",$M50=$A$15)),0,
         IF(OFFSET(CRONOPLE!$F$15,$M50-$A$15,BI$13)=0,10^12,OFFSET(CRONOPLE!$F$15,$M50-$A$15,BI$13)))</f>
        <v>1000000000000</v>
      </c>
      <c r="BJ50" s="171">
        <f ca="1">IF(OR($D50&lt;&gt;"Serviço",AND(AUTOEVENTO="Manual",$M50=$A$15)),0,
         IF(OFFSET(CRONOPLE!$F$15,$M50-$A$15,BJ$13)=0,10^12,OFFSET(CRONOPLE!$F$15,$M50-$A$15,BJ$13)))</f>
        <v>1000000000000</v>
      </c>
      <c r="BK50" s="171">
        <f ca="1">IF(OR($D50&lt;&gt;"Serviço",AND(AUTOEVENTO="Manual",$M50=$A$15)),0,
         IF(OFFSET(CRONOPLE!$F$15,$M50-$A$15,BK$13)=0,10^12,OFFSET(CRONOPLE!$F$15,$M50-$A$15,BK$13)))</f>
        <v>1000000000000</v>
      </c>
      <c r="BL50" s="171">
        <f ca="1">IF(OR($D50&lt;&gt;"Serviço",AND(AUTOEVENTO="Manual",$M50=$A$15)),0,
         IF(OFFSET(CRONOPLE!$F$15,$M50-$A$15,BL$13)=0,10^12,OFFSET(CRONOPLE!$F$15,$M50-$A$15,BL$13)))</f>
        <v>1000000000000</v>
      </c>
      <c r="BM50" s="171">
        <f ca="1">IF(OR($D50&lt;&gt;"Serviço",AND(AUTOEVENTO="Manual",$M50=$A$15)),0,
         IF(OFFSET(CRONOPLE!$F$15,$M50-$A$15,BM$13)=0,10^12,OFFSET(CRONOPLE!$F$15,$M50-$A$15,BM$13)))</f>
        <v>1000000000000</v>
      </c>
      <c r="BN50" s="171">
        <f ca="1">IF(OR($D50&lt;&gt;"Serviço",AND(AUTOEVENTO="Manual",$M50=$A$15)),0,
         IF(OFFSET(CRONOPLE!$F$15,$M50-$A$15,BN$13)=0,10^12,OFFSET(CRONOPLE!$F$15,$M50-$A$15,BN$13)))</f>
        <v>1000000000000</v>
      </c>
      <c r="BO50" s="171">
        <f ca="1">IF(OR($D50&lt;&gt;"Serviço",AND(AUTOEVENTO="Manual",$M50=$A$15)),0,
         IF(OFFSET(CRONOPLE!$F$15,$M50-$A$15,BO$13)=0,10^12,OFFSET(CRONOPLE!$F$15,$M50-$A$15,BO$13)))</f>
        <v>3</v>
      </c>
      <c r="BP50" s="171">
        <f ca="1">IF(OR($D50&lt;&gt;"Serviço",AND(AUTOEVENTO="Manual",$M50=$A$15)),0,
         IF(OFFSET(CRONOPLE!$F$15,$M50-$A$15,BP$13)=0,10^12,OFFSET(CRONOPLE!$F$15,$M50-$A$15,BP$13)))</f>
        <v>1000000000000</v>
      </c>
      <c r="BQ50" s="171">
        <f ca="1">IF(OR($D50&lt;&gt;"Serviço",AND(AUTOEVENTO="Manual",$M50=$A$15)),0,
         IF(OFFSET(CRONOPLE!$F$15,$M50-$A$15,BQ$13)=0,10^12,OFFSET(CRONOPLE!$F$15,$M50-$A$15,BQ$13)))</f>
        <v>1000000000000</v>
      </c>
      <c r="BR50" s="171">
        <f ca="1">IF(OR($D50&lt;&gt;"Serviço",AND(AUTOEVENTO="Manual",$M50=$A$15)),0,
         IF(OFFSET(CRONOPLE!$F$15,$M50-$A$15,BR$13)=0,10^12,OFFSET(CRONOPLE!$F$15,$M50-$A$15,BR$13)))</f>
        <v>1000000000000</v>
      </c>
      <c r="BS50" s="171">
        <f ca="1">IF(OR($D50&lt;&gt;"Serviço",AND(AUTOEVENTO="Manual",$M50=$A$15)),0,
         IF(OFFSET(CRONOPLE!$F$15,$M50-$A$15,BS$13)=0,10^12,OFFSET(CRONOPLE!$F$15,$M50-$A$15,BS$13)))</f>
        <v>1000000000000</v>
      </c>
      <c r="BT50" s="171">
        <f ca="1">IF(OR($D50&lt;&gt;"Serviço",AND(AUTOEVENTO="Manual",$M50=$A$15)),0,
         IF(OFFSET(CRONOPLE!$F$15,$M50-$A$15,BT$13)=0,10^12,OFFSET(CRONOPLE!$F$15,$M50-$A$15,BT$13)))</f>
        <v>1000000000000</v>
      </c>
      <c r="BV50" s="172">
        <f ca="1">IF(OR($D50&lt;&gt;"Serviço",AND(AUTOEVENTO="Manual",$M50=$A$15),$M50&gt;(ROW(PLE.lastrow)-ROW(PLE.firstrow))),0,
           IF(OFFSET(PLE!$G$15,$M50-$A$15,BV$13)="",10^12,OFFSET(PLE!$G$15,$M50-$A$15,BV$13)))</f>
        <v>1000000000000</v>
      </c>
      <c r="BW50" s="172">
        <f ca="1">IF(OR($D50&lt;&gt;"Serviço",AND(AUTOEVENTO="Manual",$M50=$A$15),$M50&gt;(ROW(PLE.lastrow)-ROW(PLE.firstrow))),0,
           IF(OFFSET(PLE!$G$15,$M50-$A$15,BW$13)="",10^12,OFFSET(PLE!$G$15,$M50-$A$15,BW$13)))</f>
        <v>1000000000000</v>
      </c>
      <c r="BX50" s="172">
        <f ca="1">IF(OR($D50&lt;&gt;"Serviço",AND(AUTOEVENTO="Manual",$M50=$A$15),$M50&gt;(ROW(PLE.lastrow)-ROW(PLE.firstrow))),0,
           IF(OFFSET(PLE!$G$15,$M50-$A$15,BX$13)="",10^12,OFFSET(PLE!$G$15,$M50-$A$15,BX$13)))</f>
        <v>1000000000000</v>
      </c>
      <c r="BY50" s="172">
        <f ca="1">IF(OR($D50&lt;&gt;"Serviço",AND(AUTOEVENTO="Manual",$M50=$A$15),$M50&gt;(ROW(PLE.lastrow)-ROW(PLE.firstrow))),0,
           IF(OFFSET(PLE!$G$15,$M50-$A$15,BY$13)="",10^12,OFFSET(PLE!$G$15,$M50-$A$15,BY$13)))</f>
        <v>1000000000000</v>
      </c>
      <c r="BZ50" s="172">
        <f ca="1">IF(OR($D50&lt;&gt;"Serviço",AND(AUTOEVENTO="Manual",$M50=$A$15),$M50&gt;(ROW(PLE.lastrow)-ROW(PLE.firstrow))),0,
           IF(OFFSET(PLE!$G$15,$M50-$A$15,BZ$13)="",10^12,OFFSET(PLE!$G$15,$M50-$A$15,BZ$13)))</f>
        <v>1000000000000</v>
      </c>
      <c r="CA50" s="172">
        <f ca="1">IF(OR($D50&lt;&gt;"Serviço",AND(AUTOEVENTO="Manual",$M50=$A$15),$M50&gt;(ROW(PLE.lastrow)-ROW(PLE.firstrow))),0,
           IF(OFFSET(PLE!$G$15,$M50-$A$15,CA$13)="",10^12,OFFSET(PLE!$G$15,$M50-$A$15,CA$13)))</f>
        <v>1000000000000</v>
      </c>
      <c r="CB50" s="172">
        <f ca="1">IF(OR($D50&lt;&gt;"Serviço",AND(AUTOEVENTO="Manual",$M50=$A$15),$M50&gt;(ROW(PLE.lastrow)-ROW(PLE.firstrow))),0,
           IF(OFFSET(PLE!$G$15,$M50-$A$15,CB$13)="",10^12,OFFSET(PLE!$G$15,$M50-$A$15,CB$13)))</f>
        <v>1000000000000</v>
      </c>
      <c r="CC50" s="172">
        <f ca="1">IF(OR($D50&lt;&gt;"Serviço",AND(AUTOEVENTO="Manual",$M50=$A$15),$M50&gt;(ROW(PLE.lastrow)-ROW(PLE.firstrow))),0,
           IF(OFFSET(PLE!$G$15,$M50-$A$15,CC$13)="",10^12,OFFSET(PLE!$G$15,$M50-$A$15,CC$13)))</f>
        <v>1000000000000</v>
      </c>
      <c r="CD50" s="172">
        <f ca="1">IF(OR($D50&lt;&gt;"Serviço",AND(AUTOEVENTO="Manual",$M50=$A$15),$M50&gt;(ROW(PLE.lastrow)-ROW(PLE.firstrow))),0,
           IF(OFFSET(PLE!$G$15,$M50-$A$15,CD$13)="",10^12,OFFSET(PLE!$G$15,$M50-$A$15,CD$13)))</f>
        <v>1000000000000</v>
      </c>
      <c r="CE50" s="172">
        <f ca="1">IF(OR($D50&lt;&gt;"Serviço",AND(AUTOEVENTO="Manual",$M50=$A$15),$M50&gt;(ROW(PLE.lastrow)-ROW(PLE.firstrow))),0,
           IF(OFFSET(PLE!$G$15,$M50-$A$15,CE$13)="",10^12,OFFSET(PLE!$G$15,$M50-$A$15,CE$13)))</f>
        <v>1000000000000</v>
      </c>
      <c r="CF50" s="172">
        <f ca="1">IF(OR($D50&lt;&gt;"Serviço",AND(AUTOEVENTO="Manual",$M50=$A$15),$M50&gt;(ROW(PLE.lastrow)-ROW(PLE.firstrow))),0,
           IF(OFFSET(PLE!$G$15,$M50-$A$15,CF$13)="",10^12,OFFSET(PLE!$G$15,$M50-$A$15,CF$13)))</f>
        <v>1000000000000</v>
      </c>
      <c r="CG50" s="172">
        <f ca="1">IF(OR($D50&lt;&gt;"Serviço",AND(AUTOEVENTO="Manual",$M50=$A$15),$M50&gt;(ROW(PLE.lastrow)-ROW(PLE.firstrow))),0,
           IF(OFFSET(PLE!$G$15,$M50-$A$15,CG$13)="",10^12,OFFSET(PLE!$G$15,$M50-$A$15,CG$13)))</f>
        <v>1000000000000</v>
      </c>
      <c r="CH50" s="172">
        <f ca="1">IF(OR($D50&lt;&gt;"Serviço",AND(AUTOEVENTO="Manual",$M50=$A$15),$M50&gt;(ROW(PLE.lastrow)-ROW(PLE.firstrow))),0,
           IF(OFFSET(PLE!$G$15,$M50-$A$15,CH$13)="",10^12,OFFSET(PLE!$G$15,$M50-$A$15,CH$13)))</f>
        <v>1000000000000</v>
      </c>
      <c r="CI50" s="172">
        <f ca="1">IF(OR($D50&lt;&gt;"Serviço",AND(AUTOEVENTO="Manual",$M50=$A$15),$M50&gt;(ROW(PLE.lastrow)-ROW(PLE.firstrow))),0,
           IF(OFFSET(PLE!$G$15,$M50-$A$15,CI$13)="",10^12,OFFSET(PLE!$G$15,$M50-$A$15,CI$13)))</f>
        <v>1000000000000</v>
      </c>
      <c r="CJ50" s="172">
        <f ca="1">IF(OR($D50&lt;&gt;"Serviço",AND(AUTOEVENTO="Manual",$M50=$A$15),$M50&gt;(ROW(PLE.lastrow)-ROW(PLE.firstrow))),0,
           IF(OFFSET(PLE!$G$15,$M50-$A$15,CJ$13)="",10^12,OFFSET(PLE!$G$15,$M50-$A$15,CJ$13)))</f>
        <v>1000000000000</v>
      </c>
      <c r="CK50" s="172">
        <f ca="1">IF(OR($D50&lt;&gt;"Serviço",AND(AUTOEVENTO="Manual",$M50=$A$15),$M50&gt;(ROW(PLE.lastrow)-ROW(PLE.firstrow))),0,
           IF(OFFSET(PLE!$G$15,$M50-$A$15,CK$13)="",10^12,OFFSET(PLE!$G$15,$M50-$A$15,CK$13)))</f>
        <v>1000000000000</v>
      </c>
      <c r="CL50" s="172">
        <f ca="1">IF(OR($D50&lt;&gt;"Serviço",AND(AUTOEVENTO="Manual",$M50=$A$15),$M50&gt;(ROW(PLE.lastrow)-ROW(PLE.firstrow))),0,
           IF(OFFSET(PLE!$G$15,$M50-$A$15,CL$13)="",10^12,OFFSET(PLE!$G$15,$M50-$A$15,CL$13)))</f>
        <v>1000000000000</v>
      </c>
      <c r="CM50" s="172">
        <f ca="1">IF(OR($D50&lt;&gt;"Serviço",AND(AUTOEVENTO="Manual",$M50=$A$15),$M50&gt;(ROW(PLE.lastrow)-ROW(PLE.firstrow))),0,
           IF(OFFSET(PLE!$G$15,$M50-$A$15,CM$13)="",10^12,OFFSET(PLE!$G$15,$M50-$A$15,CM$13)))</f>
        <v>1000000000000</v>
      </c>
    </row>
    <row r="51" spans="1:91" ht="13.2" x14ac:dyDescent="0.25">
      <c r="A51" s="7" t="str">
        <f t="shared" ca="1" si="11"/>
        <v>33</v>
      </c>
      <c r="B51" s="7" t="str">
        <f ca="1">OFFSET(ORÇAMENTO!C$15,ROW(B51)-ROW(B$15),0)</f>
        <v>S</v>
      </c>
      <c r="C51" s="7" t="str">
        <f ca="1">OFFSET(ORÇAMENTO!L$15,ROW(C51)-ROW(C$15),0)</f>
        <v>F</v>
      </c>
      <c r="D51" s="116" t="str">
        <f ca="1">OFFSET(ORÇAMENTO!N$15,ROW(D51)-ROW(D$15),0)</f>
        <v>Serviço</v>
      </c>
      <c r="E51" s="117" t="str">
        <f ca="1">OFFSET(ORÇAMENTO!O$15,ROW(E51)-ROW(E$15),0)</f>
        <v>1.6.3.</v>
      </c>
      <c r="F51" s="163" t="str">
        <f ca="1">OFFSET(ORÇAMENTO!R$15,ROW(F51)-ROW(F$15),0)</f>
        <v>PLACA DE ADVERTENCIA RETANGULAR 80X60</v>
      </c>
      <c r="G51" s="164" t="str">
        <f ca="1">IF($D51&lt;&gt;"Serviço","",OFFSET(ORÇAMENTO!S$15,ROW(G51)-ROW(G$15),0))</f>
        <v>UN</v>
      </c>
      <c r="H51" s="122" cm="1">
        <f t="array" aca="1" ref="H51" ca="1">IF($D51&lt;&gt;"Serviço",0,IF(ACOMPANHAMENTO="BM",ROUND(OFFSET(ORÇAMENTO!AJ$15,ROW(H51)-ROW(H$15),0),15-13*ORÇAMENTO!$AF$7),SUMPRODUCT(($Q$1:$AI$1=1)*ROUND($Q51:$AI51,15-13*ORÇAMENTO!$AF$7))))</f>
        <v>2</v>
      </c>
      <c r="I51" s="468"/>
      <c r="J51" s="651" t="e" cm="1">
        <f t="array" aca="1" ref="J51" ca="1">IF(OR(B51&lt;&gt;"S",CÁLCULO.FrentesPreenchidas=0),"",IF(AND(ACOMPANHAMENTO="PLE",AUTOEVENTO="Manual",OR(H51&gt;0,ORÇAMENTO!AC51="QUANT."),OR(K51="",M51=0,N51="")),"►E",IF(AND(ACOMPANHAMENTO="PLE",ORÇAMENTO!AC51="QUANT."),"►Q",IF(AND(ACOMPANHAMENTO="PLE",H51&lt;&gt;SUMPRODUCT(($Q$1:$AI$1=1)*ROUND(Q51:AI51,15))),"►S",IF(AND(COUNTIF($P$11:$AI$11,"▼")=0,H51&gt;0,I51=""),"◄M","")))))</f>
        <v>#NAME?</v>
      </c>
      <c r="K51" s="652"/>
      <c r="L51" s="165" t="s">
        <v>764</v>
      </c>
      <c r="M51" s="166">
        <f ca="1">IF($D51&lt;&gt;"Serviço","",
          IF(AUTOEVENTO="manual",$A51,
                IF(ISERROR(MATCH($A51,$A$15:OFFSET($A51,-1,0),0)),MAX($M$15:OFFSET(M51,-1,0))+1,
                      INDEX($M$15:OFFSET(M51,-1,0),MATCH($A51,$A$15:OFFSET($A51,-1,0),0)))))</f>
        <v>6</v>
      </c>
      <c r="N51" s="167" t="str">
        <f ca="1">IF($D51&lt;&gt;"Serviço","",
         IF(AUTOEVENTO="Manual",
                IF($A51=0,"&lt;-- defina o número do agrupador",
                       OFFSET(EVENTOS!$D$15,$A51-$A$15,0)),
                OFFSET($F$15,$A51,0)))</f>
        <v>SINALIZAÇÃO</v>
      </c>
      <c r="O51" s="168"/>
      <c r="Q51" s="168"/>
      <c r="R51" s="169"/>
      <c r="S51" s="169">
        <v>2</v>
      </c>
      <c r="T51" s="169"/>
      <c r="U51" s="169"/>
      <c r="V51" s="169"/>
      <c r="W51" s="169"/>
      <c r="X51" s="169"/>
      <c r="Y51" s="169"/>
      <c r="Z51" s="170"/>
      <c r="AA51" s="169"/>
      <c r="AB51" s="169"/>
      <c r="AC51" s="169"/>
      <c r="AD51" s="169"/>
      <c r="AE51" s="169"/>
      <c r="AF51" s="169"/>
      <c r="AG51" s="169"/>
      <c r="AH51" s="170"/>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L51" s="453">
        <f ca="1">IF(AND($D51="Serviço",AL$12&lt;&gt;0,$H51&gt;0,OR(AUTOEVENTO&lt;&gt;"manual",$M51&lt;&gt;$A$15)),
        IF(Import.TipoArredondamento&lt;&gt;"TransfereGOV",
              ROUND(OFFSET($P51,0,AL$13),15-13*ORÇAMENTO!$AF$7)/$H51*OFFSET(ORÇAMENTO!$X$15,ROW(AL51)-ROW(AL$15),0),
              ROUND(ROUND(OFFSET($P51,0,AL$13),15-13*ORÇAMENTO!$AF$7)*OFFSET(ORÇAMENTO!$W$15,ROW(AL51)-ROW(AL$15),0),15-13*ORÇAMENTO!$AF$11)),
         0)</f>
        <v>2429.38</v>
      </c>
      <c r="AM51" s="453">
        <f ca="1">IF(AND($D51="Serviço",AM$12&lt;&gt;0,$H51&gt;0,OR(AUTOEVENTO&lt;&gt;"manual",$M51&lt;&gt;$A$15)),
        IF(Import.TipoArredondamento&lt;&gt;"TransfereGOV",
              ROUND(OFFSET($P51,0,AM$13),15-13*ORÇAMENTO!$AF$7)/$H51*OFFSET(ORÇAMENTO!$X$15,ROW(AM51)-ROW(AM$15),0),
              ROUND(ROUND(OFFSET($P51,0,AM$13),15-13*ORÇAMENTO!$AF$7)*OFFSET(ORÇAMENTO!$W$15,ROW(AM51)-ROW(AM$15),0),15-13*ORÇAMENTO!$AF$11)),
         0)</f>
        <v>0</v>
      </c>
      <c r="AN51" s="453">
        <f ca="1">IF(AND($D51="Serviço",AN$12&lt;&gt;0,$H51&gt;0,OR(AUTOEVENTO&lt;&gt;"manual",$M51&lt;&gt;$A$15)),
        IF(Import.TipoArredondamento&lt;&gt;"TransfereGOV",
              ROUND(OFFSET($P51,0,AN$13),15-13*ORÇAMENTO!$AF$7)/$H51*OFFSET(ORÇAMENTO!$X$15,ROW(AN51)-ROW(AN$15),0),
              ROUND(ROUND(OFFSET($P51,0,AN$13),15-13*ORÇAMENTO!$AF$7)*OFFSET(ORÇAMENTO!$W$15,ROW(AN51)-ROW(AN$15),0),15-13*ORÇAMENTO!$AF$11)),
         0)</f>
        <v>0</v>
      </c>
      <c r="AO51" s="453">
        <f ca="1">IF(AND($D51="Serviço",AO$12&lt;&gt;0,$H51&gt;0,OR(AUTOEVENTO&lt;&gt;"manual",$M51&lt;&gt;$A$15)),
        IF(Import.TipoArredondamento&lt;&gt;"TransfereGOV",
              ROUND(OFFSET($P51,0,AO$13),15-13*ORÇAMENTO!$AF$7)/$H51*OFFSET(ORÇAMENTO!$X$15,ROW(AO51)-ROW(AO$15),0),
              ROUND(ROUND(OFFSET($P51,0,AO$13),15-13*ORÇAMENTO!$AF$7)*OFFSET(ORÇAMENTO!$W$15,ROW(AO51)-ROW(AO$15),0),15-13*ORÇAMENTO!$AF$11)),
         0)</f>
        <v>0</v>
      </c>
      <c r="AP51" s="453">
        <f ca="1">IF(AND($D51="Serviço",AP$12&lt;&gt;0,$H51&gt;0,OR(AUTOEVENTO&lt;&gt;"manual",$M51&lt;&gt;$A$15)),
        IF(Import.TipoArredondamento&lt;&gt;"TransfereGOV",
              ROUND(OFFSET($P51,0,AP$13),15-13*ORÇAMENTO!$AF$7)/$H51*OFFSET(ORÇAMENTO!$X$15,ROW(AP51)-ROW(AP$15),0),
              ROUND(ROUND(OFFSET($P51,0,AP$13),15-13*ORÇAMENTO!$AF$7)*OFFSET(ORÇAMENTO!$W$15,ROW(AP51)-ROW(AP$15),0),15-13*ORÇAMENTO!$AF$11)),
         0)</f>
        <v>0</v>
      </c>
      <c r="AQ51" s="453">
        <f ca="1">IF(AND($D51="Serviço",AQ$12&lt;&gt;0,$H51&gt;0,OR(AUTOEVENTO&lt;&gt;"manual",$M51&lt;&gt;$A$15)),
        IF(Import.TipoArredondamento&lt;&gt;"TransfereGOV",
              ROUND(OFFSET($P51,0,AQ$13),15-13*ORÇAMENTO!$AF$7)/$H51*OFFSET(ORÇAMENTO!$X$15,ROW(AQ51)-ROW(AQ$15),0),
              ROUND(ROUND(OFFSET($P51,0,AQ$13),15-13*ORÇAMENTO!$AF$7)*OFFSET(ORÇAMENTO!$W$15,ROW(AQ51)-ROW(AQ$15),0),15-13*ORÇAMENTO!$AF$11)),
         0)</f>
        <v>0</v>
      </c>
      <c r="AR51" s="453">
        <f ca="1">IF(AND($D51="Serviço",AR$12&lt;&gt;0,$H51&gt;0,OR(AUTOEVENTO&lt;&gt;"manual",$M51&lt;&gt;$A$15)),
        IF(Import.TipoArredondamento&lt;&gt;"TransfereGOV",
              ROUND(OFFSET($P51,0,AR$13),15-13*ORÇAMENTO!$AF$7)/$H51*OFFSET(ORÇAMENTO!$X$15,ROW(AR51)-ROW(AR$15),0),
              ROUND(ROUND(OFFSET($P51,0,AR$13),15-13*ORÇAMENTO!$AF$7)*OFFSET(ORÇAMENTO!$W$15,ROW(AR51)-ROW(AR$15),0),15-13*ORÇAMENTO!$AF$11)),
         0)</f>
        <v>0</v>
      </c>
      <c r="AS51" s="453">
        <f ca="1">IF(AND($D51="Serviço",AS$12&lt;&gt;0,$H51&gt;0,OR(AUTOEVENTO&lt;&gt;"manual",$M51&lt;&gt;$A$15)),
        IF(Import.TipoArredondamento&lt;&gt;"TransfereGOV",
              ROUND(OFFSET($P51,0,AS$13),15-13*ORÇAMENTO!$AF$7)/$H51*OFFSET(ORÇAMENTO!$X$15,ROW(AS51)-ROW(AS$15),0),
              ROUND(ROUND(OFFSET($P51,0,AS$13),15-13*ORÇAMENTO!$AF$7)*OFFSET(ORÇAMENTO!$W$15,ROW(AS51)-ROW(AS$15),0),15-13*ORÇAMENTO!$AF$11)),
         0)</f>
        <v>0</v>
      </c>
      <c r="AT51" s="453">
        <f ca="1">IF(AND($D51="Serviço",AT$12&lt;&gt;0,$H51&gt;0,OR(AUTOEVENTO&lt;&gt;"manual",$M51&lt;&gt;$A$15)),
        IF(Import.TipoArredondamento&lt;&gt;"TransfereGOV",
              ROUND(OFFSET($P51,0,AT$13),15-13*ORÇAMENTO!$AF$7)/$H51*OFFSET(ORÇAMENTO!$X$15,ROW(AT51)-ROW(AT$15),0),
              ROUND(ROUND(OFFSET($P51,0,AT$13),15-13*ORÇAMENTO!$AF$7)*OFFSET(ORÇAMENTO!$W$15,ROW(AT51)-ROW(AT$15),0),15-13*ORÇAMENTO!$AF$11)),
         0)</f>
        <v>0</v>
      </c>
      <c r="AU51" s="453">
        <f ca="1">IF(AND($D51="Serviço",AU$12&lt;&gt;0,$H51&gt;0,OR(AUTOEVENTO&lt;&gt;"manual",$M51&lt;&gt;$A$15)),
        IF(Import.TipoArredondamento&lt;&gt;"TransfereGOV",
              ROUND(OFFSET($P51,0,AU$13),15-13*ORÇAMENTO!$AF$7)/$H51*OFFSET(ORÇAMENTO!$X$15,ROW(AU51)-ROW(AU$15),0),
              ROUND(ROUND(OFFSET($P51,0,AU$13),15-13*ORÇAMENTO!$AF$7)*OFFSET(ORÇAMENTO!$W$15,ROW(AU51)-ROW(AU$15),0),15-13*ORÇAMENTO!$AF$11)),
         0)</f>
        <v>0</v>
      </c>
      <c r="AV51" s="453">
        <f ca="1">IF(AND($D51="Serviço",AV$12&lt;&gt;0,$H51&gt;0,OR(AUTOEVENTO&lt;&gt;"manual",$M51&lt;&gt;$A$15)),
        IF(Import.TipoArredondamento&lt;&gt;"TransfereGOV",
              ROUND(OFFSET($P51,0,AV$13),15-13*ORÇAMENTO!$AF$7)/$H51*OFFSET(ORÇAMENTO!$X$15,ROW(AV51)-ROW(AV$15),0),
              ROUND(ROUND(OFFSET($P51,0,AV$13),15-13*ORÇAMENTO!$AF$7)*OFFSET(ORÇAMENTO!$W$15,ROW(AV51)-ROW(AV$15),0),15-13*ORÇAMENTO!$AF$11)),
         0)</f>
        <v>0</v>
      </c>
      <c r="AW51" s="453">
        <f ca="1">IF(AND($D51="Serviço",AW$12&lt;&gt;0,$H51&gt;0,OR(AUTOEVENTO&lt;&gt;"manual",$M51&lt;&gt;$A$15)),
        IF(Import.TipoArredondamento&lt;&gt;"TransfereGOV",
              ROUND(OFFSET($P51,0,AW$13),15-13*ORÇAMENTO!$AF$7)/$H51*OFFSET(ORÇAMENTO!$X$15,ROW(AW51)-ROW(AW$15),0),
              ROUND(ROUND(OFFSET($P51,0,AW$13),15-13*ORÇAMENTO!$AF$7)*OFFSET(ORÇAMENTO!$W$15,ROW(AW51)-ROW(AW$15),0),15-13*ORÇAMENTO!$AF$11)),
         0)</f>
        <v>0</v>
      </c>
      <c r="AX51" s="453">
        <f ca="1">IF(AND($D51="Serviço",AX$12&lt;&gt;0,$H51&gt;0,OR(AUTOEVENTO&lt;&gt;"manual",$M51&lt;&gt;$A$15)),
        IF(Import.TipoArredondamento&lt;&gt;"TransfereGOV",
              ROUND(OFFSET($P51,0,AX$13),15-13*ORÇAMENTO!$AF$7)/$H51*OFFSET(ORÇAMENTO!$X$15,ROW(AX51)-ROW(AX$15),0),
              ROUND(ROUND(OFFSET($P51,0,AX$13),15-13*ORÇAMENTO!$AF$7)*OFFSET(ORÇAMENTO!$W$15,ROW(AX51)-ROW(AX$15),0),15-13*ORÇAMENTO!$AF$11)),
         0)</f>
        <v>0</v>
      </c>
      <c r="AY51" s="453">
        <f ca="1">IF(AND($D51="Serviço",AY$12&lt;&gt;0,$H51&gt;0,OR(AUTOEVENTO&lt;&gt;"manual",$M51&lt;&gt;$A$15)),
        IF(Import.TipoArredondamento&lt;&gt;"TransfereGOV",
              ROUND(OFFSET($P51,0,AY$13),15-13*ORÇAMENTO!$AF$7)/$H51*OFFSET(ORÇAMENTO!$X$15,ROW(AY51)-ROW(AY$15),0),
              ROUND(ROUND(OFFSET($P51,0,AY$13),15-13*ORÇAMENTO!$AF$7)*OFFSET(ORÇAMENTO!$W$15,ROW(AY51)-ROW(AY$15),0),15-13*ORÇAMENTO!$AF$11)),
         0)</f>
        <v>0</v>
      </c>
      <c r="AZ51" s="453">
        <f ca="1">IF(AND($D51="Serviço",AZ$12&lt;&gt;0,$H51&gt;0,OR(AUTOEVENTO&lt;&gt;"manual",$M51&lt;&gt;$A$15)),
        IF(Import.TipoArredondamento&lt;&gt;"TransfereGOV",
              ROUND(OFFSET($P51,0,AZ$13),15-13*ORÇAMENTO!$AF$7)/$H51*OFFSET(ORÇAMENTO!$X$15,ROW(AZ51)-ROW(AZ$15),0),
              ROUND(ROUND(OFFSET($P51,0,AZ$13),15-13*ORÇAMENTO!$AF$7)*OFFSET(ORÇAMENTO!$W$15,ROW(AZ51)-ROW(AZ$15),0),15-13*ORÇAMENTO!$AF$11)),
         0)</f>
        <v>0</v>
      </c>
      <c r="BA51" s="453">
        <f ca="1">IF(AND($D51="Serviço",BA$12&lt;&gt;0,$H51&gt;0,OR(AUTOEVENTO&lt;&gt;"manual",$M51&lt;&gt;$A$15)),
        IF(Import.TipoArredondamento&lt;&gt;"TransfereGOV",
              ROUND(OFFSET($P51,0,BA$13),15-13*ORÇAMENTO!$AF$7)/$H51*OFFSET(ORÇAMENTO!$X$15,ROW(BA51)-ROW(BA$15),0),
              ROUND(ROUND(OFFSET($P51,0,BA$13),15-13*ORÇAMENTO!$AF$7)*OFFSET(ORÇAMENTO!$W$15,ROW(BA51)-ROW(BA$15),0),15-13*ORÇAMENTO!$AF$11)),
         0)</f>
        <v>0</v>
      </c>
      <c r="BC51" s="171">
        <f ca="1">IF(OR($D51&lt;&gt;"Serviço",AND(AUTOEVENTO="Manual",$M51=$A$15)),0,
         IF(OFFSET(CRONOPLE!$F$15,$M51-$A$15,BC$13)=0,10^12,OFFSET(CRONOPLE!$F$15,$M51-$A$15,BC$13)))</f>
        <v>1000000000000</v>
      </c>
      <c r="BD51" s="171">
        <f ca="1">IF(OR($D51&lt;&gt;"Serviço",AND(AUTOEVENTO="Manual",$M51=$A$15)),0,
         IF(OFFSET(CRONOPLE!$F$15,$M51-$A$15,BD$13)=0,10^12,OFFSET(CRONOPLE!$F$15,$M51-$A$15,BD$13)))</f>
        <v>1000000000000</v>
      </c>
      <c r="BE51" s="171">
        <f ca="1">IF(OR($D51&lt;&gt;"Serviço",AND(AUTOEVENTO="Manual",$M51=$A$15)),0,
         IF(OFFSET(CRONOPLE!$F$15,$M51-$A$15,BE$13)=0,10^12,OFFSET(CRONOPLE!$F$15,$M51-$A$15,BE$13)))</f>
        <v>2</v>
      </c>
      <c r="BF51" s="171">
        <f ca="1">IF(OR($D51&lt;&gt;"Serviço",AND(AUTOEVENTO="Manual",$M51=$A$15)),0,
         IF(OFFSET(CRONOPLE!$F$15,$M51-$A$15,BF$13)=0,10^12,OFFSET(CRONOPLE!$F$15,$M51-$A$15,BF$13)))</f>
        <v>1000000000000</v>
      </c>
      <c r="BG51" s="171">
        <f ca="1">IF(OR($D51&lt;&gt;"Serviço",AND(AUTOEVENTO="Manual",$M51=$A$15)),0,
         IF(OFFSET(CRONOPLE!$F$15,$M51-$A$15,BG$13)=0,10^12,OFFSET(CRONOPLE!$F$15,$M51-$A$15,BG$13)))</f>
        <v>1000000000000</v>
      </c>
      <c r="BH51" s="171">
        <f ca="1">IF(OR($D51&lt;&gt;"Serviço",AND(AUTOEVENTO="Manual",$M51=$A$15)),0,
         IF(OFFSET(CRONOPLE!$F$15,$M51-$A$15,BH$13)=0,10^12,OFFSET(CRONOPLE!$F$15,$M51-$A$15,BH$13)))</f>
        <v>1000000000000</v>
      </c>
      <c r="BI51" s="171">
        <f ca="1">IF(OR($D51&lt;&gt;"Serviço",AND(AUTOEVENTO="Manual",$M51=$A$15)),0,
         IF(OFFSET(CRONOPLE!$F$15,$M51-$A$15,BI$13)=0,10^12,OFFSET(CRONOPLE!$F$15,$M51-$A$15,BI$13)))</f>
        <v>1000000000000</v>
      </c>
      <c r="BJ51" s="171">
        <f ca="1">IF(OR($D51&lt;&gt;"Serviço",AND(AUTOEVENTO="Manual",$M51=$A$15)),0,
         IF(OFFSET(CRONOPLE!$F$15,$M51-$A$15,BJ$13)=0,10^12,OFFSET(CRONOPLE!$F$15,$M51-$A$15,BJ$13)))</f>
        <v>1000000000000</v>
      </c>
      <c r="BK51" s="171">
        <f ca="1">IF(OR($D51&lt;&gt;"Serviço",AND(AUTOEVENTO="Manual",$M51=$A$15)),0,
         IF(OFFSET(CRONOPLE!$F$15,$M51-$A$15,BK$13)=0,10^12,OFFSET(CRONOPLE!$F$15,$M51-$A$15,BK$13)))</f>
        <v>1000000000000</v>
      </c>
      <c r="BL51" s="171">
        <f ca="1">IF(OR($D51&lt;&gt;"Serviço",AND(AUTOEVENTO="Manual",$M51=$A$15)),0,
         IF(OFFSET(CRONOPLE!$F$15,$M51-$A$15,BL$13)=0,10^12,OFFSET(CRONOPLE!$F$15,$M51-$A$15,BL$13)))</f>
        <v>1000000000000</v>
      </c>
      <c r="BM51" s="171">
        <f ca="1">IF(OR($D51&lt;&gt;"Serviço",AND(AUTOEVENTO="Manual",$M51=$A$15)),0,
         IF(OFFSET(CRONOPLE!$F$15,$M51-$A$15,BM$13)=0,10^12,OFFSET(CRONOPLE!$F$15,$M51-$A$15,BM$13)))</f>
        <v>1000000000000</v>
      </c>
      <c r="BN51" s="171">
        <f ca="1">IF(OR($D51&lt;&gt;"Serviço",AND(AUTOEVENTO="Manual",$M51=$A$15)),0,
         IF(OFFSET(CRONOPLE!$F$15,$M51-$A$15,BN$13)=0,10^12,OFFSET(CRONOPLE!$F$15,$M51-$A$15,BN$13)))</f>
        <v>1000000000000</v>
      </c>
      <c r="BO51" s="171">
        <f ca="1">IF(OR($D51&lt;&gt;"Serviço",AND(AUTOEVENTO="Manual",$M51=$A$15)),0,
         IF(OFFSET(CRONOPLE!$F$15,$M51-$A$15,BO$13)=0,10^12,OFFSET(CRONOPLE!$F$15,$M51-$A$15,BO$13)))</f>
        <v>3</v>
      </c>
      <c r="BP51" s="171">
        <f ca="1">IF(OR($D51&lt;&gt;"Serviço",AND(AUTOEVENTO="Manual",$M51=$A$15)),0,
         IF(OFFSET(CRONOPLE!$F$15,$M51-$A$15,BP$13)=0,10^12,OFFSET(CRONOPLE!$F$15,$M51-$A$15,BP$13)))</f>
        <v>1000000000000</v>
      </c>
      <c r="BQ51" s="171">
        <f ca="1">IF(OR($D51&lt;&gt;"Serviço",AND(AUTOEVENTO="Manual",$M51=$A$15)),0,
         IF(OFFSET(CRONOPLE!$F$15,$M51-$A$15,BQ$13)=0,10^12,OFFSET(CRONOPLE!$F$15,$M51-$A$15,BQ$13)))</f>
        <v>1000000000000</v>
      </c>
      <c r="BR51" s="171">
        <f ca="1">IF(OR($D51&lt;&gt;"Serviço",AND(AUTOEVENTO="Manual",$M51=$A$15)),0,
         IF(OFFSET(CRONOPLE!$F$15,$M51-$A$15,BR$13)=0,10^12,OFFSET(CRONOPLE!$F$15,$M51-$A$15,BR$13)))</f>
        <v>1000000000000</v>
      </c>
      <c r="BS51" s="171">
        <f ca="1">IF(OR($D51&lt;&gt;"Serviço",AND(AUTOEVENTO="Manual",$M51=$A$15)),0,
         IF(OFFSET(CRONOPLE!$F$15,$M51-$A$15,BS$13)=0,10^12,OFFSET(CRONOPLE!$F$15,$M51-$A$15,BS$13)))</f>
        <v>1000000000000</v>
      </c>
      <c r="BT51" s="171">
        <f ca="1">IF(OR($D51&lt;&gt;"Serviço",AND(AUTOEVENTO="Manual",$M51=$A$15)),0,
         IF(OFFSET(CRONOPLE!$F$15,$M51-$A$15,BT$13)=0,10^12,OFFSET(CRONOPLE!$F$15,$M51-$A$15,BT$13)))</f>
        <v>1000000000000</v>
      </c>
      <c r="BV51" s="172">
        <f ca="1">IF(OR($D51&lt;&gt;"Serviço",AND(AUTOEVENTO="Manual",$M51=$A$15),$M51&gt;(ROW(PLE.lastrow)-ROW(PLE.firstrow))),0,
           IF(OFFSET(PLE!$G$15,$M51-$A$15,BV$13)="",10^12,OFFSET(PLE!$G$15,$M51-$A$15,BV$13)))</f>
        <v>1000000000000</v>
      </c>
      <c r="BW51" s="172">
        <f ca="1">IF(OR($D51&lt;&gt;"Serviço",AND(AUTOEVENTO="Manual",$M51=$A$15),$M51&gt;(ROW(PLE.lastrow)-ROW(PLE.firstrow))),0,
           IF(OFFSET(PLE!$G$15,$M51-$A$15,BW$13)="",10^12,OFFSET(PLE!$G$15,$M51-$A$15,BW$13)))</f>
        <v>1000000000000</v>
      </c>
      <c r="BX51" s="172">
        <f ca="1">IF(OR($D51&lt;&gt;"Serviço",AND(AUTOEVENTO="Manual",$M51=$A$15),$M51&gt;(ROW(PLE.lastrow)-ROW(PLE.firstrow))),0,
           IF(OFFSET(PLE!$G$15,$M51-$A$15,BX$13)="",10^12,OFFSET(PLE!$G$15,$M51-$A$15,BX$13)))</f>
        <v>1000000000000</v>
      </c>
      <c r="BY51" s="172">
        <f ca="1">IF(OR($D51&lt;&gt;"Serviço",AND(AUTOEVENTO="Manual",$M51=$A$15),$M51&gt;(ROW(PLE.lastrow)-ROW(PLE.firstrow))),0,
           IF(OFFSET(PLE!$G$15,$M51-$A$15,BY$13)="",10^12,OFFSET(PLE!$G$15,$M51-$A$15,BY$13)))</f>
        <v>1000000000000</v>
      </c>
      <c r="BZ51" s="172">
        <f ca="1">IF(OR($D51&lt;&gt;"Serviço",AND(AUTOEVENTO="Manual",$M51=$A$15),$M51&gt;(ROW(PLE.lastrow)-ROW(PLE.firstrow))),0,
           IF(OFFSET(PLE!$G$15,$M51-$A$15,BZ$13)="",10^12,OFFSET(PLE!$G$15,$M51-$A$15,BZ$13)))</f>
        <v>1000000000000</v>
      </c>
      <c r="CA51" s="172">
        <f ca="1">IF(OR($D51&lt;&gt;"Serviço",AND(AUTOEVENTO="Manual",$M51=$A$15),$M51&gt;(ROW(PLE.lastrow)-ROW(PLE.firstrow))),0,
           IF(OFFSET(PLE!$G$15,$M51-$A$15,CA$13)="",10^12,OFFSET(PLE!$G$15,$M51-$A$15,CA$13)))</f>
        <v>1000000000000</v>
      </c>
      <c r="CB51" s="172">
        <f ca="1">IF(OR($D51&lt;&gt;"Serviço",AND(AUTOEVENTO="Manual",$M51=$A$15),$M51&gt;(ROW(PLE.lastrow)-ROW(PLE.firstrow))),0,
           IF(OFFSET(PLE!$G$15,$M51-$A$15,CB$13)="",10^12,OFFSET(PLE!$G$15,$M51-$A$15,CB$13)))</f>
        <v>1000000000000</v>
      </c>
      <c r="CC51" s="172">
        <f ca="1">IF(OR($D51&lt;&gt;"Serviço",AND(AUTOEVENTO="Manual",$M51=$A$15),$M51&gt;(ROW(PLE.lastrow)-ROW(PLE.firstrow))),0,
           IF(OFFSET(PLE!$G$15,$M51-$A$15,CC$13)="",10^12,OFFSET(PLE!$G$15,$M51-$A$15,CC$13)))</f>
        <v>1000000000000</v>
      </c>
      <c r="CD51" s="172">
        <f ca="1">IF(OR($D51&lt;&gt;"Serviço",AND(AUTOEVENTO="Manual",$M51=$A$15),$M51&gt;(ROW(PLE.lastrow)-ROW(PLE.firstrow))),0,
           IF(OFFSET(PLE!$G$15,$M51-$A$15,CD$13)="",10^12,OFFSET(PLE!$G$15,$M51-$A$15,CD$13)))</f>
        <v>1000000000000</v>
      </c>
      <c r="CE51" s="172">
        <f ca="1">IF(OR($D51&lt;&gt;"Serviço",AND(AUTOEVENTO="Manual",$M51=$A$15),$M51&gt;(ROW(PLE.lastrow)-ROW(PLE.firstrow))),0,
           IF(OFFSET(PLE!$G$15,$M51-$A$15,CE$13)="",10^12,OFFSET(PLE!$G$15,$M51-$A$15,CE$13)))</f>
        <v>1000000000000</v>
      </c>
      <c r="CF51" s="172">
        <f ca="1">IF(OR($D51&lt;&gt;"Serviço",AND(AUTOEVENTO="Manual",$M51=$A$15),$M51&gt;(ROW(PLE.lastrow)-ROW(PLE.firstrow))),0,
           IF(OFFSET(PLE!$G$15,$M51-$A$15,CF$13)="",10^12,OFFSET(PLE!$G$15,$M51-$A$15,CF$13)))</f>
        <v>1000000000000</v>
      </c>
      <c r="CG51" s="172">
        <f ca="1">IF(OR($D51&lt;&gt;"Serviço",AND(AUTOEVENTO="Manual",$M51=$A$15),$M51&gt;(ROW(PLE.lastrow)-ROW(PLE.firstrow))),0,
           IF(OFFSET(PLE!$G$15,$M51-$A$15,CG$13)="",10^12,OFFSET(PLE!$G$15,$M51-$A$15,CG$13)))</f>
        <v>1000000000000</v>
      </c>
      <c r="CH51" s="172">
        <f ca="1">IF(OR($D51&lt;&gt;"Serviço",AND(AUTOEVENTO="Manual",$M51=$A$15),$M51&gt;(ROW(PLE.lastrow)-ROW(PLE.firstrow))),0,
           IF(OFFSET(PLE!$G$15,$M51-$A$15,CH$13)="",10^12,OFFSET(PLE!$G$15,$M51-$A$15,CH$13)))</f>
        <v>1000000000000</v>
      </c>
      <c r="CI51" s="172">
        <f ca="1">IF(OR($D51&lt;&gt;"Serviço",AND(AUTOEVENTO="Manual",$M51=$A$15),$M51&gt;(ROW(PLE.lastrow)-ROW(PLE.firstrow))),0,
           IF(OFFSET(PLE!$G$15,$M51-$A$15,CI$13)="",10^12,OFFSET(PLE!$G$15,$M51-$A$15,CI$13)))</f>
        <v>1000000000000</v>
      </c>
      <c r="CJ51" s="172">
        <f ca="1">IF(OR($D51&lt;&gt;"Serviço",AND(AUTOEVENTO="Manual",$M51=$A$15),$M51&gt;(ROW(PLE.lastrow)-ROW(PLE.firstrow))),0,
           IF(OFFSET(PLE!$G$15,$M51-$A$15,CJ$13)="",10^12,OFFSET(PLE!$G$15,$M51-$A$15,CJ$13)))</f>
        <v>1000000000000</v>
      </c>
      <c r="CK51" s="172">
        <f ca="1">IF(OR($D51&lt;&gt;"Serviço",AND(AUTOEVENTO="Manual",$M51=$A$15),$M51&gt;(ROW(PLE.lastrow)-ROW(PLE.firstrow))),0,
           IF(OFFSET(PLE!$G$15,$M51-$A$15,CK$13)="",10^12,OFFSET(PLE!$G$15,$M51-$A$15,CK$13)))</f>
        <v>1000000000000</v>
      </c>
      <c r="CL51" s="172">
        <f ca="1">IF(OR($D51&lt;&gt;"Serviço",AND(AUTOEVENTO="Manual",$M51=$A$15),$M51&gt;(ROW(PLE.lastrow)-ROW(PLE.firstrow))),0,
           IF(OFFSET(PLE!$G$15,$M51-$A$15,CL$13)="",10^12,OFFSET(PLE!$G$15,$M51-$A$15,CL$13)))</f>
        <v>1000000000000</v>
      </c>
      <c r="CM51" s="172">
        <f ca="1">IF(OR($D51&lt;&gt;"Serviço",AND(AUTOEVENTO="Manual",$M51=$A$15),$M51&gt;(ROW(PLE.lastrow)-ROW(PLE.firstrow))),0,
           IF(OFFSET(PLE!$G$15,$M51-$A$15,CM$13)="",10^12,OFFSET(PLE!$G$15,$M51-$A$15,CM$13)))</f>
        <v>1000000000000</v>
      </c>
    </row>
    <row r="52" spans="1:91" ht="13.2" x14ac:dyDescent="0.25">
      <c r="A52" s="7" t="str">
        <f t="shared" ca="1" si="11"/>
        <v>37.</v>
      </c>
      <c r="B52" s="7">
        <f ca="1">OFFSET(ORÇAMENTO!C$15,ROW(B52)-ROW(B$15),0)</f>
        <v>2</v>
      </c>
      <c r="C52" s="7" t="str">
        <f ca="1">OFFSET(ORÇAMENTO!L$15,ROW(C52)-ROW(C$15),0)</f>
        <v>F</v>
      </c>
      <c r="D52" s="116" t="str">
        <f ca="1">OFFSET(ORÇAMENTO!N$15,ROW(D52)-ROW(D$15),0)</f>
        <v>Nível 2</v>
      </c>
      <c r="E52" s="117" t="str">
        <f ca="1">OFFSET(ORÇAMENTO!O$15,ROW(E52)-ROW(E$15),0)</f>
        <v>1.7.</v>
      </c>
      <c r="F52" s="163" t="str">
        <f ca="1">OFFSET(ORÇAMENTO!R$15,ROW(F52)-ROW(F$15),0)</f>
        <v xml:space="preserve">ENSAIOS </v>
      </c>
      <c r="G52" s="164" t="str">
        <f ca="1">IF($D52&lt;&gt;"Serviço","",OFFSET(ORÇAMENTO!S$15,ROW(G52)-ROW(G$15),0))</f>
        <v/>
      </c>
      <c r="H52" s="122" cm="1">
        <f t="array" aca="1" ref="H52" ca="1">IF($D52&lt;&gt;"Serviço",0,IF(ACOMPANHAMENTO="BM",ROUND(OFFSET(ORÇAMENTO!AJ$15,ROW(H52)-ROW(H$15),0),15-13*ORÇAMENTO!$AF$7),SUMPRODUCT(($Q$1:$AI$1=1)*ROUND($Q52:$AI52,15-13*ORÇAMENTO!$AF$7))))</f>
        <v>0</v>
      </c>
      <c r="I52" s="468"/>
      <c r="J52" s="651" t="str" cm="1">
        <f t="array" aca="1" ref="J52" ca="1">IF(OR(B52&lt;&gt;"S",CÁLCULO.FrentesPreenchidas=0),"",IF(AND(ACOMPANHAMENTO="PLE",AUTOEVENTO="Manual",OR(H52&gt;0,ORÇAMENTO!AC52="QUANT."),OR(K52="",M52=0,N52="")),"►E",IF(AND(ACOMPANHAMENTO="PLE",ORÇAMENTO!AC52="QUANT."),"►Q",IF(AND(ACOMPANHAMENTO="PLE",H52&lt;&gt;SUMPRODUCT(($Q$1:$AI$1=1)*ROUND(Q52:AI52,15))),"►S",IF(AND(COUNTIF($P$11:$AI$11,"▼")=0,H52&gt;0,I52=""),"◄M","")))))</f>
        <v/>
      </c>
      <c r="K52" s="652"/>
      <c r="L52" s="165" t="s">
        <v>764</v>
      </c>
      <c r="M52" s="166" t="str">
        <f ca="1">IF($D52&lt;&gt;"Serviço","",
          IF(AUTOEVENTO="manual",$A52,
                IF(ISERROR(MATCH($A52,$A$15:OFFSET($A52,-1,0),0)),MAX($M$15:OFFSET(M52,-1,0))+1,
                      INDEX($M$15:OFFSET(M52,-1,0),MATCH($A52,$A$15:OFFSET($A52,-1,0),0)))))</f>
        <v/>
      </c>
      <c r="N52" s="167" t="str">
        <f ca="1">IF($D52&lt;&gt;"Serviço","",
         IF(AUTOEVENTO="Manual",
                IF($A52=0,"&lt;-- defina o número do agrupador",
                       OFFSET(EVENTOS!$D$15,$A52-$A$15,0)),
                OFFSET($F$15,$A52,0)))</f>
        <v/>
      </c>
      <c r="O52" s="168"/>
      <c r="Q52" s="168"/>
      <c r="R52" s="169"/>
      <c r="S52" s="169"/>
      <c r="T52" s="169"/>
      <c r="U52" s="169"/>
      <c r="V52" s="169"/>
      <c r="W52" s="169"/>
      <c r="X52" s="169"/>
      <c r="Y52" s="169"/>
      <c r="Z52" s="170"/>
      <c r="AA52" s="169"/>
      <c r="AB52" s="169"/>
      <c r="AC52" s="169"/>
      <c r="AD52" s="169"/>
      <c r="AE52" s="169"/>
      <c r="AF52" s="169"/>
      <c r="AG52" s="169"/>
      <c r="AH52" s="170"/>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L52" s="453">
        <f ca="1">IF(AND($D52="Serviço",AL$12&lt;&gt;0,$H52&gt;0,OR(AUTOEVENTO&lt;&gt;"manual",$M52&lt;&gt;$A$15)),
        IF(Import.TipoArredondamento&lt;&gt;"TransfereGOV",
              ROUND(OFFSET($P52,0,AL$13),15-13*ORÇAMENTO!$AF$7)/$H52*OFFSET(ORÇAMENTO!$X$15,ROW(AL52)-ROW(AL$15),0),
              ROUND(ROUND(OFFSET($P52,0,AL$13),15-13*ORÇAMENTO!$AF$7)*OFFSET(ORÇAMENTO!$W$15,ROW(AL52)-ROW(AL$15),0),15-13*ORÇAMENTO!$AF$11)),
         0)</f>
        <v>0</v>
      </c>
      <c r="AM52" s="453">
        <f ca="1">IF(AND($D52="Serviço",AM$12&lt;&gt;0,$H52&gt;0,OR(AUTOEVENTO&lt;&gt;"manual",$M52&lt;&gt;$A$15)),
        IF(Import.TipoArredondamento&lt;&gt;"TransfereGOV",
              ROUND(OFFSET($P52,0,AM$13),15-13*ORÇAMENTO!$AF$7)/$H52*OFFSET(ORÇAMENTO!$X$15,ROW(AM52)-ROW(AM$15),0),
              ROUND(ROUND(OFFSET($P52,0,AM$13),15-13*ORÇAMENTO!$AF$7)*OFFSET(ORÇAMENTO!$W$15,ROW(AM52)-ROW(AM$15),0),15-13*ORÇAMENTO!$AF$11)),
         0)</f>
        <v>0</v>
      </c>
      <c r="AN52" s="453">
        <f ca="1">IF(AND($D52="Serviço",AN$12&lt;&gt;0,$H52&gt;0,OR(AUTOEVENTO&lt;&gt;"manual",$M52&lt;&gt;$A$15)),
        IF(Import.TipoArredondamento&lt;&gt;"TransfereGOV",
              ROUND(OFFSET($P52,0,AN$13),15-13*ORÇAMENTO!$AF$7)/$H52*OFFSET(ORÇAMENTO!$X$15,ROW(AN52)-ROW(AN$15),0),
              ROUND(ROUND(OFFSET($P52,0,AN$13),15-13*ORÇAMENTO!$AF$7)*OFFSET(ORÇAMENTO!$W$15,ROW(AN52)-ROW(AN$15),0),15-13*ORÇAMENTO!$AF$11)),
         0)</f>
        <v>0</v>
      </c>
      <c r="AO52" s="453">
        <f ca="1">IF(AND($D52="Serviço",AO$12&lt;&gt;0,$H52&gt;0,OR(AUTOEVENTO&lt;&gt;"manual",$M52&lt;&gt;$A$15)),
        IF(Import.TipoArredondamento&lt;&gt;"TransfereGOV",
              ROUND(OFFSET($P52,0,AO$13),15-13*ORÇAMENTO!$AF$7)/$H52*OFFSET(ORÇAMENTO!$X$15,ROW(AO52)-ROW(AO$15),0),
              ROUND(ROUND(OFFSET($P52,0,AO$13),15-13*ORÇAMENTO!$AF$7)*OFFSET(ORÇAMENTO!$W$15,ROW(AO52)-ROW(AO$15),0),15-13*ORÇAMENTO!$AF$11)),
         0)</f>
        <v>0</v>
      </c>
      <c r="AP52" s="453">
        <f ca="1">IF(AND($D52="Serviço",AP$12&lt;&gt;0,$H52&gt;0,OR(AUTOEVENTO&lt;&gt;"manual",$M52&lt;&gt;$A$15)),
        IF(Import.TipoArredondamento&lt;&gt;"TransfereGOV",
              ROUND(OFFSET($P52,0,AP$13),15-13*ORÇAMENTO!$AF$7)/$H52*OFFSET(ORÇAMENTO!$X$15,ROW(AP52)-ROW(AP$15),0),
              ROUND(ROUND(OFFSET($P52,0,AP$13),15-13*ORÇAMENTO!$AF$7)*OFFSET(ORÇAMENTO!$W$15,ROW(AP52)-ROW(AP$15),0),15-13*ORÇAMENTO!$AF$11)),
         0)</f>
        <v>0</v>
      </c>
      <c r="AQ52" s="453">
        <f ca="1">IF(AND($D52="Serviço",AQ$12&lt;&gt;0,$H52&gt;0,OR(AUTOEVENTO&lt;&gt;"manual",$M52&lt;&gt;$A$15)),
        IF(Import.TipoArredondamento&lt;&gt;"TransfereGOV",
              ROUND(OFFSET($P52,0,AQ$13),15-13*ORÇAMENTO!$AF$7)/$H52*OFFSET(ORÇAMENTO!$X$15,ROW(AQ52)-ROW(AQ$15),0),
              ROUND(ROUND(OFFSET($P52,0,AQ$13),15-13*ORÇAMENTO!$AF$7)*OFFSET(ORÇAMENTO!$W$15,ROW(AQ52)-ROW(AQ$15),0),15-13*ORÇAMENTO!$AF$11)),
         0)</f>
        <v>0</v>
      </c>
      <c r="AR52" s="453">
        <f ca="1">IF(AND($D52="Serviço",AR$12&lt;&gt;0,$H52&gt;0,OR(AUTOEVENTO&lt;&gt;"manual",$M52&lt;&gt;$A$15)),
        IF(Import.TipoArredondamento&lt;&gt;"TransfereGOV",
              ROUND(OFFSET($P52,0,AR$13),15-13*ORÇAMENTO!$AF$7)/$H52*OFFSET(ORÇAMENTO!$X$15,ROW(AR52)-ROW(AR$15),0),
              ROUND(ROUND(OFFSET($P52,0,AR$13),15-13*ORÇAMENTO!$AF$7)*OFFSET(ORÇAMENTO!$W$15,ROW(AR52)-ROW(AR$15),0),15-13*ORÇAMENTO!$AF$11)),
         0)</f>
        <v>0</v>
      </c>
      <c r="AS52" s="453">
        <f ca="1">IF(AND($D52="Serviço",AS$12&lt;&gt;0,$H52&gt;0,OR(AUTOEVENTO&lt;&gt;"manual",$M52&lt;&gt;$A$15)),
        IF(Import.TipoArredondamento&lt;&gt;"TransfereGOV",
              ROUND(OFFSET($P52,0,AS$13),15-13*ORÇAMENTO!$AF$7)/$H52*OFFSET(ORÇAMENTO!$X$15,ROW(AS52)-ROW(AS$15),0),
              ROUND(ROUND(OFFSET($P52,0,AS$13),15-13*ORÇAMENTO!$AF$7)*OFFSET(ORÇAMENTO!$W$15,ROW(AS52)-ROW(AS$15),0),15-13*ORÇAMENTO!$AF$11)),
         0)</f>
        <v>0</v>
      </c>
      <c r="AT52" s="453">
        <f ca="1">IF(AND($D52="Serviço",AT$12&lt;&gt;0,$H52&gt;0,OR(AUTOEVENTO&lt;&gt;"manual",$M52&lt;&gt;$A$15)),
        IF(Import.TipoArredondamento&lt;&gt;"TransfereGOV",
              ROUND(OFFSET($P52,0,AT$13),15-13*ORÇAMENTO!$AF$7)/$H52*OFFSET(ORÇAMENTO!$X$15,ROW(AT52)-ROW(AT$15),0),
              ROUND(ROUND(OFFSET($P52,0,AT$13),15-13*ORÇAMENTO!$AF$7)*OFFSET(ORÇAMENTO!$W$15,ROW(AT52)-ROW(AT$15),0),15-13*ORÇAMENTO!$AF$11)),
         0)</f>
        <v>0</v>
      </c>
      <c r="AU52" s="453">
        <f ca="1">IF(AND($D52="Serviço",AU$12&lt;&gt;0,$H52&gt;0,OR(AUTOEVENTO&lt;&gt;"manual",$M52&lt;&gt;$A$15)),
        IF(Import.TipoArredondamento&lt;&gt;"TransfereGOV",
              ROUND(OFFSET($P52,0,AU$13),15-13*ORÇAMENTO!$AF$7)/$H52*OFFSET(ORÇAMENTO!$X$15,ROW(AU52)-ROW(AU$15),0),
              ROUND(ROUND(OFFSET($P52,0,AU$13),15-13*ORÇAMENTO!$AF$7)*OFFSET(ORÇAMENTO!$W$15,ROW(AU52)-ROW(AU$15),0),15-13*ORÇAMENTO!$AF$11)),
         0)</f>
        <v>0</v>
      </c>
      <c r="AV52" s="453">
        <f ca="1">IF(AND($D52="Serviço",AV$12&lt;&gt;0,$H52&gt;0,OR(AUTOEVENTO&lt;&gt;"manual",$M52&lt;&gt;$A$15)),
        IF(Import.TipoArredondamento&lt;&gt;"TransfereGOV",
              ROUND(OFFSET($P52,0,AV$13),15-13*ORÇAMENTO!$AF$7)/$H52*OFFSET(ORÇAMENTO!$X$15,ROW(AV52)-ROW(AV$15),0),
              ROUND(ROUND(OFFSET($P52,0,AV$13),15-13*ORÇAMENTO!$AF$7)*OFFSET(ORÇAMENTO!$W$15,ROW(AV52)-ROW(AV$15),0),15-13*ORÇAMENTO!$AF$11)),
         0)</f>
        <v>0</v>
      </c>
      <c r="AW52" s="453">
        <f ca="1">IF(AND($D52="Serviço",AW$12&lt;&gt;0,$H52&gt;0,OR(AUTOEVENTO&lt;&gt;"manual",$M52&lt;&gt;$A$15)),
        IF(Import.TipoArredondamento&lt;&gt;"TransfereGOV",
              ROUND(OFFSET($P52,0,AW$13),15-13*ORÇAMENTO!$AF$7)/$H52*OFFSET(ORÇAMENTO!$X$15,ROW(AW52)-ROW(AW$15),0),
              ROUND(ROUND(OFFSET($P52,0,AW$13),15-13*ORÇAMENTO!$AF$7)*OFFSET(ORÇAMENTO!$W$15,ROW(AW52)-ROW(AW$15),0),15-13*ORÇAMENTO!$AF$11)),
         0)</f>
        <v>0</v>
      </c>
      <c r="AX52" s="453">
        <f ca="1">IF(AND($D52="Serviço",AX$12&lt;&gt;0,$H52&gt;0,OR(AUTOEVENTO&lt;&gt;"manual",$M52&lt;&gt;$A$15)),
        IF(Import.TipoArredondamento&lt;&gt;"TransfereGOV",
              ROUND(OFFSET($P52,0,AX$13),15-13*ORÇAMENTO!$AF$7)/$H52*OFFSET(ORÇAMENTO!$X$15,ROW(AX52)-ROW(AX$15),0),
              ROUND(ROUND(OFFSET($P52,0,AX$13),15-13*ORÇAMENTO!$AF$7)*OFFSET(ORÇAMENTO!$W$15,ROW(AX52)-ROW(AX$15),0),15-13*ORÇAMENTO!$AF$11)),
         0)</f>
        <v>0</v>
      </c>
      <c r="AY52" s="453">
        <f ca="1">IF(AND($D52="Serviço",AY$12&lt;&gt;0,$H52&gt;0,OR(AUTOEVENTO&lt;&gt;"manual",$M52&lt;&gt;$A$15)),
        IF(Import.TipoArredondamento&lt;&gt;"TransfereGOV",
              ROUND(OFFSET($P52,0,AY$13),15-13*ORÇAMENTO!$AF$7)/$H52*OFFSET(ORÇAMENTO!$X$15,ROW(AY52)-ROW(AY$15),0),
              ROUND(ROUND(OFFSET($P52,0,AY$13),15-13*ORÇAMENTO!$AF$7)*OFFSET(ORÇAMENTO!$W$15,ROW(AY52)-ROW(AY$15),0),15-13*ORÇAMENTO!$AF$11)),
         0)</f>
        <v>0</v>
      </c>
      <c r="AZ52" s="453">
        <f ca="1">IF(AND($D52="Serviço",AZ$12&lt;&gt;0,$H52&gt;0,OR(AUTOEVENTO&lt;&gt;"manual",$M52&lt;&gt;$A$15)),
        IF(Import.TipoArredondamento&lt;&gt;"TransfereGOV",
              ROUND(OFFSET($P52,0,AZ$13),15-13*ORÇAMENTO!$AF$7)/$H52*OFFSET(ORÇAMENTO!$X$15,ROW(AZ52)-ROW(AZ$15),0),
              ROUND(ROUND(OFFSET($P52,0,AZ$13),15-13*ORÇAMENTO!$AF$7)*OFFSET(ORÇAMENTO!$W$15,ROW(AZ52)-ROW(AZ$15),0),15-13*ORÇAMENTO!$AF$11)),
         0)</f>
        <v>0</v>
      </c>
      <c r="BA52" s="453">
        <f ca="1">IF(AND($D52="Serviço",BA$12&lt;&gt;0,$H52&gt;0,OR(AUTOEVENTO&lt;&gt;"manual",$M52&lt;&gt;$A$15)),
        IF(Import.TipoArredondamento&lt;&gt;"TransfereGOV",
              ROUND(OFFSET($P52,0,BA$13),15-13*ORÇAMENTO!$AF$7)/$H52*OFFSET(ORÇAMENTO!$X$15,ROW(BA52)-ROW(BA$15),0),
              ROUND(ROUND(OFFSET($P52,0,BA$13),15-13*ORÇAMENTO!$AF$7)*OFFSET(ORÇAMENTO!$W$15,ROW(BA52)-ROW(BA$15),0),15-13*ORÇAMENTO!$AF$11)),
         0)</f>
        <v>0</v>
      </c>
      <c r="BC52" s="171">
        <f ca="1">IF(OR($D52&lt;&gt;"Serviço",AND(AUTOEVENTO="Manual",$M52=$A$15)),0,
         IF(OFFSET(CRONOPLE!$F$15,$M52-$A$15,BC$13)=0,10^12,OFFSET(CRONOPLE!$F$15,$M52-$A$15,BC$13)))</f>
        <v>0</v>
      </c>
      <c r="BD52" s="171">
        <f ca="1">IF(OR($D52&lt;&gt;"Serviço",AND(AUTOEVENTO="Manual",$M52=$A$15)),0,
         IF(OFFSET(CRONOPLE!$F$15,$M52-$A$15,BD$13)=0,10^12,OFFSET(CRONOPLE!$F$15,$M52-$A$15,BD$13)))</f>
        <v>0</v>
      </c>
      <c r="BE52" s="171">
        <f ca="1">IF(OR($D52&lt;&gt;"Serviço",AND(AUTOEVENTO="Manual",$M52=$A$15)),0,
         IF(OFFSET(CRONOPLE!$F$15,$M52-$A$15,BE$13)=0,10^12,OFFSET(CRONOPLE!$F$15,$M52-$A$15,BE$13)))</f>
        <v>0</v>
      </c>
      <c r="BF52" s="171">
        <f ca="1">IF(OR($D52&lt;&gt;"Serviço",AND(AUTOEVENTO="Manual",$M52=$A$15)),0,
         IF(OFFSET(CRONOPLE!$F$15,$M52-$A$15,BF$13)=0,10^12,OFFSET(CRONOPLE!$F$15,$M52-$A$15,BF$13)))</f>
        <v>0</v>
      </c>
      <c r="BG52" s="171">
        <f ca="1">IF(OR($D52&lt;&gt;"Serviço",AND(AUTOEVENTO="Manual",$M52=$A$15)),0,
         IF(OFFSET(CRONOPLE!$F$15,$M52-$A$15,BG$13)=0,10^12,OFFSET(CRONOPLE!$F$15,$M52-$A$15,BG$13)))</f>
        <v>0</v>
      </c>
      <c r="BH52" s="171">
        <f ca="1">IF(OR($D52&lt;&gt;"Serviço",AND(AUTOEVENTO="Manual",$M52=$A$15)),0,
         IF(OFFSET(CRONOPLE!$F$15,$M52-$A$15,BH$13)=0,10^12,OFFSET(CRONOPLE!$F$15,$M52-$A$15,BH$13)))</f>
        <v>0</v>
      </c>
      <c r="BI52" s="171">
        <f ca="1">IF(OR($D52&lt;&gt;"Serviço",AND(AUTOEVENTO="Manual",$M52=$A$15)),0,
         IF(OFFSET(CRONOPLE!$F$15,$M52-$A$15,BI$13)=0,10^12,OFFSET(CRONOPLE!$F$15,$M52-$A$15,BI$13)))</f>
        <v>0</v>
      </c>
      <c r="BJ52" s="171">
        <f ca="1">IF(OR($D52&lt;&gt;"Serviço",AND(AUTOEVENTO="Manual",$M52=$A$15)),0,
         IF(OFFSET(CRONOPLE!$F$15,$M52-$A$15,BJ$13)=0,10^12,OFFSET(CRONOPLE!$F$15,$M52-$A$15,BJ$13)))</f>
        <v>0</v>
      </c>
      <c r="BK52" s="171">
        <f ca="1">IF(OR($D52&lt;&gt;"Serviço",AND(AUTOEVENTO="Manual",$M52=$A$15)),0,
         IF(OFFSET(CRONOPLE!$F$15,$M52-$A$15,BK$13)=0,10^12,OFFSET(CRONOPLE!$F$15,$M52-$A$15,BK$13)))</f>
        <v>0</v>
      </c>
      <c r="BL52" s="171">
        <f ca="1">IF(OR($D52&lt;&gt;"Serviço",AND(AUTOEVENTO="Manual",$M52=$A$15)),0,
         IF(OFFSET(CRONOPLE!$F$15,$M52-$A$15,BL$13)=0,10^12,OFFSET(CRONOPLE!$F$15,$M52-$A$15,BL$13)))</f>
        <v>0</v>
      </c>
      <c r="BM52" s="171">
        <f ca="1">IF(OR($D52&lt;&gt;"Serviço",AND(AUTOEVENTO="Manual",$M52=$A$15)),0,
         IF(OFFSET(CRONOPLE!$F$15,$M52-$A$15,BM$13)=0,10^12,OFFSET(CRONOPLE!$F$15,$M52-$A$15,BM$13)))</f>
        <v>0</v>
      </c>
      <c r="BN52" s="171">
        <f ca="1">IF(OR($D52&lt;&gt;"Serviço",AND(AUTOEVENTO="Manual",$M52=$A$15)),0,
         IF(OFFSET(CRONOPLE!$F$15,$M52-$A$15,BN$13)=0,10^12,OFFSET(CRONOPLE!$F$15,$M52-$A$15,BN$13)))</f>
        <v>0</v>
      </c>
      <c r="BO52" s="171">
        <f ca="1">IF(OR($D52&lt;&gt;"Serviço",AND(AUTOEVENTO="Manual",$M52=$A$15)),0,
         IF(OFFSET(CRONOPLE!$F$15,$M52-$A$15,BO$13)=0,10^12,OFFSET(CRONOPLE!$F$15,$M52-$A$15,BO$13)))</f>
        <v>0</v>
      </c>
      <c r="BP52" s="171">
        <f ca="1">IF(OR($D52&lt;&gt;"Serviço",AND(AUTOEVENTO="Manual",$M52=$A$15)),0,
         IF(OFFSET(CRONOPLE!$F$15,$M52-$A$15,BP$13)=0,10^12,OFFSET(CRONOPLE!$F$15,$M52-$A$15,BP$13)))</f>
        <v>0</v>
      </c>
      <c r="BQ52" s="171">
        <f ca="1">IF(OR($D52&lt;&gt;"Serviço",AND(AUTOEVENTO="Manual",$M52=$A$15)),0,
         IF(OFFSET(CRONOPLE!$F$15,$M52-$A$15,BQ$13)=0,10^12,OFFSET(CRONOPLE!$F$15,$M52-$A$15,BQ$13)))</f>
        <v>0</v>
      </c>
      <c r="BR52" s="171">
        <f ca="1">IF(OR($D52&lt;&gt;"Serviço",AND(AUTOEVENTO="Manual",$M52=$A$15)),0,
         IF(OFFSET(CRONOPLE!$F$15,$M52-$A$15,BR$13)=0,10^12,OFFSET(CRONOPLE!$F$15,$M52-$A$15,BR$13)))</f>
        <v>0</v>
      </c>
      <c r="BS52" s="171">
        <f ca="1">IF(OR($D52&lt;&gt;"Serviço",AND(AUTOEVENTO="Manual",$M52=$A$15)),0,
         IF(OFFSET(CRONOPLE!$F$15,$M52-$A$15,BS$13)=0,10^12,OFFSET(CRONOPLE!$F$15,$M52-$A$15,BS$13)))</f>
        <v>0</v>
      </c>
      <c r="BT52" s="171">
        <f ca="1">IF(OR($D52&lt;&gt;"Serviço",AND(AUTOEVENTO="Manual",$M52=$A$15)),0,
         IF(OFFSET(CRONOPLE!$F$15,$M52-$A$15,BT$13)=0,10^12,OFFSET(CRONOPLE!$F$15,$M52-$A$15,BT$13)))</f>
        <v>0</v>
      </c>
      <c r="BV52" s="172">
        <f ca="1">IF(OR($D52&lt;&gt;"Serviço",AND(AUTOEVENTO="Manual",$M52=$A$15),$M52&gt;(ROW(PLE.lastrow)-ROW(PLE.firstrow))),0,
           IF(OFFSET(PLE!$G$15,$M52-$A$15,BV$13)="",10^12,OFFSET(PLE!$G$15,$M52-$A$15,BV$13)))</f>
        <v>0</v>
      </c>
      <c r="BW52" s="172">
        <f ca="1">IF(OR($D52&lt;&gt;"Serviço",AND(AUTOEVENTO="Manual",$M52=$A$15),$M52&gt;(ROW(PLE.lastrow)-ROW(PLE.firstrow))),0,
           IF(OFFSET(PLE!$G$15,$M52-$A$15,BW$13)="",10^12,OFFSET(PLE!$G$15,$M52-$A$15,BW$13)))</f>
        <v>0</v>
      </c>
      <c r="BX52" s="172">
        <f ca="1">IF(OR($D52&lt;&gt;"Serviço",AND(AUTOEVENTO="Manual",$M52=$A$15),$M52&gt;(ROW(PLE.lastrow)-ROW(PLE.firstrow))),0,
           IF(OFFSET(PLE!$G$15,$M52-$A$15,BX$13)="",10^12,OFFSET(PLE!$G$15,$M52-$A$15,BX$13)))</f>
        <v>0</v>
      </c>
      <c r="BY52" s="172">
        <f ca="1">IF(OR($D52&lt;&gt;"Serviço",AND(AUTOEVENTO="Manual",$M52=$A$15),$M52&gt;(ROW(PLE.lastrow)-ROW(PLE.firstrow))),0,
           IF(OFFSET(PLE!$G$15,$M52-$A$15,BY$13)="",10^12,OFFSET(PLE!$G$15,$M52-$A$15,BY$13)))</f>
        <v>0</v>
      </c>
      <c r="BZ52" s="172">
        <f ca="1">IF(OR($D52&lt;&gt;"Serviço",AND(AUTOEVENTO="Manual",$M52=$A$15),$M52&gt;(ROW(PLE.lastrow)-ROW(PLE.firstrow))),0,
           IF(OFFSET(PLE!$G$15,$M52-$A$15,BZ$13)="",10^12,OFFSET(PLE!$G$15,$M52-$A$15,BZ$13)))</f>
        <v>0</v>
      </c>
      <c r="CA52" s="172">
        <f ca="1">IF(OR($D52&lt;&gt;"Serviço",AND(AUTOEVENTO="Manual",$M52=$A$15),$M52&gt;(ROW(PLE.lastrow)-ROW(PLE.firstrow))),0,
           IF(OFFSET(PLE!$G$15,$M52-$A$15,CA$13)="",10^12,OFFSET(PLE!$G$15,$M52-$A$15,CA$13)))</f>
        <v>0</v>
      </c>
      <c r="CB52" s="172">
        <f ca="1">IF(OR($D52&lt;&gt;"Serviço",AND(AUTOEVENTO="Manual",$M52=$A$15),$M52&gt;(ROW(PLE.lastrow)-ROW(PLE.firstrow))),0,
           IF(OFFSET(PLE!$G$15,$M52-$A$15,CB$13)="",10^12,OFFSET(PLE!$G$15,$M52-$A$15,CB$13)))</f>
        <v>0</v>
      </c>
      <c r="CC52" s="172">
        <f ca="1">IF(OR($D52&lt;&gt;"Serviço",AND(AUTOEVENTO="Manual",$M52=$A$15),$M52&gt;(ROW(PLE.lastrow)-ROW(PLE.firstrow))),0,
           IF(OFFSET(PLE!$G$15,$M52-$A$15,CC$13)="",10^12,OFFSET(PLE!$G$15,$M52-$A$15,CC$13)))</f>
        <v>0</v>
      </c>
      <c r="CD52" s="172">
        <f ca="1">IF(OR($D52&lt;&gt;"Serviço",AND(AUTOEVENTO="Manual",$M52=$A$15),$M52&gt;(ROW(PLE.lastrow)-ROW(PLE.firstrow))),0,
           IF(OFFSET(PLE!$G$15,$M52-$A$15,CD$13)="",10^12,OFFSET(PLE!$G$15,$M52-$A$15,CD$13)))</f>
        <v>0</v>
      </c>
      <c r="CE52" s="172">
        <f ca="1">IF(OR($D52&lt;&gt;"Serviço",AND(AUTOEVENTO="Manual",$M52=$A$15),$M52&gt;(ROW(PLE.lastrow)-ROW(PLE.firstrow))),0,
           IF(OFFSET(PLE!$G$15,$M52-$A$15,CE$13)="",10^12,OFFSET(PLE!$G$15,$M52-$A$15,CE$13)))</f>
        <v>0</v>
      </c>
      <c r="CF52" s="172">
        <f ca="1">IF(OR($D52&lt;&gt;"Serviço",AND(AUTOEVENTO="Manual",$M52=$A$15),$M52&gt;(ROW(PLE.lastrow)-ROW(PLE.firstrow))),0,
           IF(OFFSET(PLE!$G$15,$M52-$A$15,CF$13)="",10^12,OFFSET(PLE!$G$15,$M52-$A$15,CF$13)))</f>
        <v>0</v>
      </c>
      <c r="CG52" s="172">
        <f ca="1">IF(OR($D52&lt;&gt;"Serviço",AND(AUTOEVENTO="Manual",$M52=$A$15),$M52&gt;(ROW(PLE.lastrow)-ROW(PLE.firstrow))),0,
           IF(OFFSET(PLE!$G$15,$M52-$A$15,CG$13)="",10^12,OFFSET(PLE!$G$15,$M52-$A$15,CG$13)))</f>
        <v>0</v>
      </c>
      <c r="CH52" s="172">
        <f ca="1">IF(OR($D52&lt;&gt;"Serviço",AND(AUTOEVENTO="Manual",$M52=$A$15),$M52&gt;(ROW(PLE.lastrow)-ROW(PLE.firstrow))),0,
           IF(OFFSET(PLE!$G$15,$M52-$A$15,CH$13)="",10^12,OFFSET(PLE!$G$15,$M52-$A$15,CH$13)))</f>
        <v>0</v>
      </c>
      <c r="CI52" s="172">
        <f ca="1">IF(OR($D52&lt;&gt;"Serviço",AND(AUTOEVENTO="Manual",$M52=$A$15),$M52&gt;(ROW(PLE.lastrow)-ROW(PLE.firstrow))),0,
           IF(OFFSET(PLE!$G$15,$M52-$A$15,CI$13)="",10^12,OFFSET(PLE!$G$15,$M52-$A$15,CI$13)))</f>
        <v>0</v>
      </c>
      <c r="CJ52" s="172">
        <f ca="1">IF(OR($D52&lt;&gt;"Serviço",AND(AUTOEVENTO="Manual",$M52=$A$15),$M52&gt;(ROW(PLE.lastrow)-ROW(PLE.firstrow))),0,
           IF(OFFSET(PLE!$G$15,$M52-$A$15,CJ$13)="",10^12,OFFSET(PLE!$G$15,$M52-$A$15,CJ$13)))</f>
        <v>0</v>
      </c>
      <c r="CK52" s="172">
        <f ca="1">IF(OR($D52&lt;&gt;"Serviço",AND(AUTOEVENTO="Manual",$M52=$A$15),$M52&gt;(ROW(PLE.lastrow)-ROW(PLE.firstrow))),0,
           IF(OFFSET(PLE!$G$15,$M52-$A$15,CK$13)="",10^12,OFFSET(PLE!$G$15,$M52-$A$15,CK$13)))</f>
        <v>0</v>
      </c>
      <c r="CL52" s="172">
        <f ca="1">IF(OR($D52&lt;&gt;"Serviço",AND(AUTOEVENTO="Manual",$M52=$A$15),$M52&gt;(ROW(PLE.lastrow)-ROW(PLE.firstrow))),0,
           IF(OFFSET(PLE!$G$15,$M52-$A$15,CL$13)="",10^12,OFFSET(PLE!$G$15,$M52-$A$15,CL$13)))</f>
        <v>0</v>
      </c>
      <c r="CM52" s="172">
        <f ca="1">IF(OR($D52&lt;&gt;"Serviço",AND(AUTOEVENTO="Manual",$M52=$A$15),$M52&gt;(ROW(PLE.lastrow)-ROW(PLE.firstrow))),0,
           IF(OFFSET(PLE!$G$15,$M52-$A$15,CM$13)="",10^12,OFFSET(PLE!$G$15,$M52-$A$15,CM$13)))</f>
        <v>0</v>
      </c>
    </row>
    <row r="53" spans="1:91" ht="26.4" x14ac:dyDescent="0.25">
      <c r="A53" s="7" t="str">
        <f t="shared" ca="1" si="11"/>
        <v>37</v>
      </c>
      <c r="B53" s="7" t="str">
        <f ca="1">OFFSET(ORÇAMENTO!C$15,ROW(B53)-ROW(B$15),0)</f>
        <v>S</v>
      </c>
      <c r="C53" s="7" t="str">
        <f ca="1">OFFSET(ORÇAMENTO!L$15,ROW(C53)-ROW(C$15),0)</f>
        <v>F</v>
      </c>
      <c r="D53" s="116" t="str">
        <f ca="1">OFFSET(ORÇAMENTO!N$15,ROW(D53)-ROW(D$15),0)</f>
        <v>Serviço</v>
      </c>
      <c r="E53" s="117" t="str">
        <f ca="1">OFFSET(ORÇAMENTO!O$15,ROW(E53)-ROW(E$15),0)</f>
        <v>1.7.1.</v>
      </c>
      <c r="F53" s="163" t="str">
        <f ca="1">OFFSET(ORÇAMENTO!R$15,ROW(F53)-ROW(F$15),0)</f>
        <v>ENSAIO DE DETERMINAÇÃO DO TEOR DE BETUME - SOXHLET - CIMENTO ASFALTICO DE PETROLEO</v>
      </c>
      <c r="G53" s="164" t="str">
        <f ca="1">IF($D53&lt;&gt;"Serviço","",OFFSET(ORÇAMENTO!S$15,ROW(G53)-ROW(G$15),0))</f>
        <v>UN</v>
      </c>
      <c r="H53" s="122" cm="1">
        <f t="array" aca="1" ref="H53" ca="1">IF($D53&lt;&gt;"Serviço",0,IF(ACOMPANHAMENTO="BM",ROUND(OFFSET(ORÇAMENTO!AJ$15,ROW(H53)-ROW(H$15),0),15-13*ORÇAMENTO!$AF$7),SUMPRODUCT(($Q$1:$AI$1=1)*ROUND($Q53:$AI53,15-13*ORÇAMENTO!$AF$7))))</f>
        <v>1</v>
      </c>
      <c r="I53" s="468"/>
      <c r="J53" s="651" t="e" cm="1">
        <f t="array" aca="1" ref="J53" ca="1">IF(OR(B53&lt;&gt;"S",CÁLCULO.FrentesPreenchidas=0),"",IF(AND(ACOMPANHAMENTO="PLE",AUTOEVENTO="Manual",OR(H53&gt;0,ORÇAMENTO!AC53="QUANT."),OR(K53="",M53=0,N53="")),"►E",IF(AND(ACOMPANHAMENTO="PLE",ORÇAMENTO!AC53="QUANT."),"►Q",IF(AND(ACOMPANHAMENTO="PLE",H53&lt;&gt;SUMPRODUCT(($Q$1:$AI$1=1)*ROUND(Q53:AI53,15))),"►S",IF(AND(COUNTIF($P$11:$AI$11,"▼")=0,H53&gt;0,I53=""),"◄M","")))))</f>
        <v>#NAME?</v>
      </c>
      <c r="K53" s="652"/>
      <c r="L53" s="165" t="s">
        <v>764</v>
      </c>
      <c r="M53" s="166">
        <f ca="1">IF($D53&lt;&gt;"Serviço","",
          IF(AUTOEVENTO="manual",$A53,
                IF(ISERROR(MATCH($A53,$A$15:OFFSET($A53,-1,0),0)),MAX($M$15:OFFSET(M53,-1,0))+1,
                      INDEX($M$15:OFFSET(M53,-1,0),MATCH($A53,$A$15:OFFSET($A53,-1,0),0)))))</f>
        <v>7</v>
      </c>
      <c r="N53" s="167" t="str">
        <f ca="1">IF($D53&lt;&gt;"Serviço","",
         IF(AUTOEVENTO="Manual",
                IF($A53=0,"&lt;-- defina o número do agrupador",
                       OFFSET(EVENTOS!$D$15,$A53-$A$15,0)),
                OFFSET($F$15,$A53,0)))</f>
        <v xml:space="preserve">ENSAIOS </v>
      </c>
      <c r="O53" s="168"/>
      <c r="Q53" s="168"/>
      <c r="R53" s="169"/>
      <c r="S53" s="169">
        <v>1</v>
      </c>
      <c r="T53" s="169"/>
      <c r="U53" s="169"/>
      <c r="V53" s="169"/>
      <c r="W53" s="169"/>
      <c r="X53" s="169"/>
      <c r="Y53" s="169"/>
      <c r="Z53" s="170"/>
      <c r="AA53" s="169"/>
      <c r="AB53" s="169"/>
      <c r="AC53" s="169"/>
      <c r="AD53" s="169"/>
      <c r="AE53" s="169"/>
      <c r="AF53" s="169"/>
      <c r="AG53" s="169"/>
      <c r="AH53" s="170"/>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L53" s="453">
        <f ca="1">IF(AND($D53="Serviço",AL$12&lt;&gt;0,$H53&gt;0,OR(AUTOEVENTO&lt;&gt;"manual",$M53&lt;&gt;$A$15)),
        IF(Import.TipoArredondamento&lt;&gt;"TransfereGOV",
              ROUND(OFFSET($P53,0,AL$13),15-13*ORÇAMENTO!$AF$7)/$H53*OFFSET(ORÇAMENTO!$X$15,ROW(AL53)-ROW(AL$15),0),
              ROUND(ROUND(OFFSET($P53,0,AL$13),15-13*ORÇAMENTO!$AF$7)*OFFSET(ORÇAMENTO!$W$15,ROW(AL53)-ROW(AL$15),0),15-13*ORÇAMENTO!$AF$11)),
         0)</f>
        <v>260.79000000000002</v>
      </c>
      <c r="AM53" s="453">
        <f ca="1">IF(AND($D53="Serviço",AM$12&lt;&gt;0,$H53&gt;0,OR(AUTOEVENTO&lt;&gt;"manual",$M53&lt;&gt;$A$15)),
        IF(Import.TipoArredondamento&lt;&gt;"TransfereGOV",
              ROUND(OFFSET($P53,0,AM$13),15-13*ORÇAMENTO!$AF$7)/$H53*OFFSET(ORÇAMENTO!$X$15,ROW(AM53)-ROW(AM$15),0),
              ROUND(ROUND(OFFSET($P53,0,AM$13),15-13*ORÇAMENTO!$AF$7)*OFFSET(ORÇAMENTO!$W$15,ROW(AM53)-ROW(AM$15),0),15-13*ORÇAMENTO!$AF$11)),
         0)</f>
        <v>0</v>
      </c>
      <c r="AN53" s="453">
        <f ca="1">IF(AND($D53="Serviço",AN$12&lt;&gt;0,$H53&gt;0,OR(AUTOEVENTO&lt;&gt;"manual",$M53&lt;&gt;$A$15)),
        IF(Import.TipoArredondamento&lt;&gt;"TransfereGOV",
              ROUND(OFFSET($P53,0,AN$13),15-13*ORÇAMENTO!$AF$7)/$H53*OFFSET(ORÇAMENTO!$X$15,ROW(AN53)-ROW(AN$15),0),
              ROUND(ROUND(OFFSET($P53,0,AN$13),15-13*ORÇAMENTO!$AF$7)*OFFSET(ORÇAMENTO!$W$15,ROW(AN53)-ROW(AN$15),0),15-13*ORÇAMENTO!$AF$11)),
         0)</f>
        <v>0</v>
      </c>
      <c r="AO53" s="453">
        <f ca="1">IF(AND($D53="Serviço",AO$12&lt;&gt;0,$H53&gt;0,OR(AUTOEVENTO&lt;&gt;"manual",$M53&lt;&gt;$A$15)),
        IF(Import.TipoArredondamento&lt;&gt;"TransfereGOV",
              ROUND(OFFSET($P53,0,AO$13),15-13*ORÇAMENTO!$AF$7)/$H53*OFFSET(ORÇAMENTO!$X$15,ROW(AO53)-ROW(AO$15),0),
              ROUND(ROUND(OFFSET($P53,0,AO$13),15-13*ORÇAMENTO!$AF$7)*OFFSET(ORÇAMENTO!$W$15,ROW(AO53)-ROW(AO$15),0),15-13*ORÇAMENTO!$AF$11)),
         0)</f>
        <v>0</v>
      </c>
      <c r="AP53" s="453">
        <f ca="1">IF(AND($D53="Serviço",AP$12&lt;&gt;0,$H53&gt;0,OR(AUTOEVENTO&lt;&gt;"manual",$M53&lt;&gt;$A$15)),
        IF(Import.TipoArredondamento&lt;&gt;"TransfereGOV",
              ROUND(OFFSET($P53,0,AP$13),15-13*ORÇAMENTO!$AF$7)/$H53*OFFSET(ORÇAMENTO!$X$15,ROW(AP53)-ROW(AP$15),0),
              ROUND(ROUND(OFFSET($P53,0,AP$13),15-13*ORÇAMENTO!$AF$7)*OFFSET(ORÇAMENTO!$W$15,ROW(AP53)-ROW(AP$15),0),15-13*ORÇAMENTO!$AF$11)),
         0)</f>
        <v>0</v>
      </c>
      <c r="AQ53" s="453">
        <f ca="1">IF(AND($D53="Serviço",AQ$12&lt;&gt;0,$H53&gt;0,OR(AUTOEVENTO&lt;&gt;"manual",$M53&lt;&gt;$A$15)),
        IF(Import.TipoArredondamento&lt;&gt;"TransfereGOV",
              ROUND(OFFSET($P53,0,AQ$13),15-13*ORÇAMENTO!$AF$7)/$H53*OFFSET(ORÇAMENTO!$X$15,ROW(AQ53)-ROW(AQ$15),0),
              ROUND(ROUND(OFFSET($P53,0,AQ$13),15-13*ORÇAMENTO!$AF$7)*OFFSET(ORÇAMENTO!$W$15,ROW(AQ53)-ROW(AQ$15),0),15-13*ORÇAMENTO!$AF$11)),
         0)</f>
        <v>0</v>
      </c>
      <c r="AR53" s="453">
        <f ca="1">IF(AND($D53="Serviço",AR$12&lt;&gt;0,$H53&gt;0,OR(AUTOEVENTO&lt;&gt;"manual",$M53&lt;&gt;$A$15)),
        IF(Import.TipoArredondamento&lt;&gt;"TransfereGOV",
              ROUND(OFFSET($P53,0,AR$13),15-13*ORÇAMENTO!$AF$7)/$H53*OFFSET(ORÇAMENTO!$X$15,ROW(AR53)-ROW(AR$15),0),
              ROUND(ROUND(OFFSET($P53,0,AR$13),15-13*ORÇAMENTO!$AF$7)*OFFSET(ORÇAMENTO!$W$15,ROW(AR53)-ROW(AR$15),0),15-13*ORÇAMENTO!$AF$11)),
         0)</f>
        <v>0</v>
      </c>
      <c r="AS53" s="453">
        <f ca="1">IF(AND($D53="Serviço",AS$12&lt;&gt;0,$H53&gt;0,OR(AUTOEVENTO&lt;&gt;"manual",$M53&lt;&gt;$A$15)),
        IF(Import.TipoArredondamento&lt;&gt;"TransfereGOV",
              ROUND(OFFSET($P53,0,AS$13),15-13*ORÇAMENTO!$AF$7)/$H53*OFFSET(ORÇAMENTO!$X$15,ROW(AS53)-ROW(AS$15),0),
              ROUND(ROUND(OFFSET($P53,0,AS$13),15-13*ORÇAMENTO!$AF$7)*OFFSET(ORÇAMENTO!$W$15,ROW(AS53)-ROW(AS$15),0),15-13*ORÇAMENTO!$AF$11)),
         0)</f>
        <v>0</v>
      </c>
      <c r="AT53" s="453">
        <f ca="1">IF(AND($D53="Serviço",AT$12&lt;&gt;0,$H53&gt;0,OR(AUTOEVENTO&lt;&gt;"manual",$M53&lt;&gt;$A$15)),
        IF(Import.TipoArredondamento&lt;&gt;"TransfereGOV",
              ROUND(OFFSET($P53,0,AT$13),15-13*ORÇAMENTO!$AF$7)/$H53*OFFSET(ORÇAMENTO!$X$15,ROW(AT53)-ROW(AT$15),0),
              ROUND(ROUND(OFFSET($P53,0,AT$13),15-13*ORÇAMENTO!$AF$7)*OFFSET(ORÇAMENTO!$W$15,ROW(AT53)-ROW(AT$15),0),15-13*ORÇAMENTO!$AF$11)),
         0)</f>
        <v>0</v>
      </c>
      <c r="AU53" s="453">
        <f ca="1">IF(AND($D53="Serviço",AU$12&lt;&gt;0,$H53&gt;0,OR(AUTOEVENTO&lt;&gt;"manual",$M53&lt;&gt;$A$15)),
        IF(Import.TipoArredondamento&lt;&gt;"TransfereGOV",
              ROUND(OFFSET($P53,0,AU$13),15-13*ORÇAMENTO!$AF$7)/$H53*OFFSET(ORÇAMENTO!$X$15,ROW(AU53)-ROW(AU$15),0),
              ROUND(ROUND(OFFSET($P53,0,AU$13),15-13*ORÇAMENTO!$AF$7)*OFFSET(ORÇAMENTO!$W$15,ROW(AU53)-ROW(AU$15),0),15-13*ORÇAMENTO!$AF$11)),
         0)</f>
        <v>0</v>
      </c>
      <c r="AV53" s="453">
        <f ca="1">IF(AND($D53="Serviço",AV$12&lt;&gt;0,$H53&gt;0,OR(AUTOEVENTO&lt;&gt;"manual",$M53&lt;&gt;$A$15)),
        IF(Import.TipoArredondamento&lt;&gt;"TransfereGOV",
              ROUND(OFFSET($P53,0,AV$13),15-13*ORÇAMENTO!$AF$7)/$H53*OFFSET(ORÇAMENTO!$X$15,ROW(AV53)-ROW(AV$15),0),
              ROUND(ROUND(OFFSET($P53,0,AV$13),15-13*ORÇAMENTO!$AF$7)*OFFSET(ORÇAMENTO!$W$15,ROW(AV53)-ROW(AV$15),0),15-13*ORÇAMENTO!$AF$11)),
         0)</f>
        <v>0</v>
      </c>
      <c r="AW53" s="453">
        <f ca="1">IF(AND($D53="Serviço",AW$12&lt;&gt;0,$H53&gt;0,OR(AUTOEVENTO&lt;&gt;"manual",$M53&lt;&gt;$A$15)),
        IF(Import.TipoArredondamento&lt;&gt;"TransfereGOV",
              ROUND(OFFSET($P53,0,AW$13),15-13*ORÇAMENTO!$AF$7)/$H53*OFFSET(ORÇAMENTO!$X$15,ROW(AW53)-ROW(AW$15),0),
              ROUND(ROUND(OFFSET($P53,0,AW$13),15-13*ORÇAMENTO!$AF$7)*OFFSET(ORÇAMENTO!$W$15,ROW(AW53)-ROW(AW$15),0),15-13*ORÇAMENTO!$AF$11)),
         0)</f>
        <v>0</v>
      </c>
      <c r="AX53" s="453">
        <f ca="1">IF(AND($D53="Serviço",AX$12&lt;&gt;0,$H53&gt;0,OR(AUTOEVENTO&lt;&gt;"manual",$M53&lt;&gt;$A$15)),
        IF(Import.TipoArredondamento&lt;&gt;"TransfereGOV",
              ROUND(OFFSET($P53,0,AX$13),15-13*ORÇAMENTO!$AF$7)/$H53*OFFSET(ORÇAMENTO!$X$15,ROW(AX53)-ROW(AX$15),0),
              ROUND(ROUND(OFFSET($P53,0,AX$13),15-13*ORÇAMENTO!$AF$7)*OFFSET(ORÇAMENTO!$W$15,ROW(AX53)-ROW(AX$15),0),15-13*ORÇAMENTO!$AF$11)),
         0)</f>
        <v>0</v>
      </c>
      <c r="AY53" s="453">
        <f ca="1">IF(AND($D53="Serviço",AY$12&lt;&gt;0,$H53&gt;0,OR(AUTOEVENTO&lt;&gt;"manual",$M53&lt;&gt;$A$15)),
        IF(Import.TipoArredondamento&lt;&gt;"TransfereGOV",
              ROUND(OFFSET($P53,0,AY$13),15-13*ORÇAMENTO!$AF$7)/$H53*OFFSET(ORÇAMENTO!$X$15,ROW(AY53)-ROW(AY$15),0),
              ROUND(ROUND(OFFSET($P53,0,AY$13),15-13*ORÇAMENTO!$AF$7)*OFFSET(ORÇAMENTO!$W$15,ROW(AY53)-ROW(AY$15),0),15-13*ORÇAMENTO!$AF$11)),
         0)</f>
        <v>0</v>
      </c>
      <c r="AZ53" s="453">
        <f ca="1">IF(AND($D53="Serviço",AZ$12&lt;&gt;0,$H53&gt;0,OR(AUTOEVENTO&lt;&gt;"manual",$M53&lt;&gt;$A$15)),
        IF(Import.TipoArredondamento&lt;&gt;"TransfereGOV",
              ROUND(OFFSET($P53,0,AZ$13),15-13*ORÇAMENTO!$AF$7)/$H53*OFFSET(ORÇAMENTO!$X$15,ROW(AZ53)-ROW(AZ$15),0),
              ROUND(ROUND(OFFSET($P53,0,AZ$13),15-13*ORÇAMENTO!$AF$7)*OFFSET(ORÇAMENTO!$W$15,ROW(AZ53)-ROW(AZ$15),0),15-13*ORÇAMENTO!$AF$11)),
         0)</f>
        <v>0</v>
      </c>
      <c r="BA53" s="453">
        <f ca="1">IF(AND($D53="Serviço",BA$12&lt;&gt;0,$H53&gt;0,OR(AUTOEVENTO&lt;&gt;"manual",$M53&lt;&gt;$A$15)),
        IF(Import.TipoArredondamento&lt;&gt;"TransfereGOV",
              ROUND(OFFSET($P53,0,BA$13),15-13*ORÇAMENTO!$AF$7)/$H53*OFFSET(ORÇAMENTO!$X$15,ROW(BA53)-ROW(BA$15),0),
              ROUND(ROUND(OFFSET($P53,0,BA$13),15-13*ORÇAMENTO!$AF$7)*OFFSET(ORÇAMENTO!$W$15,ROW(BA53)-ROW(BA$15),0),15-13*ORÇAMENTO!$AF$11)),
         0)</f>
        <v>0</v>
      </c>
      <c r="BC53" s="171">
        <f ca="1">IF(OR($D53&lt;&gt;"Serviço",AND(AUTOEVENTO="Manual",$M53=$A$15)),0,
         IF(OFFSET(CRONOPLE!$F$15,$M53-$A$15,BC$13)=0,10^12,OFFSET(CRONOPLE!$F$15,$M53-$A$15,BC$13)))</f>
        <v>1000000000000</v>
      </c>
      <c r="BD53" s="171">
        <f ca="1">IF(OR($D53&lt;&gt;"Serviço",AND(AUTOEVENTO="Manual",$M53=$A$15)),0,
         IF(OFFSET(CRONOPLE!$F$15,$M53-$A$15,BD$13)=0,10^12,OFFSET(CRONOPLE!$F$15,$M53-$A$15,BD$13)))</f>
        <v>1000000000000</v>
      </c>
      <c r="BE53" s="171">
        <f ca="1">IF(OR($D53&lt;&gt;"Serviço",AND(AUTOEVENTO="Manual",$M53=$A$15)),0,
         IF(OFFSET(CRONOPLE!$F$15,$M53-$A$15,BE$13)=0,10^12,OFFSET(CRONOPLE!$F$15,$M53-$A$15,BE$13)))</f>
        <v>1</v>
      </c>
      <c r="BF53" s="171">
        <f ca="1">IF(OR($D53&lt;&gt;"Serviço",AND(AUTOEVENTO="Manual",$M53=$A$15)),0,
         IF(OFFSET(CRONOPLE!$F$15,$M53-$A$15,BF$13)=0,10^12,OFFSET(CRONOPLE!$F$15,$M53-$A$15,BF$13)))</f>
        <v>1000000000000</v>
      </c>
      <c r="BG53" s="171">
        <f ca="1">IF(OR($D53&lt;&gt;"Serviço",AND(AUTOEVENTO="Manual",$M53=$A$15)),0,
         IF(OFFSET(CRONOPLE!$F$15,$M53-$A$15,BG$13)=0,10^12,OFFSET(CRONOPLE!$F$15,$M53-$A$15,BG$13)))</f>
        <v>1000000000000</v>
      </c>
      <c r="BH53" s="171">
        <f ca="1">IF(OR($D53&lt;&gt;"Serviço",AND(AUTOEVENTO="Manual",$M53=$A$15)),0,
         IF(OFFSET(CRONOPLE!$F$15,$M53-$A$15,BH$13)=0,10^12,OFFSET(CRONOPLE!$F$15,$M53-$A$15,BH$13)))</f>
        <v>1000000000000</v>
      </c>
      <c r="BI53" s="171">
        <f ca="1">IF(OR($D53&lt;&gt;"Serviço",AND(AUTOEVENTO="Manual",$M53=$A$15)),0,
         IF(OFFSET(CRONOPLE!$F$15,$M53-$A$15,BI$13)=0,10^12,OFFSET(CRONOPLE!$F$15,$M53-$A$15,BI$13)))</f>
        <v>1000000000000</v>
      </c>
      <c r="BJ53" s="171">
        <f ca="1">IF(OR($D53&lt;&gt;"Serviço",AND(AUTOEVENTO="Manual",$M53=$A$15)),0,
         IF(OFFSET(CRONOPLE!$F$15,$M53-$A$15,BJ$13)=0,10^12,OFFSET(CRONOPLE!$F$15,$M53-$A$15,BJ$13)))</f>
        <v>1000000000000</v>
      </c>
      <c r="BK53" s="171">
        <f ca="1">IF(OR($D53&lt;&gt;"Serviço",AND(AUTOEVENTO="Manual",$M53=$A$15)),0,
         IF(OFFSET(CRONOPLE!$F$15,$M53-$A$15,BK$13)=0,10^12,OFFSET(CRONOPLE!$F$15,$M53-$A$15,BK$13)))</f>
        <v>1000000000000</v>
      </c>
      <c r="BL53" s="171">
        <f ca="1">IF(OR($D53&lt;&gt;"Serviço",AND(AUTOEVENTO="Manual",$M53=$A$15)),0,
         IF(OFFSET(CRONOPLE!$F$15,$M53-$A$15,BL$13)=0,10^12,OFFSET(CRONOPLE!$F$15,$M53-$A$15,BL$13)))</f>
        <v>1000000000000</v>
      </c>
      <c r="BM53" s="171">
        <f ca="1">IF(OR($D53&lt;&gt;"Serviço",AND(AUTOEVENTO="Manual",$M53=$A$15)),0,
         IF(OFFSET(CRONOPLE!$F$15,$M53-$A$15,BM$13)=0,10^12,OFFSET(CRONOPLE!$F$15,$M53-$A$15,BM$13)))</f>
        <v>1000000000000</v>
      </c>
      <c r="BN53" s="171">
        <f ca="1">IF(OR($D53&lt;&gt;"Serviço",AND(AUTOEVENTO="Manual",$M53=$A$15)),0,
         IF(OFFSET(CRONOPLE!$F$15,$M53-$A$15,BN$13)=0,10^12,OFFSET(CRONOPLE!$F$15,$M53-$A$15,BN$13)))</f>
        <v>1000000000000</v>
      </c>
      <c r="BO53" s="171">
        <f ca="1">IF(OR($D53&lt;&gt;"Serviço",AND(AUTOEVENTO="Manual",$M53=$A$15)),0,
         IF(OFFSET(CRONOPLE!$F$15,$M53-$A$15,BO$13)=0,10^12,OFFSET(CRONOPLE!$F$15,$M53-$A$15,BO$13)))</f>
        <v>1000000000000</v>
      </c>
      <c r="BP53" s="171">
        <f ca="1">IF(OR($D53&lt;&gt;"Serviço",AND(AUTOEVENTO="Manual",$M53=$A$15)),0,
         IF(OFFSET(CRONOPLE!$F$15,$M53-$A$15,BP$13)=0,10^12,OFFSET(CRONOPLE!$F$15,$M53-$A$15,BP$13)))</f>
        <v>3</v>
      </c>
      <c r="BQ53" s="171">
        <f ca="1">IF(OR($D53&lt;&gt;"Serviço",AND(AUTOEVENTO="Manual",$M53=$A$15)),0,
         IF(OFFSET(CRONOPLE!$F$15,$M53-$A$15,BQ$13)=0,10^12,OFFSET(CRONOPLE!$F$15,$M53-$A$15,BQ$13)))</f>
        <v>1000000000000</v>
      </c>
      <c r="BR53" s="171">
        <f ca="1">IF(OR($D53&lt;&gt;"Serviço",AND(AUTOEVENTO="Manual",$M53=$A$15)),0,
         IF(OFFSET(CRONOPLE!$F$15,$M53-$A$15,BR$13)=0,10^12,OFFSET(CRONOPLE!$F$15,$M53-$A$15,BR$13)))</f>
        <v>1000000000000</v>
      </c>
      <c r="BS53" s="171">
        <f ca="1">IF(OR($D53&lt;&gt;"Serviço",AND(AUTOEVENTO="Manual",$M53=$A$15)),0,
         IF(OFFSET(CRONOPLE!$F$15,$M53-$A$15,BS$13)=0,10^12,OFFSET(CRONOPLE!$F$15,$M53-$A$15,BS$13)))</f>
        <v>1000000000000</v>
      </c>
      <c r="BT53" s="171">
        <f ca="1">IF(OR($D53&lt;&gt;"Serviço",AND(AUTOEVENTO="Manual",$M53=$A$15)),0,
         IF(OFFSET(CRONOPLE!$F$15,$M53-$A$15,BT$13)=0,10^12,OFFSET(CRONOPLE!$F$15,$M53-$A$15,BT$13)))</f>
        <v>1000000000000</v>
      </c>
      <c r="BV53" s="172">
        <f ca="1">IF(OR($D53&lt;&gt;"Serviço",AND(AUTOEVENTO="Manual",$M53=$A$15),$M53&gt;(ROW(PLE.lastrow)-ROW(PLE.firstrow))),0,
           IF(OFFSET(PLE!$G$15,$M53-$A$15,BV$13)="",10^12,OFFSET(PLE!$G$15,$M53-$A$15,BV$13)))</f>
        <v>1000000000000</v>
      </c>
      <c r="BW53" s="172">
        <f ca="1">IF(OR($D53&lt;&gt;"Serviço",AND(AUTOEVENTO="Manual",$M53=$A$15),$M53&gt;(ROW(PLE.lastrow)-ROW(PLE.firstrow))),0,
           IF(OFFSET(PLE!$G$15,$M53-$A$15,BW$13)="",10^12,OFFSET(PLE!$G$15,$M53-$A$15,BW$13)))</f>
        <v>1000000000000</v>
      </c>
      <c r="BX53" s="172">
        <f ca="1">IF(OR($D53&lt;&gt;"Serviço",AND(AUTOEVENTO="Manual",$M53=$A$15),$M53&gt;(ROW(PLE.lastrow)-ROW(PLE.firstrow))),0,
           IF(OFFSET(PLE!$G$15,$M53-$A$15,BX$13)="",10^12,OFFSET(PLE!$G$15,$M53-$A$15,BX$13)))</f>
        <v>1000000000000</v>
      </c>
      <c r="BY53" s="172">
        <f ca="1">IF(OR($D53&lt;&gt;"Serviço",AND(AUTOEVENTO="Manual",$M53=$A$15),$M53&gt;(ROW(PLE.lastrow)-ROW(PLE.firstrow))),0,
           IF(OFFSET(PLE!$G$15,$M53-$A$15,BY$13)="",10^12,OFFSET(PLE!$G$15,$M53-$A$15,BY$13)))</f>
        <v>1000000000000</v>
      </c>
      <c r="BZ53" s="172">
        <f ca="1">IF(OR($D53&lt;&gt;"Serviço",AND(AUTOEVENTO="Manual",$M53=$A$15),$M53&gt;(ROW(PLE.lastrow)-ROW(PLE.firstrow))),0,
           IF(OFFSET(PLE!$G$15,$M53-$A$15,BZ$13)="",10^12,OFFSET(PLE!$G$15,$M53-$A$15,BZ$13)))</f>
        <v>1000000000000</v>
      </c>
      <c r="CA53" s="172">
        <f ca="1">IF(OR($D53&lt;&gt;"Serviço",AND(AUTOEVENTO="Manual",$M53=$A$15),$M53&gt;(ROW(PLE.lastrow)-ROW(PLE.firstrow))),0,
           IF(OFFSET(PLE!$G$15,$M53-$A$15,CA$13)="",10^12,OFFSET(PLE!$G$15,$M53-$A$15,CA$13)))</f>
        <v>1000000000000</v>
      </c>
      <c r="CB53" s="172">
        <f ca="1">IF(OR($D53&lt;&gt;"Serviço",AND(AUTOEVENTO="Manual",$M53=$A$15),$M53&gt;(ROW(PLE.lastrow)-ROW(PLE.firstrow))),0,
           IF(OFFSET(PLE!$G$15,$M53-$A$15,CB$13)="",10^12,OFFSET(PLE!$G$15,$M53-$A$15,CB$13)))</f>
        <v>1000000000000</v>
      </c>
      <c r="CC53" s="172">
        <f ca="1">IF(OR($D53&lt;&gt;"Serviço",AND(AUTOEVENTO="Manual",$M53=$A$15),$M53&gt;(ROW(PLE.lastrow)-ROW(PLE.firstrow))),0,
           IF(OFFSET(PLE!$G$15,$M53-$A$15,CC$13)="",10^12,OFFSET(PLE!$G$15,$M53-$A$15,CC$13)))</f>
        <v>1000000000000</v>
      </c>
      <c r="CD53" s="172">
        <f ca="1">IF(OR($D53&lt;&gt;"Serviço",AND(AUTOEVENTO="Manual",$M53=$A$15),$M53&gt;(ROW(PLE.lastrow)-ROW(PLE.firstrow))),0,
           IF(OFFSET(PLE!$G$15,$M53-$A$15,CD$13)="",10^12,OFFSET(PLE!$G$15,$M53-$A$15,CD$13)))</f>
        <v>1000000000000</v>
      </c>
      <c r="CE53" s="172">
        <f ca="1">IF(OR($D53&lt;&gt;"Serviço",AND(AUTOEVENTO="Manual",$M53=$A$15),$M53&gt;(ROW(PLE.lastrow)-ROW(PLE.firstrow))),0,
           IF(OFFSET(PLE!$G$15,$M53-$A$15,CE$13)="",10^12,OFFSET(PLE!$G$15,$M53-$A$15,CE$13)))</f>
        <v>1000000000000</v>
      </c>
      <c r="CF53" s="172">
        <f ca="1">IF(OR($D53&lt;&gt;"Serviço",AND(AUTOEVENTO="Manual",$M53=$A$15),$M53&gt;(ROW(PLE.lastrow)-ROW(PLE.firstrow))),0,
           IF(OFFSET(PLE!$G$15,$M53-$A$15,CF$13)="",10^12,OFFSET(PLE!$G$15,$M53-$A$15,CF$13)))</f>
        <v>1000000000000</v>
      </c>
      <c r="CG53" s="172">
        <f ca="1">IF(OR($D53&lt;&gt;"Serviço",AND(AUTOEVENTO="Manual",$M53=$A$15),$M53&gt;(ROW(PLE.lastrow)-ROW(PLE.firstrow))),0,
           IF(OFFSET(PLE!$G$15,$M53-$A$15,CG$13)="",10^12,OFFSET(PLE!$G$15,$M53-$A$15,CG$13)))</f>
        <v>1000000000000</v>
      </c>
      <c r="CH53" s="172">
        <f ca="1">IF(OR($D53&lt;&gt;"Serviço",AND(AUTOEVENTO="Manual",$M53=$A$15),$M53&gt;(ROW(PLE.lastrow)-ROW(PLE.firstrow))),0,
           IF(OFFSET(PLE!$G$15,$M53-$A$15,CH$13)="",10^12,OFFSET(PLE!$G$15,$M53-$A$15,CH$13)))</f>
        <v>1000000000000</v>
      </c>
      <c r="CI53" s="172">
        <f ca="1">IF(OR($D53&lt;&gt;"Serviço",AND(AUTOEVENTO="Manual",$M53=$A$15),$M53&gt;(ROW(PLE.lastrow)-ROW(PLE.firstrow))),0,
           IF(OFFSET(PLE!$G$15,$M53-$A$15,CI$13)="",10^12,OFFSET(PLE!$G$15,$M53-$A$15,CI$13)))</f>
        <v>1000000000000</v>
      </c>
      <c r="CJ53" s="172">
        <f ca="1">IF(OR($D53&lt;&gt;"Serviço",AND(AUTOEVENTO="Manual",$M53=$A$15),$M53&gt;(ROW(PLE.lastrow)-ROW(PLE.firstrow))),0,
           IF(OFFSET(PLE!$G$15,$M53-$A$15,CJ$13)="",10^12,OFFSET(PLE!$G$15,$M53-$A$15,CJ$13)))</f>
        <v>1000000000000</v>
      </c>
      <c r="CK53" s="172">
        <f ca="1">IF(OR($D53&lt;&gt;"Serviço",AND(AUTOEVENTO="Manual",$M53=$A$15),$M53&gt;(ROW(PLE.lastrow)-ROW(PLE.firstrow))),0,
           IF(OFFSET(PLE!$G$15,$M53-$A$15,CK$13)="",10^12,OFFSET(PLE!$G$15,$M53-$A$15,CK$13)))</f>
        <v>1000000000000</v>
      </c>
      <c r="CL53" s="172">
        <f ca="1">IF(OR($D53&lt;&gt;"Serviço",AND(AUTOEVENTO="Manual",$M53=$A$15),$M53&gt;(ROW(PLE.lastrow)-ROW(PLE.firstrow))),0,
           IF(OFFSET(PLE!$G$15,$M53-$A$15,CL$13)="",10^12,OFFSET(PLE!$G$15,$M53-$A$15,CL$13)))</f>
        <v>1000000000000</v>
      </c>
      <c r="CM53" s="172">
        <f ca="1">IF(OR($D53&lt;&gt;"Serviço",AND(AUTOEVENTO="Manual",$M53=$A$15),$M53&gt;(ROW(PLE.lastrow)-ROW(PLE.firstrow))),0,
           IF(OFFSET(PLE!$G$15,$M53-$A$15,CM$13)="",10^12,OFFSET(PLE!$G$15,$M53-$A$15,CM$13)))</f>
        <v>1000000000000</v>
      </c>
    </row>
    <row r="54" spans="1:91" ht="13.2" x14ac:dyDescent="0.25">
      <c r="A54" s="7" t="str">
        <f t="shared" ca="1" si="11"/>
        <v>37</v>
      </c>
      <c r="B54" s="7" t="str">
        <f ca="1">OFFSET(ORÇAMENTO!C$15,ROW(B54)-ROW(B$15),0)</f>
        <v>S</v>
      </c>
      <c r="C54" s="7" t="str">
        <f ca="1">OFFSET(ORÇAMENTO!L$15,ROW(C54)-ROW(C$15),0)</f>
        <v>F</v>
      </c>
      <c r="D54" s="116" t="str">
        <f ca="1">OFFSET(ORÇAMENTO!N$15,ROW(D54)-ROW(D$15),0)</f>
        <v>Serviço</v>
      </c>
      <c r="E54" s="117" t="str">
        <f ca="1">OFFSET(ORÇAMENTO!O$15,ROW(E54)-ROW(E$15),0)</f>
        <v>1.7.2.</v>
      </c>
      <c r="F54" s="163" t="str">
        <f ca="1">OFFSET(ORÇAMENTO!R$15,ROW(F54)-ROW(F$15),0)</f>
        <v xml:space="preserve">ENSAIO MARSHALL - MISTURA BETUMINOSA À QUENTE </v>
      </c>
      <c r="G54" s="164" t="str">
        <f ca="1">IF($D54&lt;&gt;"Serviço","",OFFSET(ORÇAMENTO!S$15,ROW(G54)-ROW(G$15),0))</f>
        <v>UN</v>
      </c>
      <c r="H54" s="122" cm="1">
        <f t="array" aca="1" ref="H54" ca="1">IF($D54&lt;&gt;"Serviço",0,IF(ACOMPANHAMENTO="BM",ROUND(OFFSET(ORÇAMENTO!AJ$15,ROW(H54)-ROW(H$15),0),15-13*ORÇAMENTO!$AF$7),SUMPRODUCT(($Q$1:$AI$1=1)*ROUND($Q54:$AI54,15-13*ORÇAMENTO!$AF$7))))</f>
        <v>1</v>
      </c>
      <c r="I54" s="468"/>
      <c r="J54" s="651" t="e" cm="1">
        <f t="array" aca="1" ref="J54" ca="1">IF(OR(B54&lt;&gt;"S",CÁLCULO.FrentesPreenchidas=0),"",IF(AND(ACOMPANHAMENTO="PLE",AUTOEVENTO="Manual",OR(H54&gt;0,ORÇAMENTO!AC54="QUANT."),OR(K54="",M54=0,N54="")),"►E",IF(AND(ACOMPANHAMENTO="PLE",ORÇAMENTO!AC54="QUANT."),"►Q",IF(AND(ACOMPANHAMENTO="PLE",H54&lt;&gt;SUMPRODUCT(($Q$1:$AI$1=1)*ROUND(Q54:AI54,15))),"►S",IF(AND(COUNTIF($P$11:$AI$11,"▼")=0,H54&gt;0,I54=""),"◄M","")))))</f>
        <v>#NAME?</v>
      </c>
      <c r="K54" s="652"/>
      <c r="L54" s="165" t="s">
        <v>764</v>
      </c>
      <c r="M54" s="166">
        <f ca="1">IF($D54&lt;&gt;"Serviço","",
          IF(AUTOEVENTO="manual",$A54,
                IF(ISERROR(MATCH($A54,$A$15:OFFSET($A54,-1,0),0)),MAX($M$15:OFFSET(M54,-1,0))+1,
                      INDEX($M$15:OFFSET(M54,-1,0),MATCH($A54,$A$15:OFFSET($A54,-1,0),0)))))</f>
        <v>7</v>
      </c>
      <c r="N54" s="167" t="str">
        <f ca="1">IF($D54&lt;&gt;"Serviço","",
         IF(AUTOEVENTO="Manual",
                IF($A54=0,"&lt;-- defina o número do agrupador",
                       OFFSET(EVENTOS!$D$15,$A54-$A$15,0)),
                OFFSET($F$15,$A54,0)))</f>
        <v xml:space="preserve">ENSAIOS </v>
      </c>
      <c r="O54" s="168"/>
      <c r="Q54" s="168"/>
      <c r="R54" s="169"/>
      <c r="S54" s="169">
        <v>1</v>
      </c>
      <c r="T54" s="169"/>
      <c r="U54" s="169"/>
      <c r="V54" s="169"/>
      <c r="W54" s="169"/>
      <c r="X54" s="169"/>
      <c r="Y54" s="169"/>
      <c r="Z54" s="170"/>
      <c r="AA54" s="169"/>
      <c r="AB54" s="169"/>
      <c r="AC54" s="169"/>
      <c r="AD54" s="169"/>
      <c r="AE54" s="169"/>
      <c r="AF54" s="169"/>
      <c r="AG54" s="169"/>
      <c r="AH54" s="170"/>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L54" s="453">
        <f ca="1">IF(AND($D54="Serviço",AL$12&lt;&gt;0,$H54&gt;0,OR(AUTOEVENTO&lt;&gt;"manual",$M54&lt;&gt;$A$15)),
        IF(Import.TipoArredondamento&lt;&gt;"TransfereGOV",
              ROUND(OFFSET($P54,0,AL$13),15-13*ORÇAMENTO!$AF$7)/$H54*OFFSET(ORÇAMENTO!$X$15,ROW(AL54)-ROW(AL$15),0),
              ROUND(ROUND(OFFSET($P54,0,AL$13),15-13*ORÇAMENTO!$AF$7)*OFFSET(ORÇAMENTO!$W$15,ROW(AL54)-ROW(AL$15),0),15-13*ORÇAMENTO!$AF$11)),
         0)</f>
        <v>521.61</v>
      </c>
      <c r="AM54" s="453">
        <f ca="1">IF(AND($D54="Serviço",AM$12&lt;&gt;0,$H54&gt;0,OR(AUTOEVENTO&lt;&gt;"manual",$M54&lt;&gt;$A$15)),
        IF(Import.TipoArredondamento&lt;&gt;"TransfereGOV",
              ROUND(OFFSET($P54,0,AM$13),15-13*ORÇAMENTO!$AF$7)/$H54*OFFSET(ORÇAMENTO!$X$15,ROW(AM54)-ROW(AM$15),0),
              ROUND(ROUND(OFFSET($P54,0,AM$13),15-13*ORÇAMENTO!$AF$7)*OFFSET(ORÇAMENTO!$W$15,ROW(AM54)-ROW(AM$15),0),15-13*ORÇAMENTO!$AF$11)),
         0)</f>
        <v>0</v>
      </c>
      <c r="AN54" s="453">
        <f ca="1">IF(AND($D54="Serviço",AN$12&lt;&gt;0,$H54&gt;0,OR(AUTOEVENTO&lt;&gt;"manual",$M54&lt;&gt;$A$15)),
        IF(Import.TipoArredondamento&lt;&gt;"TransfereGOV",
              ROUND(OFFSET($P54,0,AN$13),15-13*ORÇAMENTO!$AF$7)/$H54*OFFSET(ORÇAMENTO!$X$15,ROW(AN54)-ROW(AN$15),0),
              ROUND(ROUND(OFFSET($P54,0,AN$13),15-13*ORÇAMENTO!$AF$7)*OFFSET(ORÇAMENTO!$W$15,ROW(AN54)-ROW(AN$15),0),15-13*ORÇAMENTO!$AF$11)),
         0)</f>
        <v>0</v>
      </c>
      <c r="AO54" s="453">
        <f ca="1">IF(AND($D54="Serviço",AO$12&lt;&gt;0,$H54&gt;0,OR(AUTOEVENTO&lt;&gt;"manual",$M54&lt;&gt;$A$15)),
        IF(Import.TipoArredondamento&lt;&gt;"TransfereGOV",
              ROUND(OFFSET($P54,0,AO$13),15-13*ORÇAMENTO!$AF$7)/$H54*OFFSET(ORÇAMENTO!$X$15,ROW(AO54)-ROW(AO$15),0),
              ROUND(ROUND(OFFSET($P54,0,AO$13),15-13*ORÇAMENTO!$AF$7)*OFFSET(ORÇAMENTO!$W$15,ROW(AO54)-ROW(AO$15),0),15-13*ORÇAMENTO!$AF$11)),
         0)</f>
        <v>0</v>
      </c>
      <c r="AP54" s="453">
        <f ca="1">IF(AND($D54="Serviço",AP$12&lt;&gt;0,$H54&gt;0,OR(AUTOEVENTO&lt;&gt;"manual",$M54&lt;&gt;$A$15)),
        IF(Import.TipoArredondamento&lt;&gt;"TransfereGOV",
              ROUND(OFFSET($P54,0,AP$13),15-13*ORÇAMENTO!$AF$7)/$H54*OFFSET(ORÇAMENTO!$X$15,ROW(AP54)-ROW(AP$15),0),
              ROUND(ROUND(OFFSET($P54,0,AP$13),15-13*ORÇAMENTO!$AF$7)*OFFSET(ORÇAMENTO!$W$15,ROW(AP54)-ROW(AP$15),0),15-13*ORÇAMENTO!$AF$11)),
         0)</f>
        <v>0</v>
      </c>
      <c r="AQ54" s="453">
        <f ca="1">IF(AND($D54="Serviço",AQ$12&lt;&gt;0,$H54&gt;0,OR(AUTOEVENTO&lt;&gt;"manual",$M54&lt;&gt;$A$15)),
        IF(Import.TipoArredondamento&lt;&gt;"TransfereGOV",
              ROUND(OFFSET($P54,0,AQ$13),15-13*ORÇAMENTO!$AF$7)/$H54*OFFSET(ORÇAMENTO!$X$15,ROW(AQ54)-ROW(AQ$15),0),
              ROUND(ROUND(OFFSET($P54,0,AQ$13),15-13*ORÇAMENTO!$AF$7)*OFFSET(ORÇAMENTO!$W$15,ROW(AQ54)-ROW(AQ$15),0),15-13*ORÇAMENTO!$AF$11)),
         0)</f>
        <v>0</v>
      </c>
      <c r="AR54" s="453">
        <f ca="1">IF(AND($D54="Serviço",AR$12&lt;&gt;0,$H54&gt;0,OR(AUTOEVENTO&lt;&gt;"manual",$M54&lt;&gt;$A$15)),
        IF(Import.TipoArredondamento&lt;&gt;"TransfereGOV",
              ROUND(OFFSET($P54,0,AR$13),15-13*ORÇAMENTO!$AF$7)/$H54*OFFSET(ORÇAMENTO!$X$15,ROW(AR54)-ROW(AR$15),0),
              ROUND(ROUND(OFFSET($P54,0,AR$13),15-13*ORÇAMENTO!$AF$7)*OFFSET(ORÇAMENTO!$W$15,ROW(AR54)-ROW(AR$15),0),15-13*ORÇAMENTO!$AF$11)),
         0)</f>
        <v>0</v>
      </c>
      <c r="AS54" s="453">
        <f ca="1">IF(AND($D54="Serviço",AS$12&lt;&gt;0,$H54&gt;0,OR(AUTOEVENTO&lt;&gt;"manual",$M54&lt;&gt;$A$15)),
        IF(Import.TipoArredondamento&lt;&gt;"TransfereGOV",
              ROUND(OFFSET($P54,0,AS$13),15-13*ORÇAMENTO!$AF$7)/$H54*OFFSET(ORÇAMENTO!$X$15,ROW(AS54)-ROW(AS$15),0),
              ROUND(ROUND(OFFSET($P54,0,AS$13),15-13*ORÇAMENTO!$AF$7)*OFFSET(ORÇAMENTO!$W$15,ROW(AS54)-ROW(AS$15),0),15-13*ORÇAMENTO!$AF$11)),
         0)</f>
        <v>0</v>
      </c>
      <c r="AT54" s="453">
        <f ca="1">IF(AND($D54="Serviço",AT$12&lt;&gt;0,$H54&gt;0,OR(AUTOEVENTO&lt;&gt;"manual",$M54&lt;&gt;$A$15)),
        IF(Import.TipoArredondamento&lt;&gt;"TransfereGOV",
              ROUND(OFFSET($P54,0,AT$13),15-13*ORÇAMENTO!$AF$7)/$H54*OFFSET(ORÇAMENTO!$X$15,ROW(AT54)-ROW(AT$15),0),
              ROUND(ROUND(OFFSET($P54,0,AT$13),15-13*ORÇAMENTO!$AF$7)*OFFSET(ORÇAMENTO!$W$15,ROW(AT54)-ROW(AT$15),0),15-13*ORÇAMENTO!$AF$11)),
         0)</f>
        <v>0</v>
      </c>
      <c r="AU54" s="453">
        <f ca="1">IF(AND($D54="Serviço",AU$12&lt;&gt;0,$H54&gt;0,OR(AUTOEVENTO&lt;&gt;"manual",$M54&lt;&gt;$A$15)),
        IF(Import.TipoArredondamento&lt;&gt;"TransfereGOV",
              ROUND(OFFSET($P54,0,AU$13),15-13*ORÇAMENTO!$AF$7)/$H54*OFFSET(ORÇAMENTO!$X$15,ROW(AU54)-ROW(AU$15),0),
              ROUND(ROUND(OFFSET($P54,0,AU$13),15-13*ORÇAMENTO!$AF$7)*OFFSET(ORÇAMENTO!$W$15,ROW(AU54)-ROW(AU$15),0),15-13*ORÇAMENTO!$AF$11)),
         0)</f>
        <v>0</v>
      </c>
      <c r="AV54" s="453">
        <f ca="1">IF(AND($D54="Serviço",AV$12&lt;&gt;0,$H54&gt;0,OR(AUTOEVENTO&lt;&gt;"manual",$M54&lt;&gt;$A$15)),
        IF(Import.TipoArredondamento&lt;&gt;"TransfereGOV",
              ROUND(OFFSET($P54,0,AV$13),15-13*ORÇAMENTO!$AF$7)/$H54*OFFSET(ORÇAMENTO!$X$15,ROW(AV54)-ROW(AV$15),0),
              ROUND(ROUND(OFFSET($P54,0,AV$13),15-13*ORÇAMENTO!$AF$7)*OFFSET(ORÇAMENTO!$W$15,ROW(AV54)-ROW(AV$15),0),15-13*ORÇAMENTO!$AF$11)),
         0)</f>
        <v>0</v>
      </c>
      <c r="AW54" s="453">
        <f ca="1">IF(AND($D54="Serviço",AW$12&lt;&gt;0,$H54&gt;0,OR(AUTOEVENTO&lt;&gt;"manual",$M54&lt;&gt;$A$15)),
        IF(Import.TipoArredondamento&lt;&gt;"TransfereGOV",
              ROUND(OFFSET($P54,0,AW$13),15-13*ORÇAMENTO!$AF$7)/$H54*OFFSET(ORÇAMENTO!$X$15,ROW(AW54)-ROW(AW$15),0),
              ROUND(ROUND(OFFSET($P54,0,AW$13),15-13*ORÇAMENTO!$AF$7)*OFFSET(ORÇAMENTO!$W$15,ROW(AW54)-ROW(AW$15),0),15-13*ORÇAMENTO!$AF$11)),
         0)</f>
        <v>0</v>
      </c>
      <c r="AX54" s="453">
        <f ca="1">IF(AND($D54="Serviço",AX$12&lt;&gt;0,$H54&gt;0,OR(AUTOEVENTO&lt;&gt;"manual",$M54&lt;&gt;$A$15)),
        IF(Import.TipoArredondamento&lt;&gt;"TransfereGOV",
              ROUND(OFFSET($P54,0,AX$13),15-13*ORÇAMENTO!$AF$7)/$H54*OFFSET(ORÇAMENTO!$X$15,ROW(AX54)-ROW(AX$15),0),
              ROUND(ROUND(OFFSET($P54,0,AX$13),15-13*ORÇAMENTO!$AF$7)*OFFSET(ORÇAMENTO!$W$15,ROW(AX54)-ROW(AX$15),0),15-13*ORÇAMENTO!$AF$11)),
         0)</f>
        <v>0</v>
      </c>
      <c r="AY54" s="453">
        <f ca="1">IF(AND($D54="Serviço",AY$12&lt;&gt;0,$H54&gt;0,OR(AUTOEVENTO&lt;&gt;"manual",$M54&lt;&gt;$A$15)),
        IF(Import.TipoArredondamento&lt;&gt;"TransfereGOV",
              ROUND(OFFSET($P54,0,AY$13),15-13*ORÇAMENTO!$AF$7)/$H54*OFFSET(ORÇAMENTO!$X$15,ROW(AY54)-ROW(AY$15),0),
              ROUND(ROUND(OFFSET($P54,0,AY$13),15-13*ORÇAMENTO!$AF$7)*OFFSET(ORÇAMENTO!$W$15,ROW(AY54)-ROW(AY$15),0),15-13*ORÇAMENTO!$AF$11)),
         0)</f>
        <v>0</v>
      </c>
      <c r="AZ54" s="453">
        <f ca="1">IF(AND($D54="Serviço",AZ$12&lt;&gt;0,$H54&gt;0,OR(AUTOEVENTO&lt;&gt;"manual",$M54&lt;&gt;$A$15)),
        IF(Import.TipoArredondamento&lt;&gt;"TransfereGOV",
              ROUND(OFFSET($P54,0,AZ$13),15-13*ORÇAMENTO!$AF$7)/$H54*OFFSET(ORÇAMENTO!$X$15,ROW(AZ54)-ROW(AZ$15),0),
              ROUND(ROUND(OFFSET($P54,0,AZ$13),15-13*ORÇAMENTO!$AF$7)*OFFSET(ORÇAMENTO!$W$15,ROW(AZ54)-ROW(AZ$15),0),15-13*ORÇAMENTO!$AF$11)),
         0)</f>
        <v>0</v>
      </c>
      <c r="BA54" s="453">
        <f ca="1">IF(AND($D54="Serviço",BA$12&lt;&gt;0,$H54&gt;0,OR(AUTOEVENTO&lt;&gt;"manual",$M54&lt;&gt;$A$15)),
        IF(Import.TipoArredondamento&lt;&gt;"TransfereGOV",
              ROUND(OFFSET($P54,0,BA$13),15-13*ORÇAMENTO!$AF$7)/$H54*OFFSET(ORÇAMENTO!$X$15,ROW(BA54)-ROW(BA$15),0),
              ROUND(ROUND(OFFSET($P54,0,BA$13),15-13*ORÇAMENTO!$AF$7)*OFFSET(ORÇAMENTO!$W$15,ROW(BA54)-ROW(BA$15),0),15-13*ORÇAMENTO!$AF$11)),
         0)</f>
        <v>0</v>
      </c>
      <c r="BC54" s="171">
        <f ca="1">IF(OR($D54&lt;&gt;"Serviço",AND(AUTOEVENTO="Manual",$M54=$A$15)),0,
         IF(OFFSET(CRONOPLE!$F$15,$M54-$A$15,BC$13)=0,10^12,OFFSET(CRONOPLE!$F$15,$M54-$A$15,BC$13)))</f>
        <v>1000000000000</v>
      </c>
      <c r="BD54" s="171">
        <f ca="1">IF(OR($D54&lt;&gt;"Serviço",AND(AUTOEVENTO="Manual",$M54=$A$15)),0,
         IF(OFFSET(CRONOPLE!$F$15,$M54-$A$15,BD$13)=0,10^12,OFFSET(CRONOPLE!$F$15,$M54-$A$15,BD$13)))</f>
        <v>1000000000000</v>
      </c>
      <c r="BE54" s="171">
        <f ca="1">IF(OR($D54&lt;&gt;"Serviço",AND(AUTOEVENTO="Manual",$M54=$A$15)),0,
         IF(OFFSET(CRONOPLE!$F$15,$M54-$A$15,BE$13)=0,10^12,OFFSET(CRONOPLE!$F$15,$M54-$A$15,BE$13)))</f>
        <v>1</v>
      </c>
      <c r="BF54" s="171">
        <f ca="1">IF(OR($D54&lt;&gt;"Serviço",AND(AUTOEVENTO="Manual",$M54=$A$15)),0,
         IF(OFFSET(CRONOPLE!$F$15,$M54-$A$15,BF$13)=0,10^12,OFFSET(CRONOPLE!$F$15,$M54-$A$15,BF$13)))</f>
        <v>1000000000000</v>
      </c>
      <c r="BG54" s="171">
        <f ca="1">IF(OR($D54&lt;&gt;"Serviço",AND(AUTOEVENTO="Manual",$M54=$A$15)),0,
         IF(OFFSET(CRONOPLE!$F$15,$M54-$A$15,BG$13)=0,10^12,OFFSET(CRONOPLE!$F$15,$M54-$A$15,BG$13)))</f>
        <v>1000000000000</v>
      </c>
      <c r="BH54" s="171">
        <f ca="1">IF(OR($D54&lt;&gt;"Serviço",AND(AUTOEVENTO="Manual",$M54=$A$15)),0,
         IF(OFFSET(CRONOPLE!$F$15,$M54-$A$15,BH$13)=0,10^12,OFFSET(CRONOPLE!$F$15,$M54-$A$15,BH$13)))</f>
        <v>1000000000000</v>
      </c>
      <c r="BI54" s="171">
        <f ca="1">IF(OR($D54&lt;&gt;"Serviço",AND(AUTOEVENTO="Manual",$M54=$A$15)),0,
         IF(OFFSET(CRONOPLE!$F$15,$M54-$A$15,BI$13)=0,10^12,OFFSET(CRONOPLE!$F$15,$M54-$A$15,BI$13)))</f>
        <v>1000000000000</v>
      </c>
      <c r="BJ54" s="171">
        <f ca="1">IF(OR($D54&lt;&gt;"Serviço",AND(AUTOEVENTO="Manual",$M54=$A$15)),0,
         IF(OFFSET(CRONOPLE!$F$15,$M54-$A$15,BJ$13)=0,10^12,OFFSET(CRONOPLE!$F$15,$M54-$A$15,BJ$13)))</f>
        <v>1000000000000</v>
      </c>
      <c r="BK54" s="171">
        <f ca="1">IF(OR($D54&lt;&gt;"Serviço",AND(AUTOEVENTO="Manual",$M54=$A$15)),0,
         IF(OFFSET(CRONOPLE!$F$15,$M54-$A$15,BK$13)=0,10^12,OFFSET(CRONOPLE!$F$15,$M54-$A$15,BK$13)))</f>
        <v>1000000000000</v>
      </c>
      <c r="BL54" s="171">
        <f ca="1">IF(OR($D54&lt;&gt;"Serviço",AND(AUTOEVENTO="Manual",$M54=$A$15)),0,
         IF(OFFSET(CRONOPLE!$F$15,$M54-$A$15,BL$13)=0,10^12,OFFSET(CRONOPLE!$F$15,$M54-$A$15,BL$13)))</f>
        <v>1000000000000</v>
      </c>
      <c r="BM54" s="171">
        <f ca="1">IF(OR($D54&lt;&gt;"Serviço",AND(AUTOEVENTO="Manual",$M54=$A$15)),0,
         IF(OFFSET(CRONOPLE!$F$15,$M54-$A$15,BM$13)=0,10^12,OFFSET(CRONOPLE!$F$15,$M54-$A$15,BM$13)))</f>
        <v>1000000000000</v>
      </c>
      <c r="BN54" s="171">
        <f ca="1">IF(OR($D54&lt;&gt;"Serviço",AND(AUTOEVENTO="Manual",$M54=$A$15)),0,
         IF(OFFSET(CRONOPLE!$F$15,$M54-$A$15,BN$13)=0,10^12,OFFSET(CRONOPLE!$F$15,$M54-$A$15,BN$13)))</f>
        <v>1000000000000</v>
      </c>
      <c r="BO54" s="171">
        <f ca="1">IF(OR($D54&lt;&gt;"Serviço",AND(AUTOEVENTO="Manual",$M54=$A$15)),0,
         IF(OFFSET(CRONOPLE!$F$15,$M54-$A$15,BO$13)=0,10^12,OFFSET(CRONOPLE!$F$15,$M54-$A$15,BO$13)))</f>
        <v>1000000000000</v>
      </c>
      <c r="BP54" s="171">
        <f ca="1">IF(OR($D54&lt;&gt;"Serviço",AND(AUTOEVENTO="Manual",$M54=$A$15)),0,
         IF(OFFSET(CRONOPLE!$F$15,$M54-$A$15,BP$13)=0,10^12,OFFSET(CRONOPLE!$F$15,$M54-$A$15,BP$13)))</f>
        <v>3</v>
      </c>
      <c r="BQ54" s="171">
        <f ca="1">IF(OR($D54&lt;&gt;"Serviço",AND(AUTOEVENTO="Manual",$M54=$A$15)),0,
         IF(OFFSET(CRONOPLE!$F$15,$M54-$A$15,BQ$13)=0,10^12,OFFSET(CRONOPLE!$F$15,$M54-$A$15,BQ$13)))</f>
        <v>1000000000000</v>
      </c>
      <c r="BR54" s="171">
        <f ca="1">IF(OR($D54&lt;&gt;"Serviço",AND(AUTOEVENTO="Manual",$M54=$A$15)),0,
         IF(OFFSET(CRONOPLE!$F$15,$M54-$A$15,BR$13)=0,10^12,OFFSET(CRONOPLE!$F$15,$M54-$A$15,BR$13)))</f>
        <v>1000000000000</v>
      </c>
      <c r="BS54" s="171">
        <f ca="1">IF(OR($D54&lt;&gt;"Serviço",AND(AUTOEVENTO="Manual",$M54=$A$15)),0,
         IF(OFFSET(CRONOPLE!$F$15,$M54-$A$15,BS$13)=0,10^12,OFFSET(CRONOPLE!$F$15,$M54-$A$15,BS$13)))</f>
        <v>1000000000000</v>
      </c>
      <c r="BT54" s="171">
        <f ca="1">IF(OR($D54&lt;&gt;"Serviço",AND(AUTOEVENTO="Manual",$M54=$A$15)),0,
         IF(OFFSET(CRONOPLE!$F$15,$M54-$A$15,BT$13)=0,10^12,OFFSET(CRONOPLE!$F$15,$M54-$A$15,BT$13)))</f>
        <v>1000000000000</v>
      </c>
      <c r="BV54" s="172">
        <f ca="1">IF(OR($D54&lt;&gt;"Serviço",AND(AUTOEVENTO="Manual",$M54=$A$15),$M54&gt;(ROW(PLE.lastrow)-ROW(PLE.firstrow))),0,
           IF(OFFSET(PLE!$G$15,$M54-$A$15,BV$13)="",10^12,OFFSET(PLE!$G$15,$M54-$A$15,BV$13)))</f>
        <v>1000000000000</v>
      </c>
      <c r="BW54" s="172">
        <f ca="1">IF(OR($D54&lt;&gt;"Serviço",AND(AUTOEVENTO="Manual",$M54=$A$15),$M54&gt;(ROW(PLE.lastrow)-ROW(PLE.firstrow))),0,
           IF(OFFSET(PLE!$G$15,$M54-$A$15,BW$13)="",10^12,OFFSET(PLE!$G$15,$M54-$A$15,BW$13)))</f>
        <v>1000000000000</v>
      </c>
      <c r="BX54" s="172">
        <f ca="1">IF(OR($D54&lt;&gt;"Serviço",AND(AUTOEVENTO="Manual",$M54=$A$15),$M54&gt;(ROW(PLE.lastrow)-ROW(PLE.firstrow))),0,
           IF(OFFSET(PLE!$G$15,$M54-$A$15,BX$13)="",10^12,OFFSET(PLE!$G$15,$M54-$A$15,BX$13)))</f>
        <v>1000000000000</v>
      </c>
      <c r="BY54" s="172">
        <f ca="1">IF(OR($D54&lt;&gt;"Serviço",AND(AUTOEVENTO="Manual",$M54=$A$15),$M54&gt;(ROW(PLE.lastrow)-ROW(PLE.firstrow))),0,
           IF(OFFSET(PLE!$G$15,$M54-$A$15,BY$13)="",10^12,OFFSET(PLE!$G$15,$M54-$A$15,BY$13)))</f>
        <v>1000000000000</v>
      </c>
      <c r="BZ54" s="172">
        <f ca="1">IF(OR($D54&lt;&gt;"Serviço",AND(AUTOEVENTO="Manual",$M54=$A$15),$M54&gt;(ROW(PLE.lastrow)-ROW(PLE.firstrow))),0,
           IF(OFFSET(PLE!$G$15,$M54-$A$15,BZ$13)="",10^12,OFFSET(PLE!$G$15,$M54-$A$15,BZ$13)))</f>
        <v>1000000000000</v>
      </c>
      <c r="CA54" s="172">
        <f ca="1">IF(OR($D54&lt;&gt;"Serviço",AND(AUTOEVENTO="Manual",$M54=$A$15),$M54&gt;(ROW(PLE.lastrow)-ROW(PLE.firstrow))),0,
           IF(OFFSET(PLE!$G$15,$M54-$A$15,CA$13)="",10^12,OFFSET(PLE!$G$15,$M54-$A$15,CA$13)))</f>
        <v>1000000000000</v>
      </c>
      <c r="CB54" s="172">
        <f ca="1">IF(OR($D54&lt;&gt;"Serviço",AND(AUTOEVENTO="Manual",$M54=$A$15),$M54&gt;(ROW(PLE.lastrow)-ROW(PLE.firstrow))),0,
           IF(OFFSET(PLE!$G$15,$M54-$A$15,CB$13)="",10^12,OFFSET(PLE!$G$15,$M54-$A$15,CB$13)))</f>
        <v>1000000000000</v>
      </c>
      <c r="CC54" s="172">
        <f ca="1">IF(OR($D54&lt;&gt;"Serviço",AND(AUTOEVENTO="Manual",$M54=$A$15),$M54&gt;(ROW(PLE.lastrow)-ROW(PLE.firstrow))),0,
           IF(OFFSET(PLE!$G$15,$M54-$A$15,CC$13)="",10^12,OFFSET(PLE!$G$15,$M54-$A$15,CC$13)))</f>
        <v>1000000000000</v>
      </c>
      <c r="CD54" s="172">
        <f ca="1">IF(OR($D54&lt;&gt;"Serviço",AND(AUTOEVENTO="Manual",$M54=$A$15),$M54&gt;(ROW(PLE.lastrow)-ROW(PLE.firstrow))),0,
           IF(OFFSET(PLE!$G$15,$M54-$A$15,CD$13)="",10^12,OFFSET(PLE!$G$15,$M54-$A$15,CD$13)))</f>
        <v>1000000000000</v>
      </c>
      <c r="CE54" s="172">
        <f ca="1">IF(OR($D54&lt;&gt;"Serviço",AND(AUTOEVENTO="Manual",$M54=$A$15),$M54&gt;(ROW(PLE.lastrow)-ROW(PLE.firstrow))),0,
           IF(OFFSET(PLE!$G$15,$M54-$A$15,CE$13)="",10^12,OFFSET(PLE!$G$15,$M54-$A$15,CE$13)))</f>
        <v>1000000000000</v>
      </c>
      <c r="CF54" s="172">
        <f ca="1">IF(OR($D54&lt;&gt;"Serviço",AND(AUTOEVENTO="Manual",$M54=$A$15),$M54&gt;(ROW(PLE.lastrow)-ROW(PLE.firstrow))),0,
           IF(OFFSET(PLE!$G$15,$M54-$A$15,CF$13)="",10^12,OFFSET(PLE!$G$15,$M54-$A$15,CF$13)))</f>
        <v>1000000000000</v>
      </c>
      <c r="CG54" s="172">
        <f ca="1">IF(OR($D54&lt;&gt;"Serviço",AND(AUTOEVENTO="Manual",$M54=$A$15),$M54&gt;(ROW(PLE.lastrow)-ROW(PLE.firstrow))),0,
           IF(OFFSET(PLE!$G$15,$M54-$A$15,CG$13)="",10^12,OFFSET(PLE!$G$15,$M54-$A$15,CG$13)))</f>
        <v>1000000000000</v>
      </c>
      <c r="CH54" s="172">
        <f ca="1">IF(OR($D54&lt;&gt;"Serviço",AND(AUTOEVENTO="Manual",$M54=$A$15),$M54&gt;(ROW(PLE.lastrow)-ROW(PLE.firstrow))),0,
           IF(OFFSET(PLE!$G$15,$M54-$A$15,CH$13)="",10^12,OFFSET(PLE!$G$15,$M54-$A$15,CH$13)))</f>
        <v>1000000000000</v>
      </c>
      <c r="CI54" s="172">
        <f ca="1">IF(OR($D54&lt;&gt;"Serviço",AND(AUTOEVENTO="Manual",$M54=$A$15),$M54&gt;(ROW(PLE.lastrow)-ROW(PLE.firstrow))),0,
           IF(OFFSET(PLE!$G$15,$M54-$A$15,CI$13)="",10^12,OFFSET(PLE!$G$15,$M54-$A$15,CI$13)))</f>
        <v>1000000000000</v>
      </c>
      <c r="CJ54" s="172">
        <f ca="1">IF(OR($D54&lt;&gt;"Serviço",AND(AUTOEVENTO="Manual",$M54=$A$15),$M54&gt;(ROW(PLE.lastrow)-ROW(PLE.firstrow))),0,
           IF(OFFSET(PLE!$G$15,$M54-$A$15,CJ$13)="",10^12,OFFSET(PLE!$G$15,$M54-$A$15,CJ$13)))</f>
        <v>1000000000000</v>
      </c>
      <c r="CK54" s="172">
        <f ca="1">IF(OR($D54&lt;&gt;"Serviço",AND(AUTOEVENTO="Manual",$M54=$A$15),$M54&gt;(ROW(PLE.lastrow)-ROW(PLE.firstrow))),0,
           IF(OFFSET(PLE!$G$15,$M54-$A$15,CK$13)="",10^12,OFFSET(PLE!$G$15,$M54-$A$15,CK$13)))</f>
        <v>1000000000000</v>
      </c>
      <c r="CL54" s="172">
        <f ca="1">IF(OR($D54&lt;&gt;"Serviço",AND(AUTOEVENTO="Manual",$M54=$A$15),$M54&gt;(ROW(PLE.lastrow)-ROW(PLE.firstrow))),0,
           IF(OFFSET(PLE!$G$15,$M54-$A$15,CL$13)="",10^12,OFFSET(PLE!$G$15,$M54-$A$15,CL$13)))</f>
        <v>1000000000000</v>
      </c>
      <c r="CM54" s="172">
        <f ca="1">IF(OR($D54&lt;&gt;"Serviço",AND(AUTOEVENTO="Manual",$M54=$A$15),$M54&gt;(ROW(PLE.lastrow)-ROW(PLE.firstrow))),0,
           IF(OFFSET(PLE!$G$15,$M54-$A$15,CM$13)="",10^12,OFFSET(PLE!$G$15,$M54-$A$15,CM$13)))</f>
        <v>1000000000000</v>
      </c>
    </row>
    <row r="55" spans="1:91" ht="39.6" x14ac:dyDescent="0.25">
      <c r="A55" s="7" t="str">
        <f t="shared" ca="1" si="11"/>
        <v>37</v>
      </c>
      <c r="B55" s="7" t="str">
        <f ca="1">OFFSET(ORÇAMENTO!C$15,ROW(B55)-ROW(B$15),0)</f>
        <v>S</v>
      </c>
      <c r="C55" s="7" t="str">
        <f ca="1">OFFSET(ORÇAMENTO!L$15,ROW(C55)-ROW(C$15),0)</f>
        <v>F</v>
      </c>
      <c r="D55" s="116" t="str">
        <f ca="1">OFFSET(ORÇAMENTO!N$15,ROW(D55)-ROW(D$15),0)</f>
        <v>Serviço</v>
      </c>
      <c r="E55" s="117" t="str">
        <f ca="1">OFFSET(ORÇAMENTO!O$15,ROW(E55)-ROW(E$15),0)</f>
        <v>1.7.3.</v>
      </c>
      <c r="F55" s="163" t="str">
        <f ca="1">OFFSET(ORÇAMENTO!R$15,ROW(F55)-ROW(F$15),0)</f>
        <v xml:space="preserve">ENSAIO DE CONTROLE DO GRAU DE COMPACTAÇÃO, DENSIDADE E ESPESSURA DA MASSA ASFÁLTICA COM COLETA ATRAVÉS DE SONDA ROTATIVA </v>
      </c>
      <c r="G55" s="164" t="str">
        <f ca="1">IF($D55&lt;&gt;"Serviço","",OFFSET(ORÇAMENTO!S$15,ROW(G55)-ROW(G$15),0))</f>
        <v>UN</v>
      </c>
      <c r="H55" s="122" cm="1">
        <f t="array" aca="1" ref="H55" ca="1">IF($D55&lt;&gt;"Serviço",0,IF(ACOMPANHAMENTO="BM",ROUND(OFFSET(ORÇAMENTO!AJ$15,ROW(H55)-ROW(H$15),0),15-13*ORÇAMENTO!$AF$7),SUMPRODUCT(($Q$1:$AI$1=1)*ROUND($Q55:$AI55,15-13*ORÇAMENTO!$AF$7))))</f>
        <v>1</v>
      </c>
      <c r="I55" s="468"/>
      <c r="J55" s="651" t="e" cm="1">
        <f t="array" aca="1" ref="J55" ca="1">IF(OR(B55&lt;&gt;"S",CÁLCULO.FrentesPreenchidas=0),"",IF(AND(ACOMPANHAMENTO="PLE",AUTOEVENTO="Manual",OR(H55&gt;0,ORÇAMENTO!AC55="QUANT."),OR(K55="",M55=0,N55="")),"►E",IF(AND(ACOMPANHAMENTO="PLE",ORÇAMENTO!AC55="QUANT."),"►Q",IF(AND(ACOMPANHAMENTO="PLE",H55&lt;&gt;SUMPRODUCT(($Q$1:$AI$1=1)*ROUND(Q55:AI55,15))),"►S",IF(AND(COUNTIF($P$11:$AI$11,"▼")=0,H55&gt;0,I55=""),"◄M","")))))</f>
        <v>#NAME?</v>
      </c>
      <c r="K55" s="652"/>
      <c r="L55" s="165" t="s">
        <v>764</v>
      </c>
      <c r="M55" s="166">
        <f ca="1">IF($D55&lt;&gt;"Serviço","",
          IF(AUTOEVENTO="manual",$A55,
                IF(ISERROR(MATCH($A55,$A$15:OFFSET($A55,-1,0),0)),MAX($M$15:OFFSET(M55,-1,0))+1,
                      INDEX($M$15:OFFSET(M55,-1,0),MATCH($A55,$A$15:OFFSET($A55,-1,0),0)))))</f>
        <v>7</v>
      </c>
      <c r="N55" s="167" t="str">
        <f ca="1">IF($D55&lt;&gt;"Serviço","",
         IF(AUTOEVENTO="Manual",
                IF($A55=0,"&lt;-- defina o número do agrupador",
                       OFFSET(EVENTOS!$D$15,$A55-$A$15,0)),
                OFFSET($F$15,$A55,0)))</f>
        <v xml:space="preserve">ENSAIOS </v>
      </c>
      <c r="O55" s="168"/>
      <c r="Q55" s="168"/>
      <c r="R55" s="169"/>
      <c r="S55" s="169">
        <v>1</v>
      </c>
      <c r="T55" s="169"/>
      <c r="U55" s="169"/>
      <c r="V55" s="169"/>
      <c r="W55" s="169"/>
      <c r="X55" s="169"/>
      <c r="Y55" s="169"/>
      <c r="Z55" s="170"/>
      <c r="AA55" s="169"/>
      <c r="AB55" s="169"/>
      <c r="AC55" s="169"/>
      <c r="AD55" s="169"/>
      <c r="AE55" s="169"/>
      <c r="AF55" s="169"/>
      <c r="AG55" s="169"/>
      <c r="AH55" s="170"/>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L55" s="453">
        <f ca="1">IF(AND($D55="Serviço",AL$12&lt;&gt;0,$H55&gt;0,OR(AUTOEVENTO&lt;&gt;"manual",$M55&lt;&gt;$A$15)),
        IF(Import.TipoArredondamento&lt;&gt;"TransfereGOV",
              ROUND(OFFSET($P55,0,AL$13),15-13*ORÇAMENTO!$AF$7)/$H55*OFFSET(ORÇAMENTO!$X$15,ROW(AL55)-ROW(AL$15),0),
              ROUND(ROUND(OFFSET($P55,0,AL$13),15-13*ORÇAMENTO!$AF$7)*OFFSET(ORÇAMENTO!$W$15,ROW(AL55)-ROW(AL$15),0),15-13*ORÇAMENTO!$AF$11)),
         0)</f>
        <v>136.72999999999999</v>
      </c>
      <c r="AM55" s="453">
        <f ca="1">IF(AND($D55="Serviço",AM$12&lt;&gt;0,$H55&gt;0,OR(AUTOEVENTO&lt;&gt;"manual",$M55&lt;&gt;$A$15)),
        IF(Import.TipoArredondamento&lt;&gt;"TransfereGOV",
              ROUND(OFFSET($P55,0,AM$13),15-13*ORÇAMENTO!$AF$7)/$H55*OFFSET(ORÇAMENTO!$X$15,ROW(AM55)-ROW(AM$15),0),
              ROUND(ROUND(OFFSET($P55,0,AM$13),15-13*ORÇAMENTO!$AF$7)*OFFSET(ORÇAMENTO!$W$15,ROW(AM55)-ROW(AM$15),0),15-13*ORÇAMENTO!$AF$11)),
         0)</f>
        <v>0</v>
      </c>
      <c r="AN55" s="453">
        <f ca="1">IF(AND($D55="Serviço",AN$12&lt;&gt;0,$H55&gt;0,OR(AUTOEVENTO&lt;&gt;"manual",$M55&lt;&gt;$A$15)),
        IF(Import.TipoArredondamento&lt;&gt;"TransfereGOV",
              ROUND(OFFSET($P55,0,AN$13),15-13*ORÇAMENTO!$AF$7)/$H55*OFFSET(ORÇAMENTO!$X$15,ROW(AN55)-ROW(AN$15),0),
              ROUND(ROUND(OFFSET($P55,0,AN$13),15-13*ORÇAMENTO!$AF$7)*OFFSET(ORÇAMENTO!$W$15,ROW(AN55)-ROW(AN$15),0),15-13*ORÇAMENTO!$AF$11)),
         0)</f>
        <v>0</v>
      </c>
      <c r="AO55" s="453">
        <f ca="1">IF(AND($D55="Serviço",AO$12&lt;&gt;0,$H55&gt;0,OR(AUTOEVENTO&lt;&gt;"manual",$M55&lt;&gt;$A$15)),
        IF(Import.TipoArredondamento&lt;&gt;"TransfereGOV",
              ROUND(OFFSET($P55,0,AO$13),15-13*ORÇAMENTO!$AF$7)/$H55*OFFSET(ORÇAMENTO!$X$15,ROW(AO55)-ROW(AO$15),0),
              ROUND(ROUND(OFFSET($P55,0,AO$13),15-13*ORÇAMENTO!$AF$7)*OFFSET(ORÇAMENTO!$W$15,ROW(AO55)-ROW(AO$15),0),15-13*ORÇAMENTO!$AF$11)),
         0)</f>
        <v>0</v>
      </c>
      <c r="AP55" s="453">
        <f ca="1">IF(AND($D55="Serviço",AP$12&lt;&gt;0,$H55&gt;0,OR(AUTOEVENTO&lt;&gt;"manual",$M55&lt;&gt;$A$15)),
        IF(Import.TipoArredondamento&lt;&gt;"TransfereGOV",
              ROUND(OFFSET($P55,0,AP$13),15-13*ORÇAMENTO!$AF$7)/$H55*OFFSET(ORÇAMENTO!$X$15,ROW(AP55)-ROW(AP$15),0),
              ROUND(ROUND(OFFSET($P55,0,AP$13),15-13*ORÇAMENTO!$AF$7)*OFFSET(ORÇAMENTO!$W$15,ROW(AP55)-ROW(AP$15),0),15-13*ORÇAMENTO!$AF$11)),
         0)</f>
        <v>0</v>
      </c>
      <c r="AQ55" s="453">
        <f ca="1">IF(AND($D55="Serviço",AQ$12&lt;&gt;0,$H55&gt;0,OR(AUTOEVENTO&lt;&gt;"manual",$M55&lt;&gt;$A$15)),
        IF(Import.TipoArredondamento&lt;&gt;"TransfereGOV",
              ROUND(OFFSET($P55,0,AQ$13),15-13*ORÇAMENTO!$AF$7)/$H55*OFFSET(ORÇAMENTO!$X$15,ROW(AQ55)-ROW(AQ$15),0),
              ROUND(ROUND(OFFSET($P55,0,AQ$13),15-13*ORÇAMENTO!$AF$7)*OFFSET(ORÇAMENTO!$W$15,ROW(AQ55)-ROW(AQ$15),0),15-13*ORÇAMENTO!$AF$11)),
         0)</f>
        <v>0</v>
      </c>
      <c r="AR55" s="453">
        <f ca="1">IF(AND($D55="Serviço",AR$12&lt;&gt;0,$H55&gt;0,OR(AUTOEVENTO&lt;&gt;"manual",$M55&lt;&gt;$A$15)),
        IF(Import.TipoArredondamento&lt;&gt;"TransfereGOV",
              ROUND(OFFSET($P55,0,AR$13),15-13*ORÇAMENTO!$AF$7)/$H55*OFFSET(ORÇAMENTO!$X$15,ROW(AR55)-ROW(AR$15),0),
              ROUND(ROUND(OFFSET($P55,0,AR$13),15-13*ORÇAMENTO!$AF$7)*OFFSET(ORÇAMENTO!$W$15,ROW(AR55)-ROW(AR$15),0),15-13*ORÇAMENTO!$AF$11)),
         0)</f>
        <v>0</v>
      </c>
      <c r="AS55" s="453">
        <f ca="1">IF(AND($D55="Serviço",AS$12&lt;&gt;0,$H55&gt;0,OR(AUTOEVENTO&lt;&gt;"manual",$M55&lt;&gt;$A$15)),
        IF(Import.TipoArredondamento&lt;&gt;"TransfereGOV",
              ROUND(OFFSET($P55,0,AS$13),15-13*ORÇAMENTO!$AF$7)/$H55*OFFSET(ORÇAMENTO!$X$15,ROW(AS55)-ROW(AS$15),0),
              ROUND(ROUND(OFFSET($P55,0,AS$13),15-13*ORÇAMENTO!$AF$7)*OFFSET(ORÇAMENTO!$W$15,ROW(AS55)-ROW(AS$15),0),15-13*ORÇAMENTO!$AF$11)),
         0)</f>
        <v>0</v>
      </c>
      <c r="AT55" s="453">
        <f ca="1">IF(AND($D55="Serviço",AT$12&lt;&gt;0,$H55&gt;0,OR(AUTOEVENTO&lt;&gt;"manual",$M55&lt;&gt;$A$15)),
        IF(Import.TipoArredondamento&lt;&gt;"TransfereGOV",
              ROUND(OFFSET($P55,0,AT$13),15-13*ORÇAMENTO!$AF$7)/$H55*OFFSET(ORÇAMENTO!$X$15,ROW(AT55)-ROW(AT$15),0),
              ROUND(ROUND(OFFSET($P55,0,AT$13),15-13*ORÇAMENTO!$AF$7)*OFFSET(ORÇAMENTO!$W$15,ROW(AT55)-ROW(AT$15),0),15-13*ORÇAMENTO!$AF$11)),
         0)</f>
        <v>0</v>
      </c>
      <c r="AU55" s="453">
        <f ca="1">IF(AND($D55="Serviço",AU$12&lt;&gt;0,$H55&gt;0,OR(AUTOEVENTO&lt;&gt;"manual",$M55&lt;&gt;$A$15)),
        IF(Import.TipoArredondamento&lt;&gt;"TransfereGOV",
              ROUND(OFFSET($P55,0,AU$13),15-13*ORÇAMENTO!$AF$7)/$H55*OFFSET(ORÇAMENTO!$X$15,ROW(AU55)-ROW(AU$15),0),
              ROUND(ROUND(OFFSET($P55,0,AU$13),15-13*ORÇAMENTO!$AF$7)*OFFSET(ORÇAMENTO!$W$15,ROW(AU55)-ROW(AU$15),0),15-13*ORÇAMENTO!$AF$11)),
         0)</f>
        <v>0</v>
      </c>
      <c r="AV55" s="453">
        <f ca="1">IF(AND($D55="Serviço",AV$12&lt;&gt;0,$H55&gt;0,OR(AUTOEVENTO&lt;&gt;"manual",$M55&lt;&gt;$A$15)),
        IF(Import.TipoArredondamento&lt;&gt;"TransfereGOV",
              ROUND(OFFSET($P55,0,AV$13),15-13*ORÇAMENTO!$AF$7)/$H55*OFFSET(ORÇAMENTO!$X$15,ROW(AV55)-ROW(AV$15),0),
              ROUND(ROUND(OFFSET($P55,0,AV$13),15-13*ORÇAMENTO!$AF$7)*OFFSET(ORÇAMENTO!$W$15,ROW(AV55)-ROW(AV$15),0),15-13*ORÇAMENTO!$AF$11)),
         0)</f>
        <v>0</v>
      </c>
      <c r="AW55" s="453">
        <f ca="1">IF(AND($D55="Serviço",AW$12&lt;&gt;0,$H55&gt;0,OR(AUTOEVENTO&lt;&gt;"manual",$M55&lt;&gt;$A$15)),
        IF(Import.TipoArredondamento&lt;&gt;"TransfereGOV",
              ROUND(OFFSET($P55,0,AW$13),15-13*ORÇAMENTO!$AF$7)/$H55*OFFSET(ORÇAMENTO!$X$15,ROW(AW55)-ROW(AW$15),0),
              ROUND(ROUND(OFFSET($P55,0,AW$13),15-13*ORÇAMENTO!$AF$7)*OFFSET(ORÇAMENTO!$W$15,ROW(AW55)-ROW(AW$15),0),15-13*ORÇAMENTO!$AF$11)),
         0)</f>
        <v>0</v>
      </c>
      <c r="AX55" s="453">
        <f ca="1">IF(AND($D55="Serviço",AX$12&lt;&gt;0,$H55&gt;0,OR(AUTOEVENTO&lt;&gt;"manual",$M55&lt;&gt;$A$15)),
        IF(Import.TipoArredondamento&lt;&gt;"TransfereGOV",
              ROUND(OFFSET($P55,0,AX$13),15-13*ORÇAMENTO!$AF$7)/$H55*OFFSET(ORÇAMENTO!$X$15,ROW(AX55)-ROW(AX$15),0),
              ROUND(ROUND(OFFSET($P55,0,AX$13),15-13*ORÇAMENTO!$AF$7)*OFFSET(ORÇAMENTO!$W$15,ROW(AX55)-ROW(AX$15),0),15-13*ORÇAMENTO!$AF$11)),
         0)</f>
        <v>0</v>
      </c>
      <c r="AY55" s="453">
        <f ca="1">IF(AND($D55="Serviço",AY$12&lt;&gt;0,$H55&gt;0,OR(AUTOEVENTO&lt;&gt;"manual",$M55&lt;&gt;$A$15)),
        IF(Import.TipoArredondamento&lt;&gt;"TransfereGOV",
              ROUND(OFFSET($P55,0,AY$13),15-13*ORÇAMENTO!$AF$7)/$H55*OFFSET(ORÇAMENTO!$X$15,ROW(AY55)-ROW(AY$15),0),
              ROUND(ROUND(OFFSET($P55,0,AY$13),15-13*ORÇAMENTO!$AF$7)*OFFSET(ORÇAMENTO!$W$15,ROW(AY55)-ROW(AY$15),0),15-13*ORÇAMENTO!$AF$11)),
         0)</f>
        <v>0</v>
      </c>
      <c r="AZ55" s="453">
        <f ca="1">IF(AND($D55="Serviço",AZ$12&lt;&gt;0,$H55&gt;0,OR(AUTOEVENTO&lt;&gt;"manual",$M55&lt;&gt;$A$15)),
        IF(Import.TipoArredondamento&lt;&gt;"TransfereGOV",
              ROUND(OFFSET($P55,0,AZ$13),15-13*ORÇAMENTO!$AF$7)/$H55*OFFSET(ORÇAMENTO!$X$15,ROW(AZ55)-ROW(AZ$15),0),
              ROUND(ROUND(OFFSET($P55,0,AZ$13),15-13*ORÇAMENTO!$AF$7)*OFFSET(ORÇAMENTO!$W$15,ROW(AZ55)-ROW(AZ$15),0),15-13*ORÇAMENTO!$AF$11)),
         0)</f>
        <v>0</v>
      </c>
      <c r="BA55" s="453">
        <f ca="1">IF(AND($D55="Serviço",BA$12&lt;&gt;0,$H55&gt;0,OR(AUTOEVENTO&lt;&gt;"manual",$M55&lt;&gt;$A$15)),
        IF(Import.TipoArredondamento&lt;&gt;"TransfereGOV",
              ROUND(OFFSET($P55,0,BA$13),15-13*ORÇAMENTO!$AF$7)/$H55*OFFSET(ORÇAMENTO!$X$15,ROW(BA55)-ROW(BA$15),0),
              ROUND(ROUND(OFFSET($P55,0,BA$13),15-13*ORÇAMENTO!$AF$7)*OFFSET(ORÇAMENTO!$W$15,ROW(BA55)-ROW(BA$15),0),15-13*ORÇAMENTO!$AF$11)),
         0)</f>
        <v>0</v>
      </c>
      <c r="BC55" s="171">
        <f ca="1">IF(OR($D55&lt;&gt;"Serviço",AND(AUTOEVENTO="Manual",$M55=$A$15)),0,
         IF(OFFSET(CRONOPLE!$F$15,$M55-$A$15,BC$13)=0,10^12,OFFSET(CRONOPLE!$F$15,$M55-$A$15,BC$13)))</f>
        <v>1000000000000</v>
      </c>
      <c r="BD55" s="171">
        <f ca="1">IF(OR($D55&lt;&gt;"Serviço",AND(AUTOEVENTO="Manual",$M55=$A$15)),0,
         IF(OFFSET(CRONOPLE!$F$15,$M55-$A$15,BD$13)=0,10^12,OFFSET(CRONOPLE!$F$15,$M55-$A$15,BD$13)))</f>
        <v>1000000000000</v>
      </c>
      <c r="BE55" s="171">
        <f ca="1">IF(OR($D55&lt;&gt;"Serviço",AND(AUTOEVENTO="Manual",$M55=$A$15)),0,
         IF(OFFSET(CRONOPLE!$F$15,$M55-$A$15,BE$13)=0,10^12,OFFSET(CRONOPLE!$F$15,$M55-$A$15,BE$13)))</f>
        <v>1</v>
      </c>
      <c r="BF55" s="171">
        <f ca="1">IF(OR($D55&lt;&gt;"Serviço",AND(AUTOEVENTO="Manual",$M55=$A$15)),0,
         IF(OFFSET(CRONOPLE!$F$15,$M55-$A$15,BF$13)=0,10^12,OFFSET(CRONOPLE!$F$15,$M55-$A$15,BF$13)))</f>
        <v>1000000000000</v>
      </c>
      <c r="BG55" s="171">
        <f ca="1">IF(OR($D55&lt;&gt;"Serviço",AND(AUTOEVENTO="Manual",$M55=$A$15)),0,
         IF(OFFSET(CRONOPLE!$F$15,$M55-$A$15,BG$13)=0,10^12,OFFSET(CRONOPLE!$F$15,$M55-$A$15,BG$13)))</f>
        <v>1000000000000</v>
      </c>
      <c r="BH55" s="171">
        <f ca="1">IF(OR($D55&lt;&gt;"Serviço",AND(AUTOEVENTO="Manual",$M55=$A$15)),0,
         IF(OFFSET(CRONOPLE!$F$15,$M55-$A$15,BH$13)=0,10^12,OFFSET(CRONOPLE!$F$15,$M55-$A$15,BH$13)))</f>
        <v>1000000000000</v>
      </c>
      <c r="BI55" s="171">
        <f ca="1">IF(OR($D55&lt;&gt;"Serviço",AND(AUTOEVENTO="Manual",$M55=$A$15)),0,
         IF(OFFSET(CRONOPLE!$F$15,$M55-$A$15,BI$13)=0,10^12,OFFSET(CRONOPLE!$F$15,$M55-$A$15,BI$13)))</f>
        <v>1000000000000</v>
      </c>
      <c r="BJ55" s="171">
        <f ca="1">IF(OR($D55&lt;&gt;"Serviço",AND(AUTOEVENTO="Manual",$M55=$A$15)),0,
         IF(OFFSET(CRONOPLE!$F$15,$M55-$A$15,BJ$13)=0,10^12,OFFSET(CRONOPLE!$F$15,$M55-$A$15,BJ$13)))</f>
        <v>1000000000000</v>
      </c>
      <c r="BK55" s="171">
        <f ca="1">IF(OR($D55&lt;&gt;"Serviço",AND(AUTOEVENTO="Manual",$M55=$A$15)),0,
         IF(OFFSET(CRONOPLE!$F$15,$M55-$A$15,BK$13)=0,10^12,OFFSET(CRONOPLE!$F$15,$M55-$A$15,BK$13)))</f>
        <v>1000000000000</v>
      </c>
      <c r="BL55" s="171">
        <f ca="1">IF(OR($D55&lt;&gt;"Serviço",AND(AUTOEVENTO="Manual",$M55=$A$15)),0,
         IF(OFFSET(CRONOPLE!$F$15,$M55-$A$15,BL$13)=0,10^12,OFFSET(CRONOPLE!$F$15,$M55-$A$15,BL$13)))</f>
        <v>1000000000000</v>
      </c>
      <c r="BM55" s="171">
        <f ca="1">IF(OR($D55&lt;&gt;"Serviço",AND(AUTOEVENTO="Manual",$M55=$A$15)),0,
         IF(OFFSET(CRONOPLE!$F$15,$M55-$A$15,BM$13)=0,10^12,OFFSET(CRONOPLE!$F$15,$M55-$A$15,BM$13)))</f>
        <v>1000000000000</v>
      </c>
      <c r="BN55" s="171">
        <f ca="1">IF(OR($D55&lt;&gt;"Serviço",AND(AUTOEVENTO="Manual",$M55=$A$15)),0,
         IF(OFFSET(CRONOPLE!$F$15,$M55-$A$15,BN$13)=0,10^12,OFFSET(CRONOPLE!$F$15,$M55-$A$15,BN$13)))</f>
        <v>1000000000000</v>
      </c>
      <c r="BO55" s="171">
        <f ca="1">IF(OR($D55&lt;&gt;"Serviço",AND(AUTOEVENTO="Manual",$M55=$A$15)),0,
         IF(OFFSET(CRONOPLE!$F$15,$M55-$A$15,BO$13)=0,10^12,OFFSET(CRONOPLE!$F$15,$M55-$A$15,BO$13)))</f>
        <v>1000000000000</v>
      </c>
      <c r="BP55" s="171">
        <f ca="1">IF(OR($D55&lt;&gt;"Serviço",AND(AUTOEVENTO="Manual",$M55=$A$15)),0,
         IF(OFFSET(CRONOPLE!$F$15,$M55-$A$15,BP$13)=0,10^12,OFFSET(CRONOPLE!$F$15,$M55-$A$15,BP$13)))</f>
        <v>3</v>
      </c>
      <c r="BQ55" s="171">
        <f ca="1">IF(OR($D55&lt;&gt;"Serviço",AND(AUTOEVENTO="Manual",$M55=$A$15)),0,
         IF(OFFSET(CRONOPLE!$F$15,$M55-$A$15,BQ$13)=0,10^12,OFFSET(CRONOPLE!$F$15,$M55-$A$15,BQ$13)))</f>
        <v>1000000000000</v>
      </c>
      <c r="BR55" s="171">
        <f ca="1">IF(OR($D55&lt;&gt;"Serviço",AND(AUTOEVENTO="Manual",$M55=$A$15)),0,
         IF(OFFSET(CRONOPLE!$F$15,$M55-$A$15,BR$13)=0,10^12,OFFSET(CRONOPLE!$F$15,$M55-$A$15,BR$13)))</f>
        <v>1000000000000</v>
      </c>
      <c r="BS55" s="171">
        <f ca="1">IF(OR($D55&lt;&gt;"Serviço",AND(AUTOEVENTO="Manual",$M55=$A$15)),0,
         IF(OFFSET(CRONOPLE!$F$15,$M55-$A$15,BS$13)=0,10^12,OFFSET(CRONOPLE!$F$15,$M55-$A$15,BS$13)))</f>
        <v>1000000000000</v>
      </c>
      <c r="BT55" s="171">
        <f ca="1">IF(OR($D55&lt;&gt;"Serviço",AND(AUTOEVENTO="Manual",$M55=$A$15)),0,
         IF(OFFSET(CRONOPLE!$F$15,$M55-$A$15,BT$13)=0,10^12,OFFSET(CRONOPLE!$F$15,$M55-$A$15,BT$13)))</f>
        <v>1000000000000</v>
      </c>
      <c r="BV55" s="172">
        <f ca="1">IF(OR($D55&lt;&gt;"Serviço",AND(AUTOEVENTO="Manual",$M55=$A$15),$M55&gt;(ROW(PLE.lastrow)-ROW(PLE.firstrow))),0,
           IF(OFFSET(PLE!$G$15,$M55-$A$15,BV$13)="",10^12,OFFSET(PLE!$G$15,$M55-$A$15,BV$13)))</f>
        <v>1000000000000</v>
      </c>
      <c r="BW55" s="172">
        <f ca="1">IF(OR($D55&lt;&gt;"Serviço",AND(AUTOEVENTO="Manual",$M55=$A$15),$M55&gt;(ROW(PLE.lastrow)-ROW(PLE.firstrow))),0,
           IF(OFFSET(PLE!$G$15,$M55-$A$15,BW$13)="",10^12,OFFSET(PLE!$G$15,$M55-$A$15,BW$13)))</f>
        <v>1000000000000</v>
      </c>
      <c r="BX55" s="172">
        <f ca="1">IF(OR($D55&lt;&gt;"Serviço",AND(AUTOEVENTO="Manual",$M55=$A$15),$M55&gt;(ROW(PLE.lastrow)-ROW(PLE.firstrow))),0,
           IF(OFFSET(PLE!$G$15,$M55-$A$15,BX$13)="",10^12,OFFSET(PLE!$G$15,$M55-$A$15,BX$13)))</f>
        <v>1000000000000</v>
      </c>
      <c r="BY55" s="172">
        <f ca="1">IF(OR($D55&lt;&gt;"Serviço",AND(AUTOEVENTO="Manual",$M55=$A$15),$M55&gt;(ROW(PLE.lastrow)-ROW(PLE.firstrow))),0,
           IF(OFFSET(PLE!$G$15,$M55-$A$15,BY$13)="",10^12,OFFSET(PLE!$G$15,$M55-$A$15,BY$13)))</f>
        <v>1000000000000</v>
      </c>
      <c r="BZ55" s="172">
        <f ca="1">IF(OR($D55&lt;&gt;"Serviço",AND(AUTOEVENTO="Manual",$M55=$A$15),$M55&gt;(ROW(PLE.lastrow)-ROW(PLE.firstrow))),0,
           IF(OFFSET(PLE!$G$15,$M55-$A$15,BZ$13)="",10^12,OFFSET(PLE!$G$15,$M55-$A$15,BZ$13)))</f>
        <v>1000000000000</v>
      </c>
      <c r="CA55" s="172">
        <f ca="1">IF(OR($D55&lt;&gt;"Serviço",AND(AUTOEVENTO="Manual",$M55=$A$15),$M55&gt;(ROW(PLE.lastrow)-ROW(PLE.firstrow))),0,
           IF(OFFSET(PLE!$G$15,$M55-$A$15,CA$13)="",10^12,OFFSET(PLE!$G$15,$M55-$A$15,CA$13)))</f>
        <v>1000000000000</v>
      </c>
      <c r="CB55" s="172">
        <f ca="1">IF(OR($D55&lt;&gt;"Serviço",AND(AUTOEVENTO="Manual",$M55=$A$15),$M55&gt;(ROW(PLE.lastrow)-ROW(PLE.firstrow))),0,
           IF(OFFSET(PLE!$G$15,$M55-$A$15,CB$13)="",10^12,OFFSET(PLE!$G$15,$M55-$A$15,CB$13)))</f>
        <v>1000000000000</v>
      </c>
      <c r="CC55" s="172">
        <f ca="1">IF(OR($D55&lt;&gt;"Serviço",AND(AUTOEVENTO="Manual",$M55=$A$15),$M55&gt;(ROW(PLE.lastrow)-ROW(PLE.firstrow))),0,
           IF(OFFSET(PLE!$G$15,$M55-$A$15,CC$13)="",10^12,OFFSET(PLE!$G$15,$M55-$A$15,CC$13)))</f>
        <v>1000000000000</v>
      </c>
      <c r="CD55" s="172">
        <f ca="1">IF(OR($D55&lt;&gt;"Serviço",AND(AUTOEVENTO="Manual",$M55=$A$15),$M55&gt;(ROW(PLE.lastrow)-ROW(PLE.firstrow))),0,
           IF(OFFSET(PLE!$G$15,$M55-$A$15,CD$13)="",10^12,OFFSET(PLE!$G$15,$M55-$A$15,CD$13)))</f>
        <v>1000000000000</v>
      </c>
      <c r="CE55" s="172">
        <f ca="1">IF(OR($D55&lt;&gt;"Serviço",AND(AUTOEVENTO="Manual",$M55=$A$15),$M55&gt;(ROW(PLE.lastrow)-ROW(PLE.firstrow))),0,
           IF(OFFSET(PLE!$G$15,$M55-$A$15,CE$13)="",10^12,OFFSET(PLE!$G$15,$M55-$A$15,CE$13)))</f>
        <v>1000000000000</v>
      </c>
      <c r="CF55" s="172">
        <f ca="1">IF(OR($D55&lt;&gt;"Serviço",AND(AUTOEVENTO="Manual",$M55=$A$15),$M55&gt;(ROW(PLE.lastrow)-ROW(PLE.firstrow))),0,
           IF(OFFSET(PLE!$G$15,$M55-$A$15,CF$13)="",10^12,OFFSET(PLE!$G$15,$M55-$A$15,CF$13)))</f>
        <v>1000000000000</v>
      </c>
      <c r="CG55" s="172">
        <f ca="1">IF(OR($D55&lt;&gt;"Serviço",AND(AUTOEVENTO="Manual",$M55=$A$15),$M55&gt;(ROW(PLE.lastrow)-ROW(PLE.firstrow))),0,
           IF(OFFSET(PLE!$G$15,$M55-$A$15,CG$13)="",10^12,OFFSET(PLE!$G$15,$M55-$A$15,CG$13)))</f>
        <v>1000000000000</v>
      </c>
      <c r="CH55" s="172">
        <f ca="1">IF(OR($D55&lt;&gt;"Serviço",AND(AUTOEVENTO="Manual",$M55=$A$15),$M55&gt;(ROW(PLE.lastrow)-ROW(PLE.firstrow))),0,
           IF(OFFSET(PLE!$G$15,$M55-$A$15,CH$13)="",10^12,OFFSET(PLE!$G$15,$M55-$A$15,CH$13)))</f>
        <v>1000000000000</v>
      </c>
      <c r="CI55" s="172">
        <f ca="1">IF(OR($D55&lt;&gt;"Serviço",AND(AUTOEVENTO="Manual",$M55=$A$15),$M55&gt;(ROW(PLE.lastrow)-ROW(PLE.firstrow))),0,
           IF(OFFSET(PLE!$G$15,$M55-$A$15,CI$13)="",10^12,OFFSET(PLE!$G$15,$M55-$A$15,CI$13)))</f>
        <v>1000000000000</v>
      </c>
      <c r="CJ55" s="172">
        <f ca="1">IF(OR($D55&lt;&gt;"Serviço",AND(AUTOEVENTO="Manual",$M55=$A$15),$M55&gt;(ROW(PLE.lastrow)-ROW(PLE.firstrow))),0,
           IF(OFFSET(PLE!$G$15,$M55-$A$15,CJ$13)="",10^12,OFFSET(PLE!$G$15,$M55-$A$15,CJ$13)))</f>
        <v>1000000000000</v>
      </c>
      <c r="CK55" s="172">
        <f ca="1">IF(OR($D55&lt;&gt;"Serviço",AND(AUTOEVENTO="Manual",$M55=$A$15),$M55&gt;(ROW(PLE.lastrow)-ROW(PLE.firstrow))),0,
           IF(OFFSET(PLE!$G$15,$M55-$A$15,CK$13)="",10^12,OFFSET(PLE!$G$15,$M55-$A$15,CK$13)))</f>
        <v>1000000000000</v>
      </c>
      <c r="CL55" s="172">
        <f ca="1">IF(OR($D55&lt;&gt;"Serviço",AND(AUTOEVENTO="Manual",$M55=$A$15),$M55&gt;(ROW(PLE.lastrow)-ROW(PLE.firstrow))),0,
           IF(OFFSET(PLE!$G$15,$M55-$A$15,CL$13)="",10^12,OFFSET(PLE!$G$15,$M55-$A$15,CL$13)))</f>
        <v>1000000000000</v>
      </c>
      <c r="CM55" s="172">
        <f ca="1">IF(OR($D55&lt;&gt;"Serviço",AND(AUTOEVENTO="Manual",$M55=$A$15),$M55&gt;(ROW(PLE.lastrow)-ROW(PLE.firstrow))),0,
           IF(OFFSET(PLE!$G$15,$M55-$A$15,CM$13)="",10^12,OFFSET(PLE!$G$15,$M55-$A$15,CM$13)))</f>
        <v>1000000000000</v>
      </c>
    </row>
    <row r="56" spans="1:91" ht="13.2" x14ac:dyDescent="0.25">
      <c r="A56" s="7" t="str">
        <f t="shared" ca="1" si="11"/>
        <v>37</v>
      </c>
      <c r="B56" s="7" t="str">
        <f ca="1">OFFSET(ORÇAMENTO!C$15,ROW(B56)-ROW(B$15),0)</f>
        <v>S</v>
      </c>
      <c r="C56" s="7" t="str">
        <f ca="1">OFFSET(ORÇAMENTO!L$15,ROW(C56)-ROW(C$15),0)</f>
        <v>F</v>
      </c>
      <c r="D56" s="116" t="str">
        <f ca="1">OFFSET(ORÇAMENTO!N$15,ROW(D56)-ROW(D$15),0)</f>
        <v>Serviço</v>
      </c>
      <c r="E56" s="117" t="str">
        <f ca="1">OFFSET(ORÇAMENTO!O$15,ROW(E56)-ROW(E$15),0)</f>
        <v>1.7.4.</v>
      </c>
      <c r="F56" s="163" t="str">
        <f ca="1">OFFSET(ORÇAMENTO!R$15,ROW(F56)-ROW(F$15),0)</f>
        <v xml:space="preserve">ENSAIO BANDEJA DO LIGANTE DE PINTURA </v>
      </c>
      <c r="G56" s="164" t="str">
        <f ca="1">IF($D56&lt;&gt;"Serviço","",OFFSET(ORÇAMENTO!S$15,ROW(G56)-ROW(G$15),0))</f>
        <v>UN</v>
      </c>
      <c r="H56" s="122" cm="1">
        <f t="array" aca="1" ref="H56" ca="1">IF($D56&lt;&gt;"Serviço",0,IF(ACOMPANHAMENTO="BM",ROUND(OFFSET(ORÇAMENTO!AJ$15,ROW(H56)-ROW(H$15),0),15-13*ORÇAMENTO!$AF$7),SUMPRODUCT(($Q$1:$AI$1=1)*ROUND($Q56:$AI56,15-13*ORÇAMENTO!$AF$7))))</f>
        <v>1</v>
      </c>
      <c r="I56" s="468"/>
      <c r="J56" s="651" t="e" cm="1">
        <f t="array" aca="1" ref="J56" ca="1">IF(OR(B56&lt;&gt;"S",CÁLCULO.FrentesPreenchidas=0),"",IF(AND(ACOMPANHAMENTO="PLE",AUTOEVENTO="Manual",OR(H56&gt;0,ORÇAMENTO!AC56="QUANT."),OR(K56="",M56=0,N56="")),"►E",IF(AND(ACOMPANHAMENTO="PLE",ORÇAMENTO!AC56="QUANT."),"►Q",IF(AND(ACOMPANHAMENTO="PLE",H56&lt;&gt;SUMPRODUCT(($Q$1:$AI$1=1)*ROUND(Q56:AI56,15))),"►S",IF(AND(COUNTIF($P$11:$AI$11,"▼")=0,H56&gt;0,I56=""),"◄M","")))))</f>
        <v>#NAME?</v>
      </c>
      <c r="K56" s="652"/>
      <c r="L56" s="165" t="s">
        <v>764</v>
      </c>
      <c r="M56" s="166">
        <f ca="1">IF($D56&lt;&gt;"Serviço","",
          IF(AUTOEVENTO="manual",$A56,
                IF(ISERROR(MATCH($A56,$A$15:OFFSET($A56,-1,0),0)),MAX($M$15:OFFSET(M56,-1,0))+1,
                      INDEX($M$15:OFFSET(M56,-1,0),MATCH($A56,$A$15:OFFSET($A56,-1,0),0)))))</f>
        <v>7</v>
      </c>
      <c r="N56" s="167" t="str">
        <f ca="1">IF($D56&lt;&gt;"Serviço","",
         IF(AUTOEVENTO="Manual",
                IF($A56=0,"&lt;-- defina o número do agrupador",
                       OFFSET(EVENTOS!$D$15,$A56-$A$15,0)),
                OFFSET($F$15,$A56,0)))</f>
        <v xml:space="preserve">ENSAIOS </v>
      </c>
      <c r="O56" s="168"/>
      <c r="Q56" s="168"/>
      <c r="R56" s="169"/>
      <c r="S56" s="169">
        <v>1</v>
      </c>
      <c r="T56" s="169"/>
      <c r="U56" s="169"/>
      <c r="V56" s="169"/>
      <c r="W56" s="169"/>
      <c r="X56" s="169"/>
      <c r="Y56" s="169"/>
      <c r="Z56" s="170"/>
      <c r="AA56" s="169"/>
      <c r="AB56" s="169"/>
      <c r="AC56" s="169"/>
      <c r="AD56" s="169"/>
      <c r="AE56" s="169"/>
      <c r="AF56" s="169"/>
      <c r="AG56" s="169"/>
      <c r="AH56" s="170"/>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L56" s="453">
        <f ca="1">IF(AND($D56="Serviço",AL$12&lt;&gt;0,$H56&gt;0,OR(AUTOEVENTO&lt;&gt;"manual",$M56&lt;&gt;$A$15)),
        IF(Import.TipoArredondamento&lt;&gt;"TransfereGOV",
              ROUND(OFFSET($P56,0,AL$13),15-13*ORÇAMENTO!$AF$7)/$H56*OFFSET(ORÇAMENTO!$X$15,ROW(AL56)-ROW(AL$15),0),
              ROUND(ROUND(OFFSET($P56,0,AL$13),15-13*ORÇAMENTO!$AF$7)*OFFSET(ORÇAMENTO!$W$15,ROW(AL56)-ROW(AL$15),0),15-13*ORÇAMENTO!$AF$11)),
         0)</f>
        <v>212.78</v>
      </c>
      <c r="AM56" s="453">
        <f ca="1">IF(AND($D56="Serviço",AM$12&lt;&gt;0,$H56&gt;0,OR(AUTOEVENTO&lt;&gt;"manual",$M56&lt;&gt;$A$15)),
        IF(Import.TipoArredondamento&lt;&gt;"TransfereGOV",
              ROUND(OFFSET($P56,0,AM$13),15-13*ORÇAMENTO!$AF$7)/$H56*OFFSET(ORÇAMENTO!$X$15,ROW(AM56)-ROW(AM$15),0),
              ROUND(ROUND(OFFSET($P56,0,AM$13),15-13*ORÇAMENTO!$AF$7)*OFFSET(ORÇAMENTO!$W$15,ROW(AM56)-ROW(AM$15),0),15-13*ORÇAMENTO!$AF$11)),
         0)</f>
        <v>0</v>
      </c>
      <c r="AN56" s="453">
        <f ca="1">IF(AND($D56="Serviço",AN$12&lt;&gt;0,$H56&gt;0,OR(AUTOEVENTO&lt;&gt;"manual",$M56&lt;&gt;$A$15)),
        IF(Import.TipoArredondamento&lt;&gt;"TransfereGOV",
              ROUND(OFFSET($P56,0,AN$13),15-13*ORÇAMENTO!$AF$7)/$H56*OFFSET(ORÇAMENTO!$X$15,ROW(AN56)-ROW(AN$15),0),
              ROUND(ROUND(OFFSET($P56,0,AN$13),15-13*ORÇAMENTO!$AF$7)*OFFSET(ORÇAMENTO!$W$15,ROW(AN56)-ROW(AN$15),0),15-13*ORÇAMENTO!$AF$11)),
         0)</f>
        <v>0</v>
      </c>
      <c r="AO56" s="453">
        <f ca="1">IF(AND($D56="Serviço",AO$12&lt;&gt;0,$H56&gt;0,OR(AUTOEVENTO&lt;&gt;"manual",$M56&lt;&gt;$A$15)),
        IF(Import.TipoArredondamento&lt;&gt;"TransfereGOV",
              ROUND(OFFSET($P56,0,AO$13),15-13*ORÇAMENTO!$AF$7)/$H56*OFFSET(ORÇAMENTO!$X$15,ROW(AO56)-ROW(AO$15),0),
              ROUND(ROUND(OFFSET($P56,0,AO$13),15-13*ORÇAMENTO!$AF$7)*OFFSET(ORÇAMENTO!$W$15,ROW(AO56)-ROW(AO$15),0),15-13*ORÇAMENTO!$AF$11)),
         0)</f>
        <v>0</v>
      </c>
      <c r="AP56" s="453">
        <f ca="1">IF(AND($D56="Serviço",AP$12&lt;&gt;0,$H56&gt;0,OR(AUTOEVENTO&lt;&gt;"manual",$M56&lt;&gt;$A$15)),
        IF(Import.TipoArredondamento&lt;&gt;"TransfereGOV",
              ROUND(OFFSET($P56,0,AP$13),15-13*ORÇAMENTO!$AF$7)/$H56*OFFSET(ORÇAMENTO!$X$15,ROW(AP56)-ROW(AP$15),0),
              ROUND(ROUND(OFFSET($P56,0,AP$13),15-13*ORÇAMENTO!$AF$7)*OFFSET(ORÇAMENTO!$W$15,ROW(AP56)-ROW(AP$15),0),15-13*ORÇAMENTO!$AF$11)),
         0)</f>
        <v>0</v>
      </c>
      <c r="AQ56" s="453">
        <f ca="1">IF(AND($D56="Serviço",AQ$12&lt;&gt;0,$H56&gt;0,OR(AUTOEVENTO&lt;&gt;"manual",$M56&lt;&gt;$A$15)),
        IF(Import.TipoArredondamento&lt;&gt;"TransfereGOV",
              ROUND(OFFSET($P56,0,AQ$13),15-13*ORÇAMENTO!$AF$7)/$H56*OFFSET(ORÇAMENTO!$X$15,ROW(AQ56)-ROW(AQ$15),0),
              ROUND(ROUND(OFFSET($P56,0,AQ$13),15-13*ORÇAMENTO!$AF$7)*OFFSET(ORÇAMENTO!$W$15,ROW(AQ56)-ROW(AQ$15),0),15-13*ORÇAMENTO!$AF$11)),
         0)</f>
        <v>0</v>
      </c>
      <c r="AR56" s="453">
        <f ca="1">IF(AND($D56="Serviço",AR$12&lt;&gt;0,$H56&gt;0,OR(AUTOEVENTO&lt;&gt;"manual",$M56&lt;&gt;$A$15)),
        IF(Import.TipoArredondamento&lt;&gt;"TransfereGOV",
              ROUND(OFFSET($P56,0,AR$13),15-13*ORÇAMENTO!$AF$7)/$H56*OFFSET(ORÇAMENTO!$X$15,ROW(AR56)-ROW(AR$15),0),
              ROUND(ROUND(OFFSET($P56,0,AR$13),15-13*ORÇAMENTO!$AF$7)*OFFSET(ORÇAMENTO!$W$15,ROW(AR56)-ROW(AR$15),0),15-13*ORÇAMENTO!$AF$11)),
         0)</f>
        <v>0</v>
      </c>
      <c r="AS56" s="453">
        <f ca="1">IF(AND($D56="Serviço",AS$12&lt;&gt;0,$H56&gt;0,OR(AUTOEVENTO&lt;&gt;"manual",$M56&lt;&gt;$A$15)),
        IF(Import.TipoArredondamento&lt;&gt;"TransfereGOV",
              ROUND(OFFSET($P56,0,AS$13),15-13*ORÇAMENTO!$AF$7)/$H56*OFFSET(ORÇAMENTO!$X$15,ROW(AS56)-ROW(AS$15),0),
              ROUND(ROUND(OFFSET($P56,0,AS$13),15-13*ORÇAMENTO!$AF$7)*OFFSET(ORÇAMENTO!$W$15,ROW(AS56)-ROW(AS$15),0),15-13*ORÇAMENTO!$AF$11)),
         0)</f>
        <v>0</v>
      </c>
      <c r="AT56" s="453">
        <f ca="1">IF(AND($D56="Serviço",AT$12&lt;&gt;0,$H56&gt;0,OR(AUTOEVENTO&lt;&gt;"manual",$M56&lt;&gt;$A$15)),
        IF(Import.TipoArredondamento&lt;&gt;"TransfereGOV",
              ROUND(OFFSET($P56,0,AT$13),15-13*ORÇAMENTO!$AF$7)/$H56*OFFSET(ORÇAMENTO!$X$15,ROW(AT56)-ROW(AT$15),0),
              ROUND(ROUND(OFFSET($P56,0,AT$13),15-13*ORÇAMENTO!$AF$7)*OFFSET(ORÇAMENTO!$W$15,ROW(AT56)-ROW(AT$15),0),15-13*ORÇAMENTO!$AF$11)),
         0)</f>
        <v>0</v>
      </c>
      <c r="AU56" s="453">
        <f ca="1">IF(AND($D56="Serviço",AU$12&lt;&gt;0,$H56&gt;0,OR(AUTOEVENTO&lt;&gt;"manual",$M56&lt;&gt;$A$15)),
        IF(Import.TipoArredondamento&lt;&gt;"TransfereGOV",
              ROUND(OFFSET($P56,0,AU$13),15-13*ORÇAMENTO!$AF$7)/$H56*OFFSET(ORÇAMENTO!$X$15,ROW(AU56)-ROW(AU$15),0),
              ROUND(ROUND(OFFSET($P56,0,AU$13),15-13*ORÇAMENTO!$AF$7)*OFFSET(ORÇAMENTO!$W$15,ROW(AU56)-ROW(AU$15),0),15-13*ORÇAMENTO!$AF$11)),
         0)</f>
        <v>0</v>
      </c>
      <c r="AV56" s="453">
        <f ca="1">IF(AND($D56="Serviço",AV$12&lt;&gt;0,$H56&gt;0,OR(AUTOEVENTO&lt;&gt;"manual",$M56&lt;&gt;$A$15)),
        IF(Import.TipoArredondamento&lt;&gt;"TransfereGOV",
              ROUND(OFFSET($P56,0,AV$13),15-13*ORÇAMENTO!$AF$7)/$H56*OFFSET(ORÇAMENTO!$X$15,ROW(AV56)-ROW(AV$15),0),
              ROUND(ROUND(OFFSET($P56,0,AV$13),15-13*ORÇAMENTO!$AF$7)*OFFSET(ORÇAMENTO!$W$15,ROW(AV56)-ROW(AV$15),0),15-13*ORÇAMENTO!$AF$11)),
         0)</f>
        <v>0</v>
      </c>
      <c r="AW56" s="453">
        <f ca="1">IF(AND($D56="Serviço",AW$12&lt;&gt;0,$H56&gt;0,OR(AUTOEVENTO&lt;&gt;"manual",$M56&lt;&gt;$A$15)),
        IF(Import.TipoArredondamento&lt;&gt;"TransfereGOV",
              ROUND(OFFSET($P56,0,AW$13),15-13*ORÇAMENTO!$AF$7)/$H56*OFFSET(ORÇAMENTO!$X$15,ROW(AW56)-ROW(AW$15),0),
              ROUND(ROUND(OFFSET($P56,0,AW$13),15-13*ORÇAMENTO!$AF$7)*OFFSET(ORÇAMENTO!$W$15,ROW(AW56)-ROW(AW$15),0),15-13*ORÇAMENTO!$AF$11)),
         0)</f>
        <v>0</v>
      </c>
      <c r="AX56" s="453">
        <f ca="1">IF(AND($D56="Serviço",AX$12&lt;&gt;0,$H56&gt;0,OR(AUTOEVENTO&lt;&gt;"manual",$M56&lt;&gt;$A$15)),
        IF(Import.TipoArredondamento&lt;&gt;"TransfereGOV",
              ROUND(OFFSET($P56,0,AX$13),15-13*ORÇAMENTO!$AF$7)/$H56*OFFSET(ORÇAMENTO!$X$15,ROW(AX56)-ROW(AX$15),0),
              ROUND(ROUND(OFFSET($P56,0,AX$13),15-13*ORÇAMENTO!$AF$7)*OFFSET(ORÇAMENTO!$W$15,ROW(AX56)-ROW(AX$15),0),15-13*ORÇAMENTO!$AF$11)),
         0)</f>
        <v>0</v>
      </c>
      <c r="AY56" s="453">
        <f ca="1">IF(AND($D56="Serviço",AY$12&lt;&gt;0,$H56&gt;0,OR(AUTOEVENTO&lt;&gt;"manual",$M56&lt;&gt;$A$15)),
        IF(Import.TipoArredondamento&lt;&gt;"TransfereGOV",
              ROUND(OFFSET($P56,0,AY$13),15-13*ORÇAMENTO!$AF$7)/$H56*OFFSET(ORÇAMENTO!$X$15,ROW(AY56)-ROW(AY$15),0),
              ROUND(ROUND(OFFSET($P56,0,AY$13),15-13*ORÇAMENTO!$AF$7)*OFFSET(ORÇAMENTO!$W$15,ROW(AY56)-ROW(AY$15),0),15-13*ORÇAMENTO!$AF$11)),
         0)</f>
        <v>0</v>
      </c>
      <c r="AZ56" s="453">
        <f ca="1">IF(AND($D56="Serviço",AZ$12&lt;&gt;0,$H56&gt;0,OR(AUTOEVENTO&lt;&gt;"manual",$M56&lt;&gt;$A$15)),
        IF(Import.TipoArredondamento&lt;&gt;"TransfereGOV",
              ROUND(OFFSET($P56,0,AZ$13),15-13*ORÇAMENTO!$AF$7)/$H56*OFFSET(ORÇAMENTO!$X$15,ROW(AZ56)-ROW(AZ$15),0),
              ROUND(ROUND(OFFSET($P56,0,AZ$13),15-13*ORÇAMENTO!$AF$7)*OFFSET(ORÇAMENTO!$W$15,ROW(AZ56)-ROW(AZ$15),0),15-13*ORÇAMENTO!$AF$11)),
         0)</f>
        <v>0</v>
      </c>
      <c r="BA56" s="453">
        <f ca="1">IF(AND($D56="Serviço",BA$12&lt;&gt;0,$H56&gt;0,OR(AUTOEVENTO&lt;&gt;"manual",$M56&lt;&gt;$A$15)),
        IF(Import.TipoArredondamento&lt;&gt;"TransfereGOV",
              ROUND(OFFSET($P56,0,BA$13),15-13*ORÇAMENTO!$AF$7)/$H56*OFFSET(ORÇAMENTO!$X$15,ROW(BA56)-ROW(BA$15),0),
              ROUND(ROUND(OFFSET($P56,0,BA$13),15-13*ORÇAMENTO!$AF$7)*OFFSET(ORÇAMENTO!$W$15,ROW(BA56)-ROW(BA$15),0),15-13*ORÇAMENTO!$AF$11)),
         0)</f>
        <v>0</v>
      </c>
      <c r="BC56" s="171">
        <f ca="1">IF(OR($D56&lt;&gt;"Serviço",AND(AUTOEVENTO="Manual",$M56=$A$15)),0,
         IF(OFFSET(CRONOPLE!$F$15,$M56-$A$15,BC$13)=0,10^12,OFFSET(CRONOPLE!$F$15,$M56-$A$15,BC$13)))</f>
        <v>1000000000000</v>
      </c>
      <c r="BD56" s="171">
        <f ca="1">IF(OR($D56&lt;&gt;"Serviço",AND(AUTOEVENTO="Manual",$M56=$A$15)),0,
         IF(OFFSET(CRONOPLE!$F$15,$M56-$A$15,BD$13)=0,10^12,OFFSET(CRONOPLE!$F$15,$M56-$A$15,BD$13)))</f>
        <v>1000000000000</v>
      </c>
      <c r="BE56" s="171">
        <f ca="1">IF(OR($D56&lt;&gt;"Serviço",AND(AUTOEVENTO="Manual",$M56=$A$15)),0,
         IF(OFFSET(CRONOPLE!$F$15,$M56-$A$15,BE$13)=0,10^12,OFFSET(CRONOPLE!$F$15,$M56-$A$15,BE$13)))</f>
        <v>1</v>
      </c>
      <c r="BF56" s="171">
        <f ca="1">IF(OR($D56&lt;&gt;"Serviço",AND(AUTOEVENTO="Manual",$M56=$A$15)),0,
         IF(OFFSET(CRONOPLE!$F$15,$M56-$A$15,BF$13)=0,10^12,OFFSET(CRONOPLE!$F$15,$M56-$A$15,BF$13)))</f>
        <v>1000000000000</v>
      </c>
      <c r="BG56" s="171">
        <f ca="1">IF(OR($D56&lt;&gt;"Serviço",AND(AUTOEVENTO="Manual",$M56=$A$15)),0,
         IF(OFFSET(CRONOPLE!$F$15,$M56-$A$15,BG$13)=0,10^12,OFFSET(CRONOPLE!$F$15,$M56-$A$15,BG$13)))</f>
        <v>1000000000000</v>
      </c>
      <c r="BH56" s="171">
        <f ca="1">IF(OR($D56&lt;&gt;"Serviço",AND(AUTOEVENTO="Manual",$M56=$A$15)),0,
         IF(OFFSET(CRONOPLE!$F$15,$M56-$A$15,BH$13)=0,10^12,OFFSET(CRONOPLE!$F$15,$M56-$A$15,BH$13)))</f>
        <v>1000000000000</v>
      </c>
      <c r="BI56" s="171">
        <f ca="1">IF(OR($D56&lt;&gt;"Serviço",AND(AUTOEVENTO="Manual",$M56=$A$15)),0,
         IF(OFFSET(CRONOPLE!$F$15,$M56-$A$15,BI$13)=0,10^12,OFFSET(CRONOPLE!$F$15,$M56-$A$15,BI$13)))</f>
        <v>1000000000000</v>
      </c>
      <c r="BJ56" s="171">
        <f ca="1">IF(OR($D56&lt;&gt;"Serviço",AND(AUTOEVENTO="Manual",$M56=$A$15)),0,
         IF(OFFSET(CRONOPLE!$F$15,$M56-$A$15,BJ$13)=0,10^12,OFFSET(CRONOPLE!$F$15,$M56-$A$15,BJ$13)))</f>
        <v>1000000000000</v>
      </c>
      <c r="BK56" s="171">
        <f ca="1">IF(OR($D56&lt;&gt;"Serviço",AND(AUTOEVENTO="Manual",$M56=$A$15)),0,
         IF(OFFSET(CRONOPLE!$F$15,$M56-$A$15,BK$13)=0,10^12,OFFSET(CRONOPLE!$F$15,$M56-$A$15,BK$13)))</f>
        <v>1000000000000</v>
      </c>
      <c r="BL56" s="171">
        <f ca="1">IF(OR($D56&lt;&gt;"Serviço",AND(AUTOEVENTO="Manual",$M56=$A$15)),0,
         IF(OFFSET(CRONOPLE!$F$15,$M56-$A$15,BL$13)=0,10^12,OFFSET(CRONOPLE!$F$15,$M56-$A$15,BL$13)))</f>
        <v>1000000000000</v>
      </c>
      <c r="BM56" s="171">
        <f ca="1">IF(OR($D56&lt;&gt;"Serviço",AND(AUTOEVENTO="Manual",$M56=$A$15)),0,
         IF(OFFSET(CRONOPLE!$F$15,$M56-$A$15,BM$13)=0,10^12,OFFSET(CRONOPLE!$F$15,$M56-$A$15,BM$13)))</f>
        <v>1000000000000</v>
      </c>
      <c r="BN56" s="171">
        <f ca="1">IF(OR($D56&lt;&gt;"Serviço",AND(AUTOEVENTO="Manual",$M56=$A$15)),0,
         IF(OFFSET(CRONOPLE!$F$15,$M56-$A$15,BN$13)=0,10^12,OFFSET(CRONOPLE!$F$15,$M56-$A$15,BN$13)))</f>
        <v>1000000000000</v>
      </c>
      <c r="BO56" s="171">
        <f ca="1">IF(OR($D56&lt;&gt;"Serviço",AND(AUTOEVENTO="Manual",$M56=$A$15)),0,
         IF(OFFSET(CRONOPLE!$F$15,$M56-$A$15,BO$13)=0,10^12,OFFSET(CRONOPLE!$F$15,$M56-$A$15,BO$13)))</f>
        <v>1000000000000</v>
      </c>
      <c r="BP56" s="171">
        <f ca="1">IF(OR($D56&lt;&gt;"Serviço",AND(AUTOEVENTO="Manual",$M56=$A$15)),0,
         IF(OFFSET(CRONOPLE!$F$15,$M56-$A$15,BP$13)=0,10^12,OFFSET(CRONOPLE!$F$15,$M56-$A$15,BP$13)))</f>
        <v>3</v>
      </c>
      <c r="BQ56" s="171">
        <f ca="1">IF(OR($D56&lt;&gt;"Serviço",AND(AUTOEVENTO="Manual",$M56=$A$15)),0,
         IF(OFFSET(CRONOPLE!$F$15,$M56-$A$15,BQ$13)=0,10^12,OFFSET(CRONOPLE!$F$15,$M56-$A$15,BQ$13)))</f>
        <v>1000000000000</v>
      </c>
      <c r="BR56" s="171">
        <f ca="1">IF(OR($D56&lt;&gt;"Serviço",AND(AUTOEVENTO="Manual",$M56=$A$15)),0,
         IF(OFFSET(CRONOPLE!$F$15,$M56-$A$15,BR$13)=0,10^12,OFFSET(CRONOPLE!$F$15,$M56-$A$15,BR$13)))</f>
        <v>1000000000000</v>
      </c>
      <c r="BS56" s="171">
        <f ca="1">IF(OR($D56&lt;&gt;"Serviço",AND(AUTOEVENTO="Manual",$M56=$A$15)),0,
         IF(OFFSET(CRONOPLE!$F$15,$M56-$A$15,BS$13)=0,10^12,OFFSET(CRONOPLE!$F$15,$M56-$A$15,BS$13)))</f>
        <v>1000000000000</v>
      </c>
      <c r="BT56" s="171">
        <f ca="1">IF(OR($D56&lt;&gt;"Serviço",AND(AUTOEVENTO="Manual",$M56=$A$15)),0,
         IF(OFFSET(CRONOPLE!$F$15,$M56-$A$15,BT$13)=0,10^12,OFFSET(CRONOPLE!$F$15,$M56-$A$15,BT$13)))</f>
        <v>1000000000000</v>
      </c>
      <c r="BV56" s="172">
        <f ca="1">IF(OR($D56&lt;&gt;"Serviço",AND(AUTOEVENTO="Manual",$M56=$A$15),$M56&gt;(ROW(PLE.lastrow)-ROW(PLE.firstrow))),0,
           IF(OFFSET(PLE!$G$15,$M56-$A$15,BV$13)="",10^12,OFFSET(PLE!$G$15,$M56-$A$15,BV$13)))</f>
        <v>1000000000000</v>
      </c>
      <c r="BW56" s="172">
        <f ca="1">IF(OR($D56&lt;&gt;"Serviço",AND(AUTOEVENTO="Manual",$M56=$A$15),$M56&gt;(ROW(PLE.lastrow)-ROW(PLE.firstrow))),0,
           IF(OFFSET(PLE!$G$15,$M56-$A$15,BW$13)="",10^12,OFFSET(PLE!$G$15,$M56-$A$15,BW$13)))</f>
        <v>1000000000000</v>
      </c>
      <c r="BX56" s="172">
        <f ca="1">IF(OR($D56&lt;&gt;"Serviço",AND(AUTOEVENTO="Manual",$M56=$A$15),$M56&gt;(ROW(PLE.lastrow)-ROW(PLE.firstrow))),0,
           IF(OFFSET(PLE!$G$15,$M56-$A$15,BX$13)="",10^12,OFFSET(PLE!$G$15,$M56-$A$15,BX$13)))</f>
        <v>1000000000000</v>
      </c>
      <c r="BY56" s="172">
        <f ca="1">IF(OR($D56&lt;&gt;"Serviço",AND(AUTOEVENTO="Manual",$M56=$A$15),$M56&gt;(ROW(PLE.lastrow)-ROW(PLE.firstrow))),0,
           IF(OFFSET(PLE!$G$15,$M56-$A$15,BY$13)="",10^12,OFFSET(PLE!$G$15,$M56-$A$15,BY$13)))</f>
        <v>1000000000000</v>
      </c>
      <c r="BZ56" s="172">
        <f ca="1">IF(OR($D56&lt;&gt;"Serviço",AND(AUTOEVENTO="Manual",$M56=$A$15),$M56&gt;(ROW(PLE.lastrow)-ROW(PLE.firstrow))),0,
           IF(OFFSET(PLE!$G$15,$M56-$A$15,BZ$13)="",10^12,OFFSET(PLE!$G$15,$M56-$A$15,BZ$13)))</f>
        <v>1000000000000</v>
      </c>
      <c r="CA56" s="172">
        <f ca="1">IF(OR($D56&lt;&gt;"Serviço",AND(AUTOEVENTO="Manual",$M56=$A$15),$M56&gt;(ROW(PLE.lastrow)-ROW(PLE.firstrow))),0,
           IF(OFFSET(PLE!$G$15,$M56-$A$15,CA$13)="",10^12,OFFSET(PLE!$G$15,$M56-$A$15,CA$13)))</f>
        <v>1000000000000</v>
      </c>
      <c r="CB56" s="172">
        <f ca="1">IF(OR($D56&lt;&gt;"Serviço",AND(AUTOEVENTO="Manual",$M56=$A$15),$M56&gt;(ROW(PLE.lastrow)-ROW(PLE.firstrow))),0,
           IF(OFFSET(PLE!$G$15,$M56-$A$15,CB$13)="",10^12,OFFSET(PLE!$G$15,$M56-$A$15,CB$13)))</f>
        <v>1000000000000</v>
      </c>
      <c r="CC56" s="172">
        <f ca="1">IF(OR($D56&lt;&gt;"Serviço",AND(AUTOEVENTO="Manual",$M56=$A$15),$M56&gt;(ROW(PLE.lastrow)-ROW(PLE.firstrow))),0,
           IF(OFFSET(PLE!$G$15,$M56-$A$15,CC$13)="",10^12,OFFSET(PLE!$G$15,$M56-$A$15,CC$13)))</f>
        <v>1000000000000</v>
      </c>
      <c r="CD56" s="172">
        <f ca="1">IF(OR($D56&lt;&gt;"Serviço",AND(AUTOEVENTO="Manual",$M56=$A$15),$M56&gt;(ROW(PLE.lastrow)-ROW(PLE.firstrow))),0,
           IF(OFFSET(PLE!$G$15,$M56-$A$15,CD$13)="",10^12,OFFSET(PLE!$G$15,$M56-$A$15,CD$13)))</f>
        <v>1000000000000</v>
      </c>
      <c r="CE56" s="172">
        <f ca="1">IF(OR($D56&lt;&gt;"Serviço",AND(AUTOEVENTO="Manual",$M56=$A$15),$M56&gt;(ROW(PLE.lastrow)-ROW(PLE.firstrow))),0,
           IF(OFFSET(PLE!$G$15,$M56-$A$15,CE$13)="",10^12,OFFSET(PLE!$G$15,$M56-$A$15,CE$13)))</f>
        <v>1000000000000</v>
      </c>
      <c r="CF56" s="172">
        <f ca="1">IF(OR($D56&lt;&gt;"Serviço",AND(AUTOEVENTO="Manual",$M56=$A$15),$M56&gt;(ROW(PLE.lastrow)-ROW(PLE.firstrow))),0,
           IF(OFFSET(PLE!$G$15,$M56-$A$15,CF$13)="",10^12,OFFSET(PLE!$G$15,$M56-$A$15,CF$13)))</f>
        <v>1000000000000</v>
      </c>
      <c r="CG56" s="172">
        <f ca="1">IF(OR($D56&lt;&gt;"Serviço",AND(AUTOEVENTO="Manual",$M56=$A$15),$M56&gt;(ROW(PLE.lastrow)-ROW(PLE.firstrow))),0,
           IF(OFFSET(PLE!$G$15,$M56-$A$15,CG$13)="",10^12,OFFSET(PLE!$G$15,$M56-$A$15,CG$13)))</f>
        <v>1000000000000</v>
      </c>
      <c r="CH56" s="172">
        <f ca="1">IF(OR($D56&lt;&gt;"Serviço",AND(AUTOEVENTO="Manual",$M56=$A$15),$M56&gt;(ROW(PLE.lastrow)-ROW(PLE.firstrow))),0,
           IF(OFFSET(PLE!$G$15,$M56-$A$15,CH$13)="",10^12,OFFSET(PLE!$G$15,$M56-$A$15,CH$13)))</f>
        <v>1000000000000</v>
      </c>
      <c r="CI56" s="172">
        <f ca="1">IF(OR($D56&lt;&gt;"Serviço",AND(AUTOEVENTO="Manual",$M56=$A$15),$M56&gt;(ROW(PLE.lastrow)-ROW(PLE.firstrow))),0,
           IF(OFFSET(PLE!$G$15,$M56-$A$15,CI$13)="",10^12,OFFSET(PLE!$G$15,$M56-$A$15,CI$13)))</f>
        <v>1000000000000</v>
      </c>
      <c r="CJ56" s="172">
        <f ca="1">IF(OR($D56&lt;&gt;"Serviço",AND(AUTOEVENTO="Manual",$M56=$A$15),$M56&gt;(ROW(PLE.lastrow)-ROW(PLE.firstrow))),0,
           IF(OFFSET(PLE!$G$15,$M56-$A$15,CJ$13)="",10^12,OFFSET(PLE!$G$15,$M56-$A$15,CJ$13)))</f>
        <v>1000000000000</v>
      </c>
      <c r="CK56" s="172">
        <f ca="1">IF(OR($D56&lt;&gt;"Serviço",AND(AUTOEVENTO="Manual",$M56=$A$15),$M56&gt;(ROW(PLE.lastrow)-ROW(PLE.firstrow))),0,
           IF(OFFSET(PLE!$G$15,$M56-$A$15,CK$13)="",10^12,OFFSET(PLE!$G$15,$M56-$A$15,CK$13)))</f>
        <v>1000000000000</v>
      </c>
      <c r="CL56" s="172">
        <f ca="1">IF(OR($D56&lt;&gt;"Serviço",AND(AUTOEVENTO="Manual",$M56=$A$15),$M56&gt;(ROW(PLE.lastrow)-ROW(PLE.firstrow))),0,
           IF(OFFSET(PLE!$G$15,$M56-$A$15,CL$13)="",10^12,OFFSET(PLE!$G$15,$M56-$A$15,CL$13)))</f>
        <v>1000000000000</v>
      </c>
      <c r="CM56" s="172">
        <f ca="1">IF(OR($D56&lt;&gt;"Serviço",AND(AUTOEVENTO="Manual",$M56=$A$15),$M56&gt;(ROW(PLE.lastrow)-ROW(PLE.firstrow))),0,
           IF(OFFSET(PLE!$G$15,$M56-$A$15,CM$13)="",10^12,OFFSET(PLE!$G$15,$M56-$A$15,CM$13)))</f>
        <v>1000000000000</v>
      </c>
    </row>
    <row r="57" spans="1:91" ht="26.4" x14ac:dyDescent="0.25">
      <c r="A57" s="7" t="str">
        <f t="shared" ca="1" si="11"/>
        <v>42.</v>
      </c>
      <c r="B57" s="7">
        <f ca="1">OFFSET(ORÇAMENTO!C$15,ROW(B57)-ROW(B$15),0)</f>
        <v>1</v>
      </c>
      <c r="C57" s="7" t="str">
        <f ca="1">OFFSET(ORÇAMENTO!L$15,ROW(C57)-ROW(C$15),0)</f>
        <v>F</v>
      </c>
      <c r="D57" s="116" t="str">
        <f ca="1">OFFSET(ORÇAMENTO!N$15,ROW(D57)-ROW(D$15),0)</f>
        <v>Meta</v>
      </c>
      <c r="E57" s="117" t="str">
        <f ca="1">OFFSET(ORÇAMENTO!O$15,ROW(E57)-ROW(E$15),0)</f>
        <v>2.</v>
      </c>
      <c r="F57" s="163" t="str">
        <f ca="1">OFFSET(ORÇAMENTO!R$15,ROW(F57)-ROW(F$15),0)</f>
        <v>REPERFILAMENTO EM CBUQ SOBRE CALÇAMENTO ESTRADA DE ACESSO À SANGA DO LEÃO (TRECHO 3)</v>
      </c>
      <c r="G57" s="164" t="str">
        <f ca="1">IF($D57&lt;&gt;"Serviço","",OFFSET(ORÇAMENTO!S$15,ROW(G57)-ROW(G$15),0))</f>
        <v/>
      </c>
      <c r="H57" s="122" cm="1">
        <f t="array" aca="1" ref="H57" ca="1">IF($D57&lt;&gt;"Serviço",0,IF(ACOMPANHAMENTO="BM",ROUND(OFFSET(ORÇAMENTO!AJ$15,ROW(H57)-ROW(H$15),0),15-13*ORÇAMENTO!$AF$7),SUMPRODUCT(($Q$1:$AI$1=1)*ROUND($Q57:$AI57,15-13*ORÇAMENTO!$AF$7))))</f>
        <v>0</v>
      </c>
      <c r="I57" s="468"/>
      <c r="J57" s="651" t="str" cm="1">
        <f t="array" aca="1" ref="J57" ca="1">IF(OR(B57&lt;&gt;"S",CÁLCULO.FrentesPreenchidas=0),"",IF(AND(ACOMPANHAMENTO="PLE",AUTOEVENTO="Manual",OR(H57&gt;0,ORÇAMENTO!AC57="QUANT."),OR(K57="",M57=0,N57="")),"►E",IF(AND(ACOMPANHAMENTO="PLE",ORÇAMENTO!AC57="QUANT."),"►Q",IF(AND(ACOMPANHAMENTO="PLE",H57&lt;&gt;SUMPRODUCT(($Q$1:$AI$1=1)*ROUND(Q57:AI57,15))),"►S",IF(AND(COUNTIF($P$11:$AI$11,"▼")=0,H57&gt;0,I57=""),"◄M","")))))</f>
        <v/>
      </c>
      <c r="K57" s="652"/>
      <c r="L57" s="165" t="s">
        <v>764</v>
      </c>
      <c r="M57" s="166" t="str">
        <f ca="1">IF($D57&lt;&gt;"Serviço","",
          IF(AUTOEVENTO="manual",$A57,
                IF(ISERROR(MATCH($A57,$A$15:OFFSET($A57,-1,0),0)),MAX($M$15:OFFSET(M57,-1,0))+1,
                      INDEX($M$15:OFFSET(M57,-1,0),MATCH($A57,$A$15:OFFSET($A57,-1,0),0)))))</f>
        <v/>
      </c>
      <c r="N57" s="167" t="str">
        <f ca="1">IF($D57&lt;&gt;"Serviço","",
         IF(AUTOEVENTO="Manual",
                IF($A57=0,"&lt;-- defina o número do agrupador",
                       OFFSET(EVENTOS!$D$15,$A57-$A$15,0)),
                OFFSET($F$15,$A57,0)))</f>
        <v/>
      </c>
      <c r="O57" s="168"/>
      <c r="Q57" s="168"/>
      <c r="R57" s="169"/>
      <c r="S57" s="169"/>
      <c r="T57" s="169"/>
      <c r="U57" s="169"/>
      <c r="V57" s="169"/>
      <c r="W57" s="169"/>
      <c r="X57" s="169"/>
      <c r="Y57" s="169"/>
      <c r="Z57" s="170"/>
      <c r="AA57" s="169"/>
      <c r="AB57" s="169"/>
      <c r="AC57" s="169"/>
      <c r="AD57" s="169"/>
      <c r="AE57" s="169"/>
      <c r="AF57" s="169"/>
      <c r="AG57" s="169"/>
      <c r="AH57" s="170"/>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L57" s="453">
        <f ca="1">IF(AND($D57="Serviço",AL$12&lt;&gt;0,$H57&gt;0,OR(AUTOEVENTO&lt;&gt;"manual",$M57&lt;&gt;$A$15)),
        IF(Import.TipoArredondamento&lt;&gt;"TransfereGOV",
              ROUND(OFFSET($P57,0,AL$13),15-13*ORÇAMENTO!$AF$7)/$H57*OFFSET(ORÇAMENTO!$X$15,ROW(AL57)-ROW(AL$15),0),
              ROUND(ROUND(OFFSET($P57,0,AL$13),15-13*ORÇAMENTO!$AF$7)*OFFSET(ORÇAMENTO!$W$15,ROW(AL57)-ROW(AL$15),0),15-13*ORÇAMENTO!$AF$11)),
         0)</f>
        <v>0</v>
      </c>
      <c r="AM57" s="453">
        <f ca="1">IF(AND($D57="Serviço",AM$12&lt;&gt;0,$H57&gt;0,OR(AUTOEVENTO&lt;&gt;"manual",$M57&lt;&gt;$A$15)),
        IF(Import.TipoArredondamento&lt;&gt;"TransfereGOV",
              ROUND(OFFSET($P57,0,AM$13),15-13*ORÇAMENTO!$AF$7)/$H57*OFFSET(ORÇAMENTO!$X$15,ROW(AM57)-ROW(AM$15),0),
              ROUND(ROUND(OFFSET($P57,0,AM$13),15-13*ORÇAMENTO!$AF$7)*OFFSET(ORÇAMENTO!$W$15,ROW(AM57)-ROW(AM$15),0),15-13*ORÇAMENTO!$AF$11)),
         0)</f>
        <v>0</v>
      </c>
      <c r="AN57" s="453">
        <f ca="1">IF(AND($D57="Serviço",AN$12&lt;&gt;0,$H57&gt;0,OR(AUTOEVENTO&lt;&gt;"manual",$M57&lt;&gt;$A$15)),
        IF(Import.TipoArredondamento&lt;&gt;"TransfereGOV",
              ROUND(OFFSET($P57,0,AN$13),15-13*ORÇAMENTO!$AF$7)/$H57*OFFSET(ORÇAMENTO!$X$15,ROW(AN57)-ROW(AN$15),0),
              ROUND(ROUND(OFFSET($P57,0,AN$13),15-13*ORÇAMENTO!$AF$7)*OFFSET(ORÇAMENTO!$W$15,ROW(AN57)-ROW(AN$15),0),15-13*ORÇAMENTO!$AF$11)),
         0)</f>
        <v>0</v>
      </c>
      <c r="AO57" s="453">
        <f ca="1">IF(AND($D57="Serviço",AO$12&lt;&gt;0,$H57&gt;0,OR(AUTOEVENTO&lt;&gt;"manual",$M57&lt;&gt;$A$15)),
        IF(Import.TipoArredondamento&lt;&gt;"TransfereGOV",
              ROUND(OFFSET($P57,0,AO$13),15-13*ORÇAMENTO!$AF$7)/$H57*OFFSET(ORÇAMENTO!$X$15,ROW(AO57)-ROW(AO$15),0),
              ROUND(ROUND(OFFSET($P57,0,AO$13),15-13*ORÇAMENTO!$AF$7)*OFFSET(ORÇAMENTO!$W$15,ROW(AO57)-ROW(AO$15),0),15-13*ORÇAMENTO!$AF$11)),
         0)</f>
        <v>0</v>
      </c>
      <c r="AP57" s="453">
        <f ca="1">IF(AND($D57="Serviço",AP$12&lt;&gt;0,$H57&gt;0,OR(AUTOEVENTO&lt;&gt;"manual",$M57&lt;&gt;$A$15)),
        IF(Import.TipoArredondamento&lt;&gt;"TransfereGOV",
              ROUND(OFFSET($P57,0,AP$13),15-13*ORÇAMENTO!$AF$7)/$H57*OFFSET(ORÇAMENTO!$X$15,ROW(AP57)-ROW(AP$15),0),
              ROUND(ROUND(OFFSET($P57,0,AP$13),15-13*ORÇAMENTO!$AF$7)*OFFSET(ORÇAMENTO!$W$15,ROW(AP57)-ROW(AP$15),0),15-13*ORÇAMENTO!$AF$11)),
         0)</f>
        <v>0</v>
      </c>
      <c r="AQ57" s="453">
        <f ca="1">IF(AND($D57="Serviço",AQ$12&lt;&gt;0,$H57&gt;0,OR(AUTOEVENTO&lt;&gt;"manual",$M57&lt;&gt;$A$15)),
        IF(Import.TipoArredondamento&lt;&gt;"TransfereGOV",
              ROUND(OFFSET($P57,0,AQ$13),15-13*ORÇAMENTO!$AF$7)/$H57*OFFSET(ORÇAMENTO!$X$15,ROW(AQ57)-ROW(AQ$15),0),
              ROUND(ROUND(OFFSET($P57,0,AQ$13),15-13*ORÇAMENTO!$AF$7)*OFFSET(ORÇAMENTO!$W$15,ROW(AQ57)-ROW(AQ$15),0),15-13*ORÇAMENTO!$AF$11)),
         0)</f>
        <v>0</v>
      </c>
      <c r="AR57" s="453">
        <f ca="1">IF(AND($D57="Serviço",AR$12&lt;&gt;0,$H57&gt;0,OR(AUTOEVENTO&lt;&gt;"manual",$M57&lt;&gt;$A$15)),
        IF(Import.TipoArredondamento&lt;&gt;"TransfereGOV",
              ROUND(OFFSET($P57,0,AR$13),15-13*ORÇAMENTO!$AF$7)/$H57*OFFSET(ORÇAMENTO!$X$15,ROW(AR57)-ROW(AR$15),0),
              ROUND(ROUND(OFFSET($P57,0,AR$13),15-13*ORÇAMENTO!$AF$7)*OFFSET(ORÇAMENTO!$W$15,ROW(AR57)-ROW(AR$15),0),15-13*ORÇAMENTO!$AF$11)),
         0)</f>
        <v>0</v>
      </c>
      <c r="AS57" s="453">
        <f ca="1">IF(AND($D57="Serviço",AS$12&lt;&gt;0,$H57&gt;0,OR(AUTOEVENTO&lt;&gt;"manual",$M57&lt;&gt;$A$15)),
        IF(Import.TipoArredondamento&lt;&gt;"TransfereGOV",
              ROUND(OFFSET($P57,0,AS$13),15-13*ORÇAMENTO!$AF$7)/$H57*OFFSET(ORÇAMENTO!$X$15,ROW(AS57)-ROW(AS$15),0),
              ROUND(ROUND(OFFSET($P57,0,AS$13),15-13*ORÇAMENTO!$AF$7)*OFFSET(ORÇAMENTO!$W$15,ROW(AS57)-ROW(AS$15),0),15-13*ORÇAMENTO!$AF$11)),
         0)</f>
        <v>0</v>
      </c>
      <c r="AT57" s="453">
        <f ca="1">IF(AND($D57="Serviço",AT$12&lt;&gt;0,$H57&gt;0,OR(AUTOEVENTO&lt;&gt;"manual",$M57&lt;&gt;$A$15)),
        IF(Import.TipoArredondamento&lt;&gt;"TransfereGOV",
              ROUND(OFFSET($P57,0,AT$13),15-13*ORÇAMENTO!$AF$7)/$H57*OFFSET(ORÇAMENTO!$X$15,ROW(AT57)-ROW(AT$15),0),
              ROUND(ROUND(OFFSET($P57,0,AT$13),15-13*ORÇAMENTO!$AF$7)*OFFSET(ORÇAMENTO!$W$15,ROW(AT57)-ROW(AT$15),0),15-13*ORÇAMENTO!$AF$11)),
         0)</f>
        <v>0</v>
      </c>
      <c r="AU57" s="453">
        <f ca="1">IF(AND($D57="Serviço",AU$12&lt;&gt;0,$H57&gt;0,OR(AUTOEVENTO&lt;&gt;"manual",$M57&lt;&gt;$A$15)),
        IF(Import.TipoArredondamento&lt;&gt;"TransfereGOV",
              ROUND(OFFSET($P57,0,AU$13),15-13*ORÇAMENTO!$AF$7)/$H57*OFFSET(ORÇAMENTO!$X$15,ROW(AU57)-ROW(AU$15),0),
              ROUND(ROUND(OFFSET($P57,0,AU$13),15-13*ORÇAMENTO!$AF$7)*OFFSET(ORÇAMENTO!$W$15,ROW(AU57)-ROW(AU$15),0),15-13*ORÇAMENTO!$AF$11)),
         0)</f>
        <v>0</v>
      </c>
      <c r="AV57" s="453">
        <f ca="1">IF(AND($D57="Serviço",AV$12&lt;&gt;0,$H57&gt;0,OR(AUTOEVENTO&lt;&gt;"manual",$M57&lt;&gt;$A$15)),
        IF(Import.TipoArredondamento&lt;&gt;"TransfereGOV",
              ROUND(OFFSET($P57,0,AV$13),15-13*ORÇAMENTO!$AF$7)/$H57*OFFSET(ORÇAMENTO!$X$15,ROW(AV57)-ROW(AV$15),0),
              ROUND(ROUND(OFFSET($P57,0,AV$13),15-13*ORÇAMENTO!$AF$7)*OFFSET(ORÇAMENTO!$W$15,ROW(AV57)-ROW(AV$15),0),15-13*ORÇAMENTO!$AF$11)),
         0)</f>
        <v>0</v>
      </c>
      <c r="AW57" s="453">
        <f ca="1">IF(AND($D57="Serviço",AW$12&lt;&gt;0,$H57&gt;0,OR(AUTOEVENTO&lt;&gt;"manual",$M57&lt;&gt;$A$15)),
        IF(Import.TipoArredondamento&lt;&gt;"TransfereGOV",
              ROUND(OFFSET($P57,0,AW$13),15-13*ORÇAMENTO!$AF$7)/$H57*OFFSET(ORÇAMENTO!$X$15,ROW(AW57)-ROW(AW$15),0),
              ROUND(ROUND(OFFSET($P57,0,AW$13),15-13*ORÇAMENTO!$AF$7)*OFFSET(ORÇAMENTO!$W$15,ROW(AW57)-ROW(AW$15),0),15-13*ORÇAMENTO!$AF$11)),
         0)</f>
        <v>0</v>
      </c>
      <c r="AX57" s="453">
        <f ca="1">IF(AND($D57="Serviço",AX$12&lt;&gt;0,$H57&gt;0,OR(AUTOEVENTO&lt;&gt;"manual",$M57&lt;&gt;$A$15)),
        IF(Import.TipoArredondamento&lt;&gt;"TransfereGOV",
              ROUND(OFFSET($P57,0,AX$13),15-13*ORÇAMENTO!$AF$7)/$H57*OFFSET(ORÇAMENTO!$X$15,ROW(AX57)-ROW(AX$15),0),
              ROUND(ROUND(OFFSET($P57,0,AX$13),15-13*ORÇAMENTO!$AF$7)*OFFSET(ORÇAMENTO!$W$15,ROW(AX57)-ROW(AX$15),0),15-13*ORÇAMENTO!$AF$11)),
         0)</f>
        <v>0</v>
      </c>
      <c r="AY57" s="453">
        <f ca="1">IF(AND($D57="Serviço",AY$12&lt;&gt;0,$H57&gt;0,OR(AUTOEVENTO&lt;&gt;"manual",$M57&lt;&gt;$A$15)),
        IF(Import.TipoArredondamento&lt;&gt;"TransfereGOV",
              ROUND(OFFSET($P57,0,AY$13),15-13*ORÇAMENTO!$AF$7)/$H57*OFFSET(ORÇAMENTO!$X$15,ROW(AY57)-ROW(AY$15),0),
              ROUND(ROUND(OFFSET($P57,0,AY$13),15-13*ORÇAMENTO!$AF$7)*OFFSET(ORÇAMENTO!$W$15,ROW(AY57)-ROW(AY$15),0),15-13*ORÇAMENTO!$AF$11)),
         0)</f>
        <v>0</v>
      </c>
      <c r="AZ57" s="453">
        <f ca="1">IF(AND($D57="Serviço",AZ$12&lt;&gt;0,$H57&gt;0,OR(AUTOEVENTO&lt;&gt;"manual",$M57&lt;&gt;$A$15)),
        IF(Import.TipoArredondamento&lt;&gt;"TransfereGOV",
              ROUND(OFFSET($P57,0,AZ$13),15-13*ORÇAMENTO!$AF$7)/$H57*OFFSET(ORÇAMENTO!$X$15,ROW(AZ57)-ROW(AZ$15),0),
              ROUND(ROUND(OFFSET($P57,0,AZ$13),15-13*ORÇAMENTO!$AF$7)*OFFSET(ORÇAMENTO!$W$15,ROW(AZ57)-ROW(AZ$15),0),15-13*ORÇAMENTO!$AF$11)),
         0)</f>
        <v>0</v>
      </c>
      <c r="BA57" s="453">
        <f ca="1">IF(AND($D57="Serviço",BA$12&lt;&gt;0,$H57&gt;0,OR(AUTOEVENTO&lt;&gt;"manual",$M57&lt;&gt;$A$15)),
        IF(Import.TipoArredondamento&lt;&gt;"TransfereGOV",
              ROUND(OFFSET($P57,0,BA$13),15-13*ORÇAMENTO!$AF$7)/$H57*OFFSET(ORÇAMENTO!$X$15,ROW(BA57)-ROW(BA$15),0),
              ROUND(ROUND(OFFSET($P57,0,BA$13),15-13*ORÇAMENTO!$AF$7)*OFFSET(ORÇAMENTO!$W$15,ROW(BA57)-ROW(BA$15),0),15-13*ORÇAMENTO!$AF$11)),
         0)</f>
        <v>0</v>
      </c>
      <c r="BC57" s="171">
        <f ca="1">IF(OR($D57&lt;&gt;"Serviço",AND(AUTOEVENTO="Manual",$M57=$A$15)),0,
         IF(OFFSET(CRONOPLE!$F$15,$M57-$A$15,BC$13)=0,10^12,OFFSET(CRONOPLE!$F$15,$M57-$A$15,BC$13)))</f>
        <v>0</v>
      </c>
      <c r="BD57" s="171">
        <f ca="1">IF(OR($D57&lt;&gt;"Serviço",AND(AUTOEVENTO="Manual",$M57=$A$15)),0,
         IF(OFFSET(CRONOPLE!$F$15,$M57-$A$15,BD$13)=0,10^12,OFFSET(CRONOPLE!$F$15,$M57-$A$15,BD$13)))</f>
        <v>0</v>
      </c>
      <c r="BE57" s="171">
        <f ca="1">IF(OR($D57&lt;&gt;"Serviço",AND(AUTOEVENTO="Manual",$M57=$A$15)),0,
         IF(OFFSET(CRONOPLE!$F$15,$M57-$A$15,BE$13)=0,10^12,OFFSET(CRONOPLE!$F$15,$M57-$A$15,BE$13)))</f>
        <v>0</v>
      </c>
      <c r="BF57" s="171">
        <f ca="1">IF(OR($D57&lt;&gt;"Serviço",AND(AUTOEVENTO="Manual",$M57=$A$15)),0,
         IF(OFFSET(CRONOPLE!$F$15,$M57-$A$15,BF$13)=0,10^12,OFFSET(CRONOPLE!$F$15,$M57-$A$15,BF$13)))</f>
        <v>0</v>
      </c>
      <c r="BG57" s="171">
        <f ca="1">IF(OR($D57&lt;&gt;"Serviço",AND(AUTOEVENTO="Manual",$M57=$A$15)),0,
         IF(OFFSET(CRONOPLE!$F$15,$M57-$A$15,BG$13)=0,10^12,OFFSET(CRONOPLE!$F$15,$M57-$A$15,BG$13)))</f>
        <v>0</v>
      </c>
      <c r="BH57" s="171">
        <f ca="1">IF(OR($D57&lt;&gt;"Serviço",AND(AUTOEVENTO="Manual",$M57=$A$15)),0,
         IF(OFFSET(CRONOPLE!$F$15,$M57-$A$15,BH$13)=0,10^12,OFFSET(CRONOPLE!$F$15,$M57-$A$15,BH$13)))</f>
        <v>0</v>
      </c>
      <c r="BI57" s="171">
        <f ca="1">IF(OR($D57&lt;&gt;"Serviço",AND(AUTOEVENTO="Manual",$M57=$A$15)),0,
         IF(OFFSET(CRONOPLE!$F$15,$M57-$A$15,BI$13)=0,10^12,OFFSET(CRONOPLE!$F$15,$M57-$A$15,BI$13)))</f>
        <v>0</v>
      </c>
      <c r="BJ57" s="171">
        <f ca="1">IF(OR($D57&lt;&gt;"Serviço",AND(AUTOEVENTO="Manual",$M57=$A$15)),0,
         IF(OFFSET(CRONOPLE!$F$15,$M57-$A$15,BJ$13)=0,10^12,OFFSET(CRONOPLE!$F$15,$M57-$A$15,BJ$13)))</f>
        <v>0</v>
      </c>
      <c r="BK57" s="171">
        <f ca="1">IF(OR($D57&lt;&gt;"Serviço",AND(AUTOEVENTO="Manual",$M57=$A$15)),0,
         IF(OFFSET(CRONOPLE!$F$15,$M57-$A$15,BK$13)=0,10^12,OFFSET(CRONOPLE!$F$15,$M57-$A$15,BK$13)))</f>
        <v>0</v>
      </c>
      <c r="BL57" s="171">
        <f ca="1">IF(OR($D57&lt;&gt;"Serviço",AND(AUTOEVENTO="Manual",$M57=$A$15)),0,
         IF(OFFSET(CRONOPLE!$F$15,$M57-$A$15,BL$13)=0,10^12,OFFSET(CRONOPLE!$F$15,$M57-$A$15,BL$13)))</f>
        <v>0</v>
      </c>
      <c r="BM57" s="171">
        <f ca="1">IF(OR($D57&lt;&gt;"Serviço",AND(AUTOEVENTO="Manual",$M57=$A$15)),0,
         IF(OFFSET(CRONOPLE!$F$15,$M57-$A$15,BM$13)=0,10^12,OFFSET(CRONOPLE!$F$15,$M57-$A$15,BM$13)))</f>
        <v>0</v>
      </c>
      <c r="BN57" s="171">
        <f ca="1">IF(OR($D57&lt;&gt;"Serviço",AND(AUTOEVENTO="Manual",$M57=$A$15)),0,
         IF(OFFSET(CRONOPLE!$F$15,$M57-$A$15,BN$13)=0,10^12,OFFSET(CRONOPLE!$F$15,$M57-$A$15,BN$13)))</f>
        <v>0</v>
      </c>
      <c r="BO57" s="171">
        <f ca="1">IF(OR($D57&lt;&gt;"Serviço",AND(AUTOEVENTO="Manual",$M57=$A$15)),0,
         IF(OFFSET(CRONOPLE!$F$15,$M57-$A$15,BO$13)=0,10^12,OFFSET(CRONOPLE!$F$15,$M57-$A$15,BO$13)))</f>
        <v>0</v>
      </c>
      <c r="BP57" s="171">
        <f ca="1">IF(OR($D57&lt;&gt;"Serviço",AND(AUTOEVENTO="Manual",$M57=$A$15)),0,
         IF(OFFSET(CRONOPLE!$F$15,$M57-$A$15,BP$13)=0,10^12,OFFSET(CRONOPLE!$F$15,$M57-$A$15,BP$13)))</f>
        <v>0</v>
      </c>
      <c r="BQ57" s="171">
        <f ca="1">IF(OR($D57&lt;&gt;"Serviço",AND(AUTOEVENTO="Manual",$M57=$A$15)),0,
         IF(OFFSET(CRONOPLE!$F$15,$M57-$A$15,BQ$13)=0,10^12,OFFSET(CRONOPLE!$F$15,$M57-$A$15,BQ$13)))</f>
        <v>0</v>
      </c>
      <c r="BR57" s="171">
        <f ca="1">IF(OR($D57&lt;&gt;"Serviço",AND(AUTOEVENTO="Manual",$M57=$A$15)),0,
         IF(OFFSET(CRONOPLE!$F$15,$M57-$A$15,BR$13)=0,10^12,OFFSET(CRONOPLE!$F$15,$M57-$A$15,BR$13)))</f>
        <v>0</v>
      </c>
      <c r="BS57" s="171">
        <f ca="1">IF(OR($D57&lt;&gt;"Serviço",AND(AUTOEVENTO="Manual",$M57=$A$15)),0,
         IF(OFFSET(CRONOPLE!$F$15,$M57-$A$15,BS$13)=0,10^12,OFFSET(CRONOPLE!$F$15,$M57-$A$15,BS$13)))</f>
        <v>0</v>
      </c>
      <c r="BT57" s="171">
        <f ca="1">IF(OR($D57&lt;&gt;"Serviço",AND(AUTOEVENTO="Manual",$M57=$A$15)),0,
         IF(OFFSET(CRONOPLE!$F$15,$M57-$A$15,BT$13)=0,10^12,OFFSET(CRONOPLE!$F$15,$M57-$A$15,BT$13)))</f>
        <v>0</v>
      </c>
      <c r="BV57" s="172">
        <f ca="1">IF(OR($D57&lt;&gt;"Serviço",AND(AUTOEVENTO="Manual",$M57=$A$15),$M57&gt;(ROW(PLE.lastrow)-ROW(PLE.firstrow))),0,
           IF(OFFSET(PLE!$G$15,$M57-$A$15,BV$13)="",10^12,OFFSET(PLE!$G$15,$M57-$A$15,BV$13)))</f>
        <v>0</v>
      </c>
      <c r="BW57" s="172">
        <f ca="1">IF(OR($D57&lt;&gt;"Serviço",AND(AUTOEVENTO="Manual",$M57=$A$15),$M57&gt;(ROW(PLE.lastrow)-ROW(PLE.firstrow))),0,
           IF(OFFSET(PLE!$G$15,$M57-$A$15,BW$13)="",10^12,OFFSET(PLE!$G$15,$M57-$A$15,BW$13)))</f>
        <v>0</v>
      </c>
      <c r="BX57" s="172">
        <f ca="1">IF(OR($D57&lt;&gt;"Serviço",AND(AUTOEVENTO="Manual",$M57=$A$15),$M57&gt;(ROW(PLE.lastrow)-ROW(PLE.firstrow))),0,
           IF(OFFSET(PLE!$G$15,$M57-$A$15,BX$13)="",10^12,OFFSET(PLE!$G$15,$M57-$A$15,BX$13)))</f>
        <v>0</v>
      </c>
      <c r="BY57" s="172">
        <f ca="1">IF(OR($D57&lt;&gt;"Serviço",AND(AUTOEVENTO="Manual",$M57=$A$15),$M57&gt;(ROW(PLE.lastrow)-ROW(PLE.firstrow))),0,
           IF(OFFSET(PLE!$G$15,$M57-$A$15,BY$13)="",10^12,OFFSET(PLE!$G$15,$M57-$A$15,BY$13)))</f>
        <v>0</v>
      </c>
      <c r="BZ57" s="172">
        <f ca="1">IF(OR($D57&lt;&gt;"Serviço",AND(AUTOEVENTO="Manual",$M57=$A$15),$M57&gt;(ROW(PLE.lastrow)-ROW(PLE.firstrow))),0,
           IF(OFFSET(PLE!$G$15,$M57-$A$15,BZ$13)="",10^12,OFFSET(PLE!$G$15,$M57-$A$15,BZ$13)))</f>
        <v>0</v>
      </c>
      <c r="CA57" s="172">
        <f ca="1">IF(OR($D57&lt;&gt;"Serviço",AND(AUTOEVENTO="Manual",$M57=$A$15),$M57&gt;(ROW(PLE.lastrow)-ROW(PLE.firstrow))),0,
           IF(OFFSET(PLE!$G$15,$M57-$A$15,CA$13)="",10^12,OFFSET(PLE!$G$15,$M57-$A$15,CA$13)))</f>
        <v>0</v>
      </c>
      <c r="CB57" s="172">
        <f ca="1">IF(OR($D57&lt;&gt;"Serviço",AND(AUTOEVENTO="Manual",$M57=$A$15),$M57&gt;(ROW(PLE.lastrow)-ROW(PLE.firstrow))),0,
           IF(OFFSET(PLE!$G$15,$M57-$A$15,CB$13)="",10^12,OFFSET(PLE!$G$15,$M57-$A$15,CB$13)))</f>
        <v>0</v>
      </c>
      <c r="CC57" s="172">
        <f ca="1">IF(OR($D57&lt;&gt;"Serviço",AND(AUTOEVENTO="Manual",$M57=$A$15),$M57&gt;(ROW(PLE.lastrow)-ROW(PLE.firstrow))),0,
           IF(OFFSET(PLE!$G$15,$M57-$A$15,CC$13)="",10^12,OFFSET(PLE!$G$15,$M57-$A$15,CC$13)))</f>
        <v>0</v>
      </c>
      <c r="CD57" s="172">
        <f ca="1">IF(OR($D57&lt;&gt;"Serviço",AND(AUTOEVENTO="Manual",$M57=$A$15),$M57&gt;(ROW(PLE.lastrow)-ROW(PLE.firstrow))),0,
           IF(OFFSET(PLE!$G$15,$M57-$A$15,CD$13)="",10^12,OFFSET(PLE!$G$15,$M57-$A$15,CD$13)))</f>
        <v>0</v>
      </c>
      <c r="CE57" s="172">
        <f ca="1">IF(OR($D57&lt;&gt;"Serviço",AND(AUTOEVENTO="Manual",$M57=$A$15),$M57&gt;(ROW(PLE.lastrow)-ROW(PLE.firstrow))),0,
           IF(OFFSET(PLE!$G$15,$M57-$A$15,CE$13)="",10^12,OFFSET(PLE!$G$15,$M57-$A$15,CE$13)))</f>
        <v>0</v>
      </c>
      <c r="CF57" s="172">
        <f ca="1">IF(OR($D57&lt;&gt;"Serviço",AND(AUTOEVENTO="Manual",$M57=$A$15),$M57&gt;(ROW(PLE.lastrow)-ROW(PLE.firstrow))),0,
           IF(OFFSET(PLE!$G$15,$M57-$A$15,CF$13)="",10^12,OFFSET(PLE!$G$15,$M57-$A$15,CF$13)))</f>
        <v>0</v>
      </c>
      <c r="CG57" s="172">
        <f ca="1">IF(OR($D57&lt;&gt;"Serviço",AND(AUTOEVENTO="Manual",$M57=$A$15),$M57&gt;(ROW(PLE.lastrow)-ROW(PLE.firstrow))),0,
           IF(OFFSET(PLE!$G$15,$M57-$A$15,CG$13)="",10^12,OFFSET(PLE!$G$15,$M57-$A$15,CG$13)))</f>
        <v>0</v>
      </c>
      <c r="CH57" s="172">
        <f ca="1">IF(OR($D57&lt;&gt;"Serviço",AND(AUTOEVENTO="Manual",$M57=$A$15),$M57&gt;(ROW(PLE.lastrow)-ROW(PLE.firstrow))),0,
           IF(OFFSET(PLE!$G$15,$M57-$A$15,CH$13)="",10^12,OFFSET(PLE!$G$15,$M57-$A$15,CH$13)))</f>
        <v>0</v>
      </c>
      <c r="CI57" s="172">
        <f ca="1">IF(OR($D57&lt;&gt;"Serviço",AND(AUTOEVENTO="Manual",$M57=$A$15),$M57&gt;(ROW(PLE.lastrow)-ROW(PLE.firstrow))),0,
           IF(OFFSET(PLE!$G$15,$M57-$A$15,CI$13)="",10^12,OFFSET(PLE!$G$15,$M57-$A$15,CI$13)))</f>
        <v>0</v>
      </c>
      <c r="CJ57" s="172">
        <f ca="1">IF(OR($D57&lt;&gt;"Serviço",AND(AUTOEVENTO="Manual",$M57=$A$15),$M57&gt;(ROW(PLE.lastrow)-ROW(PLE.firstrow))),0,
           IF(OFFSET(PLE!$G$15,$M57-$A$15,CJ$13)="",10^12,OFFSET(PLE!$G$15,$M57-$A$15,CJ$13)))</f>
        <v>0</v>
      </c>
      <c r="CK57" s="172">
        <f ca="1">IF(OR($D57&lt;&gt;"Serviço",AND(AUTOEVENTO="Manual",$M57=$A$15),$M57&gt;(ROW(PLE.lastrow)-ROW(PLE.firstrow))),0,
           IF(OFFSET(PLE!$G$15,$M57-$A$15,CK$13)="",10^12,OFFSET(PLE!$G$15,$M57-$A$15,CK$13)))</f>
        <v>0</v>
      </c>
      <c r="CL57" s="172">
        <f ca="1">IF(OR($D57&lt;&gt;"Serviço",AND(AUTOEVENTO="Manual",$M57=$A$15),$M57&gt;(ROW(PLE.lastrow)-ROW(PLE.firstrow))),0,
           IF(OFFSET(PLE!$G$15,$M57-$A$15,CL$13)="",10^12,OFFSET(PLE!$G$15,$M57-$A$15,CL$13)))</f>
        <v>0</v>
      </c>
      <c r="CM57" s="172">
        <f ca="1">IF(OR($D57&lt;&gt;"Serviço",AND(AUTOEVENTO="Manual",$M57=$A$15),$M57&gt;(ROW(PLE.lastrow)-ROW(PLE.firstrow))),0,
           IF(OFFSET(PLE!$G$15,$M57-$A$15,CM$13)="",10^12,OFFSET(PLE!$G$15,$M57-$A$15,CM$13)))</f>
        <v>0</v>
      </c>
    </row>
    <row r="58" spans="1:91" ht="13.2" x14ac:dyDescent="0.25">
      <c r="A58" s="7" t="str">
        <f t="shared" ca="1" si="11"/>
        <v>43.</v>
      </c>
      <c r="B58" s="7">
        <f ca="1">OFFSET(ORÇAMENTO!C$15,ROW(B58)-ROW(B$15),0)</f>
        <v>2</v>
      </c>
      <c r="C58" s="7" t="str">
        <f ca="1">OFFSET(ORÇAMENTO!L$15,ROW(C58)-ROW(C$15),0)</f>
        <v>F</v>
      </c>
      <c r="D58" s="116" t="str">
        <f ca="1">OFFSET(ORÇAMENTO!N$15,ROW(D58)-ROW(D$15),0)</f>
        <v>Nível 2</v>
      </c>
      <c r="E58" s="117" t="str">
        <f ca="1">OFFSET(ORÇAMENTO!O$15,ROW(E58)-ROW(E$15),0)</f>
        <v>2.1.</v>
      </c>
      <c r="F58" s="163" t="str">
        <f ca="1">OFFSET(ORÇAMENTO!R$15,ROW(F58)-ROW(F$15),0)</f>
        <v>SERVIÇOS INICIAIS</v>
      </c>
      <c r="G58" s="164" t="str">
        <f ca="1">IF($D58&lt;&gt;"Serviço","",OFFSET(ORÇAMENTO!S$15,ROW(G58)-ROW(G$15),0))</f>
        <v/>
      </c>
      <c r="H58" s="122" cm="1">
        <f t="array" aca="1" ref="H58" ca="1">IF($D58&lt;&gt;"Serviço",0,IF(ACOMPANHAMENTO="BM",ROUND(OFFSET(ORÇAMENTO!AJ$15,ROW(H58)-ROW(H$15),0),15-13*ORÇAMENTO!$AF$7),SUMPRODUCT(($Q$1:$AI$1=1)*ROUND($Q58:$AI58,15-13*ORÇAMENTO!$AF$7))))</f>
        <v>0</v>
      </c>
      <c r="I58" s="468"/>
      <c r="J58" s="651" t="str" cm="1">
        <f t="array" aca="1" ref="J58" ca="1">IF(OR(B58&lt;&gt;"S",CÁLCULO.FrentesPreenchidas=0),"",IF(AND(ACOMPANHAMENTO="PLE",AUTOEVENTO="Manual",OR(H58&gt;0,ORÇAMENTO!AC58="QUANT."),OR(K58="",M58=0,N58="")),"►E",IF(AND(ACOMPANHAMENTO="PLE",ORÇAMENTO!AC58="QUANT."),"►Q",IF(AND(ACOMPANHAMENTO="PLE",H58&lt;&gt;SUMPRODUCT(($Q$1:$AI$1=1)*ROUND(Q58:AI58,15))),"►S",IF(AND(COUNTIF($P$11:$AI$11,"▼")=0,H58&gt;0,I58=""),"◄M","")))))</f>
        <v/>
      </c>
      <c r="K58" s="652"/>
      <c r="L58" s="165" t="s">
        <v>764</v>
      </c>
      <c r="M58" s="166" t="str">
        <f ca="1">IF($D58&lt;&gt;"Serviço","",
          IF(AUTOEVENTO="manual",$A58,
                IF(ISERROR(MATCH($A58,$A$15:OFFSET($A58,-1,0),0)),MAX($M$15:OFFSET(M58,-1,0))+1,
                      INDEX($M$15:OFFSET(M58,-1,0),MATCH($A58,$A$15:OFFSET($A58,-1,0),0)))))</f>
        <v/>
      </c>
      <c r="N58" s="167" t="str">
        <f ca="1">IF($D58&lt;&gt;"Serviço","",
         IF(AUTOEVENTO="Manual",
                IF($A58=0,"&lt;-- defina o número do agrupador",
                       OFFSET(EVENTOS!$D$15,$A58-$A$15,0)),
                OFFSET($F$15,$A58,0)))</f>
        <v/>
      </c>
      <c r="O58" s="168"/>
      <c r="Q58" s="168"/>
      <c r="R58" s="169"/>
      <c r="S58" s="169"/>
      <c r="T58" s="169"/>
      <c r="U58" s="169"/>
      <c r="V58" s="169"/>
      <c r="W58" s="169"/>
      <c r="X58" s="169"/>
      <c r="Y58" s="169"/>
      <c r="Z58" s="170"/>
      <c r="AA58" s="169"/>
      <c r="AB58" s="169"/>
      <c r="AC58" s="169"/>
      <c r="AD58" s="169"/>
      <c r="AE58" s="169"/>
      <c r="AF58" s="169"/>
      <c r="AG58" s="169"/>
      <c r="AH58" s="170"/>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L58" s="453">
        <f ca="1">IF(AND($D58="Serviço",AL$12&lt;&gt;0,$H58&gt;0,OR(AUTOEVENTO&lt;&gt;"manual",$M58&lt;&gt;$A$15)),
        IF(Import.TipoArredondamento&lt;&gt;"TransfereGOV",
              ROUND(OFFSET($P58,0,AL$13),15-13*ORÇAMENTO!$AF$7)/$H58*OFFSET(ORÇAMENTO!$X$15,ROW(AL58)-ROW(AL$15),0),
              ROUND(ROUND(OFFSET($P58,0,AL$13),15-13*ORÇAMENTO!$AF$7)*OFFSET(ORÇAMENTO!$W$15,ROW(AL58)-ROW(AL$15),0),15-13*ORÇAMENTO!$AF$11)),
         0)</f>
        <v>0</v>
      </c>
      <c r="AM58" s="453">
        <f ca="1">IF(AND($D58="Serviço",AM$12&lt;&gt;0,$H58&gt;0,OR(AUTOEVENTO&lt;&gt;"manual",$M58&lt;&gt;$A$15)),
        IF(Import.TipoArredondamento&lt;&gt;"TransfereGOV",
              ROUND(OFFSET($P58,0,AM$13),15-13*ORÇAMENTO!$AF$7)/$H58*OFFSET(ORÇAMENTO!$X$15,ROW(AM58)-ROW(AM$15),0),
              ROUND(ROUND(OFFSET($P58,0,AM$13),15-13*ORÇAMENTO!$AF$7)*OFFSET(ORÇAMENTO!$W$15,ROW(AM58)-ROW(AM$15),0),15-13*ORÇAMENTO!$AF$11)),
         0)</f>
        <v>0</v>
      </c>
      <c r="AN58" s="453">
        <f ca="1">IF(AND($D58="Serviço",AN$12&lt;&gt;0,$H58&gt;0,OR(AUTOEVENTO&lt;&gt;"manual",$M58&lt;&gt;$A$15)),
        IF(Import.TipoArredondamento&lt;&gt;"TransfereGOV",
              ROUND(OFFSET($P58,0,AN$13),15-13*ORÇAMENTO!$AF$7)/$H58*OFFSET(ORÇAMENTO!$X$15,ROW(AN58)-ROW(AN$15),0),
              ROUND(ROUND(OFFSET($P58,0,AN$13),15-13*ORÇAMENTO!$AF$7)*OFFSET(ORÇAMENTO!$W$15,ROW(AN58)-ROW(AN$15),0),15-13*ORÇAMENTO!$AF$11)),
         0)</f>
        <v>0</v>
      </c>
      <c r="AO58" s="453">
        <f ca="1">IF(AND($D58="Serviço",AO$12&lt;&gt;0,$H58&gt;0,OR(AUTOEVENTO&lt;&gt;"manual",$M58&lt;&gt;$A$15)),
        IF(Import.TipoArredondamento&lt;&gt;"TransfereGOV",
              ROUND(OFFSET($P58,0,AO$13),15-13*ORÇAMENTO!$AF$7)/$H58*OFFSET(ORÇAMENTO!$X$15,ROW(AO58)-ROW(AO$15),0),
              ROUND(ROUND(OFFSET($P58,0,AO$13),15-13*ORÇAMENTO!$AF$7)*OFFSET(ORÇAMENTO!$W$15,ROW(AO58)-ROW(AO$15),0),15-13*ORÇAMENTO!$AF$11)),
         0)</f>
        <v>0</v>
      </c>
      <c r="AP58" s="453">
        <f ca="1">IF(AND($D58="Serviço",AP$12&lt;&gt;0,$H58&gt;0,OR(AUTOEVENTO&lt;&gt;"manual",$M58&lt;&gt;$A$15)),
        IF(Import.TipoArredondamento&lt;&gt;"TransfereGOV",
              ROUND(OFFSET($P58,0,AP$13),15-13*ORÇAMENTO!$AF$7)/$H58*OFFSET(ORÇAMENTO!$X$15,ROW(AP58)-ROW(AP$15),0),
              ROUND(ROUND(OFFSET($P58,0,AP$13),15-13*ORÇAMENTO!$AF$7)*OFFSET(ORÇAMENTO!$W$15,ROW(AP58)-ROW(AP$15),0),15-13*ORÇAMENTO!$AF$11)),
         0)</f>
        <v>0</v>
      </c>
      <c r="AQ58" s="453">
        <f ca="1">IF(AND($D58="Serviço",AQ$12&lt;&gt;0,$H58&gt;0,OR(AUTOEVENTO&lt;&gt;"manual",$M58&lt;&gt;$A$15)),
        IF(Import.TipoArredondamento&lt;&gt;"TransfereGOV",
              ROUND(OFFSET($P58,0,AQ$13),15-13*ORÇAMENTO!$AF$7)/$H58*OFFSET(ORÇAMENTO!$X$15,ROW(AQ58)-ROW(AQ$15),0),
              ROUND(ROUND(OFFSET($P58,0,AQ$13),15-13*ORÇAMENTO!$AF$7)*OFFSET(ORÇAMENTO!$W$15,ROW(AQ58)-ROW(AQ$15),0),15-13*ORÇAMENTO!$AF$11)),
         0)</f>
        <v>0</v>
      </c>
      <c r="AR58" s="453">
        <f ca="1">IF(AND($D58="Serviço",AR$12&lt;&gt;0,$H58&gt;0,OR(AUTOEVENTO&lt;&gt;"manual",$M58&lt;&gt;$A$15)),
        IF(Import.TipoArredondamento&lt;&gt;"TransfereGOV",
              ROUND(OFFSET($P58,0,AR$13),15-13*ORÇAMENTO!$AF$7)/$H58*OFFSET(ORÇAMENTO!$X$15,ROW(AR58)-ROW(AR$15),0),
              ROUND(ROUND(OFFSET($P58,0,AR$13),15-13*ORÇAMENTO!$AF$7)*OFFSET(ORÇAMENTO!$W$15,ROW(AR58)-ROW(AR$15),0),15-13*ORÇAMENTO!$AF$11)),
         0)</f>
        <v>0</v>
      </c>
      <c r="AS58" s="453">
        <f ca="1">IF(AND($D58="Serviço",AS$12&lt;&gt;0,$H58&gt;0,OR(AUTOEVENTO&lt;&gt;"manual",$M58&lt;&gt;$A$15)),
        IF(Import.TipoArredondamento&lt;&gt;"TransfereGOV",
              ROUND(OFFSET($P58,0,AS$13),15-13*ORÇAMENTO!$AF$7)/$H58*OFFSET(ORÇAMENTO!$X$15,ROW(AS58)-ROW(AS$15),0),
              ROUND(ROUND(OFFSET($P58,0,AS$13),15-13*ORÇAMENTO!$AF$7)*OFFSET(ORÇAMENTO!$W$15,ROW(AS58)-ROW(AS$15),0),15-13*ORÇAMENTO!$AF$11)),
         0)</f>
        <v>0</v>
      </c>
      <c r="AT58" s="453">
        <f ca="1">IF(AND($D58="Serviço",AT$12&lt;&gt;0,$H58&gt;0,OR(AUTOEVENTO&lt;&gt;"manual",$M58&lt;&gt;$A$15)),
        IF(Import.TipoArredondamento&lt;&gt;"TransfereGOV",
              ROUND(OFFSET($P58,0,AT$13),15-13*ORÇAMENTO!$AF$7)/$H58*OFFSET(ORÇAMENTO!$X$15,ROW(AT58)-ROW(AT$15),0),
              ROUND(ROUND(OFFSET($P58,0,AT$13),15-13*ORÇAMENTO!$AF$7)*OFFSET(ORÇAMENTO!$W$15,ROW(AT58)-ROW(AT$15),0),15-13*ORÇAMENTO!$AF$11)),
         0)</f>
        <v>0</v>
      </c>
      <c r="AU58" s="453">
        <f ca="1">IF(AND($D58="Serviço",AU$12&lt;&gt;0,$H58&gt;0,OR(AUTOEVENTO&lt;&gt;"manual",$M58&lt;&gt;$A$15)),
        IF(Import.TipoArredondamento&lt;&gt;"TransfereGOV",
              ROUND(OFFSET($P58,0,AU$13),15-13*ORÇAMENTO!$AF$7)/$H58*OFFSET(ORÇAMENTO!$X$15,ROW(AU58)-ROW(AU$15),0),
              ROUND(ROUND(OFFSET($P58,0,AU$13),15-13*ORÇAMENTO!$AF$7)*OFFSET(ORÇAMENTO!$W$15,ROW(AU58)-ROW(AU$15),0),15-13*ORÇAMENTO!$AF$11)),
         0)</f>
        <v>0</v>
      </c>
      <c r="AV58" s="453">
        <f ca="1">IF(AND($D58="Serviço",AV$12&lt;&gt;0,$H58&gt;0,OR(AUTOEVENTO&lt;&gt;"manual",$M58&lt;&gt;$A$15)),
        IF(Import.TipoArredondamento&lt;&gt;"TransfereGOV",
              ROUND(OFFSET($P58,0,AV$13),15-13*ORÇAMENTO!$AF$7)/$H58*OFFSET(ORÇAMENTO!$X$15,ROW(AV58)-ROW(AV$15),0),
              ROUND(ROUND(OFFSET($P58,0,AV$13),15-13*ORÇAMENTO!$AF$7)*OFFSET(ORÇAMENTO!$W$15,ROW(AV58)-ROW(AV$15),0),15-13*ORÇAMENTO!$AF$11)),
         0)</f>
        <v>0</v>
      </c>
      <c r="AW58" s="453">
        <f ca="1">IF(AND($D58="Serviço",AW$12&lt;&gt;0,$H58&gt;0,OR(AUTOEVENTO&lt;&gt;"manual",$M58&lt;&gt;$A$15)),
        IF(Import.TipoArredondamento&lt;&gt;"TransfereGOV",
              ROUND(OFFSET($P58,0,AW$13),15-13*ORÇAMENTO!$AF$7)/$H58*OFFSET(ORÇAMENTO!$X$15,ROW(AW58)-ROW(AW$15),0),
              ROUND(ROUND(OFFSET($P58,0,AW$13),15-13*ORÇAMENTO!$AF$7)*OFFSET(ORÇAMENTO!$W$15,ROW(AW58)-ROW(AW$15),0),15-13*ORÇAMENTO!$AF$11)),
         0)</f>
        <v>0</v>
      </c>
      <c r="AX58" s="453">
        <f ca="1">IF(AND($D58="Serviço",AX$12&lt;&gt;0,$H58&gt;0,OR(AUTOEVENTO&lt;&gt;"manual",$M58&lt;&gt;$A$15)),
        IF(Import.TipoArredondamento&lt;&gt;"TransfereGOV",
              ROUND(OFFSET($P58,0,AX$13),15-13*ORÇAMENTO!$AF$7)/$H58*OFFSET(ORÇAMENTO!$X$15,ROW(AX58)-ROW(AX$15),0),
              ROUND(ROUND(OFFSET($P58,0,AX$13),15-13*ORÇAMENTO!$AF$7)*OFFSET(ORÇAMENTO!$W$15,ROW(AX58)-ROW(AX$15),0),15-13*ORÇAMENTO!$AF$11)),
         0)</f>
        <v>0</v>
      </c>
      <c r="AY58" s="453">
        <f ca="1">IF(AND($D58="Serviço",AY$12&lt;&gt;0,$H58&gt;0,OR(AUTOEVENTO&lt;&gt;"manual",$M58&lt;&gt;$A$15)),
        IF(Import.TipoArredondamento&lt;&gt;"TransfereGOV",
              ROUND(OFFSET($P58,0,AY$13),15-13*ORÇAMENTO!$AF$7)/$H58*OFFSET(ORÇAMENTO!$X$15,ROW(AY58)-ROW(AY$15),0),
              ROUND(ROUND(OFFSET($P58,0,AY$13),15-13*ORÇAMENTO!$AF$7)*OFFSET(ORÇAMENTO!$W$15,ROW(AY58)-ROW(AY$15),0),15-13*ORÇAMENTO!$AF$11)),
         0)</f>
        <v>0</v>
      </c>
      <c r="AZ58" s="453">
        <f ca="1">IF(AND($D58="Serviço",AZ$12&lt;&gt;0,$H58&gt;0,OR(AUTOEVENTO&lt;&gt;"manual",$M58&lt;&gt;$A$15)),
        IF(Import.TipoArredondamento&lt;&gt;"TransfereGOV",
              ROUND(OFFSET($P58,0,AZ$13),15-13*ORÇAMENTO!$AF$7)/$H58*OFFSET(ORÇAMENTO!$X$15,ROW(AZ58)-ROW(AZ$15),0),
              ROUND(ROUND(OFFSET($P58,0,AZ$13),15-13*ORÇAMENTO!$AF$7)*OFFSET(ORÇAMENTO!$W$15,ROW(AZ58)-ROW(AZ$15),0),15-13*ORÇAMENTO!$AF$11)),
         0)</f>
        <v>0</v>
      </c>
      <c r="BA58" s="453">
        <f ca="1">IF(AND($D58="Serviço",BA$12&lt;&gt;0,$H58&gt;0,OR(AUTOEVENTO&lt;&gt;"manual",$M58&lt;&gt;$A$15)),
        IF(Import.TipoArredondamento&lt;&gt;"TransfereGOV",
              ROUND(OFFSET($P58,0,BA$13),15-13*ORÇAMENTO!$AF$7)/$H58*OFFSET(ORÇAMENTO!$X$15,ROW(BA58)-ROW(BA$15),0),
              ROUND(ROUND(OFFSET($P58,0,BA$13),15-13*ORÇAMENTO!$AF$7)*OFFSET(ORÇAMENTO!$W$15,ROW(BA58)-ROW(BA$15),0),15-13*ORÇAMENTO!$AF$11)),
         0)</f>
        <v>0</v>
      </c>
      <c r="BC58" s="171">
        <f ca="1">IF(OR($D58&lt;&gt;"Serviço",AND(AUTOEVENTO="Manual",$M58=$A$15)),0,
         IF(OFFSET(CRONOPLE!$F$15,$M58-$A$15,BC$13)=0,10^12,OFFSET(CRONOPLE!$F$15,$M58-$A$15,BC$13)))</f>
        <v>0</v>
      </c>
      <c r="BD58" s="171">
        <f ca="1">IF(OR($D58&lt;&gt;"Serviço",AND(AUTOEVENTO="Manual",$M58=$A$15)),0,
         IF(OFFSET(CRONOPLE!$F$15,$M58-$A$15,BD$13)=0,10^12,OFFSET(CRONOPLE!$F$15,$M58-$A$15,BD$13)))</f>
        <v>0</v>
      </c>
      <c r="BE58" s="171">
        <f ca="1">IF(OR($D58&lt;&gt;"Serviço",AND(AUTOEVENTO="Manual",$M58=$A$15)),0,
         IF(OFFSET(CRONOPLE!$F$15,$M58-$A$15,BE$13)=0,10^12,OFFSET(CRONOPLE!$F$15,$M58-$A$15,BE$13)))</f>
        <v>0</v>
      </c>
      <c r="BF58" s="171">
        <f ca="1">IF(OR($D58&lt;&gt;"Serviço",AND(AUTOEVENTO="Manual",$M58=$A$15)),0,
         IF(OFFSET(CRONOPLE!$F$15,$M58-$A$15,BF$13)=0,10^12,OFFSET(CRONOPLE!$F$15,$M58-$A$15,BF$13)))</f>
        <v>0</v>
      </c>
      <c r="BG58" s="171">
        <f ca="1">IF(OR($D58&lt;&gt;"Serviço",AND(AUTOEVENTO="Manual",$M58=$A$15)),0,
         IF(OFFSET(CRONOPLE!$F$15,$M58-$A$15,BG$13)=0,10^12,OFFSET(CRONOPLE!$F$15,$M58-$A$15,BG$13)))</f>
        <v>0</v>
      </c>
      <c r="BH58" s="171">
        <f ca="1">IF(OR($D58&lt;&gt;"Serviço",AND(AUTOEVENTO="Manual",$M58=$A$15)),0,
         IF(OFFSET(CRONOPLE!$F$15,$M58-$A$15,BH$13)=0,10^12,OFFSET(CRONOPLE!$F$15,$M58-$A$15,BH$13)))</f>
        <v>0</v>
      </c>
      <c r="BI58" s="171">
        <f ca="1">IF(OR($D58&lt;&gt;"Serviço",AND(AUTOEVENTO="Manual",$M58=$A$15)),0,
         IF(OFFSET(CRONOPLE!$F$15,$M58-$A$15,BI$13)=0,10^12,OFFSET(CRONOPLE!$F$15,$M58-$A$15,BI$13)))</f>
        <v>0</v>
      </c>
      <c r="BJ58" s="171">
        <f ca="1">IF(OR($D58&lt;&gt;"Serviço",AND(AUTOEVENTO="Manual",$M58=$A$15)),0,
         IF(OFFSET(CRONOPLE!$F$15,$M58-$A$15,BJ$13)=0,10^12,OFFSET(CRONOPLE!$F$15,$M58-$A$15,BJ$13)))</f>
        <v>0</v>
      </c>
      <c r="BK58" s="171">
        <f ca="1">IF(OR($D58&lt;&gt;"Serviço",AND(AUTOEVENTO="Manual",$M58=$A$15)),0,
         IF(OFFSET(CRONOPLE!$F$15,$M58-$A$15,BK$13)=0,10^12,OFFSET(CRONOPLE!$F$15,$M58-$A$15,BK$13)))</f>
        <v>0</v>
      </c>
      <c r="BL58" s="171">
        <f ca="1">IF(OR($D58&lt;&gt;"Serviço",AND(AUTOEVENTO="Manual",$M58=$A$15)),0,
         IF(OFFSET(CRONOPLE!$F$15,$M58-$A$15,BL$13)=0,10^12,OFFSET(CRONOPLE!$F$15,$M58-$A$15,BL$13)))</f>
        <v>0</v>
      </c>
      <c r="BM58" s="171">
        <f ca="1">IF(OR($D58&lt;&gt;"Serviço",AND(AUTOEVENTO="Manual",$M58=$A$15)),0,
         IF(OFFSET(CRONOPLE!$F$15,$M58-$A$15,BM$13)=0,10^12,OFFSET(CRONOPLE!$F$15,$M58-$A$15,BM$13)))</f>
        <v>0</v>
      </c>
      <c r="BN58" s="171">
        <f ca="1">IF(OR($D58&lt;&gt;"Serviço",AND(AUTOEVENTO="Manual",$M58=$A$15)),0,
         IF(OFFSET(CRONOPLE!$F$15,$M58-$A$15,BN$13)=0,10^12,OFFSET(CRONOPLE!$F$15,$M58-$A$15,BN$13)))</f>
        <v>0</v>
      </c>
      <c r="BO58" s="171">
        <f ca="1">IF(OR($D58&lt;&gt;"Serviço",AND(AUTOEVENTO="Manual",$M58=$A$15)),0,
         IF(OFFSET(CRONOPLE!$F$15,$M58-$A$15,BO$13)=0,10^12,OFFSET(CRONOPLE!$F$15,$M58-$A$15,BO$13)))</f>
        <v>0</v>
      </c>
      <c r="BP58" s="171">
        <f ca="1">IF(OR($D58&lt;&gt;"Serviço",AND(AUTOEVENTO="Manual",$M58=$A$15)),0,
         IF(OFFSET(CRONOPLE!$F$15,$M58-$A$15,BP$13)=0,10^12,OFFSET(CRONOPLE!$F$15,$M58-$A$15,BP$13)))</f>
        <v>0</v>
      </c>
      <c r="BQ58" s="171">
        <f ca="1">IF(OR($D58&lt;&gt;"Serviço",AND(AUTOEVENTO="Manual",$M58=$A$15)),0,
         IF(OFFSET(CRONOPLE!$F$15,$M58-$A$15,BQ$13)=0,10^12,OFFSET(CRONOPLE!$F$15,$M58-$A$15,BQ$13)))</f>
        <v>0</v>
      </c>
      <c r="BR58" s="171">
        <f ca="1">IF(OR($D58&lt;&gt;"Serviço",AND(AUTOEVENTO="Manual",$M58=$A$15)),0,
         IF(OFFSET(CRONOPLE!$F$15,$M58-$A$15,BR$13)=0,10^12,OFFSET(CRONOPLE!$F$15,$M58-$A$15,BR$13)))</f>
        <v>0</v>
      </c>
      <c r="BS58" s="171">
        <f ca="1">IF(OR($D58&lt;&gt;"Serviço",AND(AUTOEVENTO="Manual",$M58=$A$15)),0,
         IF(OFFSET(CRONOPLE!$F$15,$M58-$A$15,BS$13)=0,10^12,OFFSET(CRONOPLE!$F$15,$M58-$A$15,BS$13)))</f>
        <v>0</v>
      </c>
      <c r="BT58" s="171">
        <f ca="1">IF(OR($D58&lt;&gt;"Serviço",AND(AUTOEVENTO="Manual",$M58=$A$15)),0,
         IF(OFFSET(CRONOPLE!$F$15,$M58-$A$15,BT$13)=0,10^12,OFFSET(CRONOPLE!$F$15,$M58-$A$15,BT$13)))</f>
        <v>0</v>
      </c>
      <c r="BV58" s="172">
        <f ca="1">IF(OR($D58&lt;&gt;"Serviço",AND(AUTOEVENTO="Manual",$M58=$A$15),$M58&gt;(ROW(PLE.lastrow)-ROW(PLE.firstrow))),0,
           IF(OFFSET(PLE!$G$15,$M58-$A$15,BV$13)="",10^12,OFFSET(PLE!$G$15,$M58-$A$15,BV$13)))</f>
        <v>0</v>
      </c>
      <c r="BW58" s="172">
        <f ca="1">IF(OR($D58&lt;&gt;"Serviço",AND(AUTOEVENTO="Manual",$M58=$A$15),$M58&gt;(ROW(PLE.lastrow)-ROW(PLE.firstrow))),0,
           IF(OFFSET(PLE!$G$15,$M58-$A$15,BW$13)="",10^12,OFFSET(PLE!$G$15,$M58-$A$15,BW$13)))</f>
        <v>0</v>
      </c>
      <c r="BX58" s="172">
        <f ca="1">IF(OR($D58&lt;&gt;"Serviço",AND(AUTOEVENTO="Manual",$M58=$A$15),$M58&gt;(ROW(PLE.lastrow)-ROW(PLE.firstrow))),0,
           IF(OFFSET(PLE!$G$15,$M58-$A$15,BX$13)="",10^12,OFFSET(PLE!$G$15,$M58-$A$15,BX$13)))</f>
        <v>0</v>
      </c>
      <c r="BY58" s="172">
        <f ca="1">IF(OR($D58&lt;&gt;"Serviço",AND(AUTOEVENTO="Manual",$M58=$A$15),$M58&gt;(ROW(PLE.lastrow)-ROW(PLE.firstrow))),0,
           IF(OFFSET(PLE!$G$15,$M58-$A$15,BY$13)="",10^12,OFFSET(PLE!$G$15,$M58-$A$15,BY$13)))</f>
        <v>0</v>
      </c>
      <c r="BZ58" s="172">
        <f ca="1">IF(OR($D58&lt;&gt;"Serviço",AND(AUTOEVENTO="Manual",$M58=$A$15),$M58&gt;(ROW(PLE.lastrow)-ROW(PLE.firstrow))),0,
           IF(OFFSET(PLE!$G$15,$M58-$A$15,BZ$13)="",10^12,OFFSET(PLE!$G$15,$M58-$A$15,BZ$13)))</f>
        <v>0</v>
      </c>
      <c r="CA58" s="172">
        <f ca="1">IF(OR($D58&lt;&gt;"Serviço",AND(AUTOEVENTO="Manual",$M58=$A$15),$M58&gt;(ROW(PLE.lastrow)-ROW(PLE.firstrow))),0,
           IF(OFFSET(PLE!$G$15,$M58-$A$15,CA$13)="",10^12,OFFSET(PLE!$G$15,$M58-$A$15,CA$13)))</f>
        <v>0</v>
      </c>
      <c r="CB58" s="172">
        <f ca="1">IF(OR($D58&lt;&gt;"Serviço",AND(AUTOEVENTO="Manual",$M58=$A$15),$M58&gt;(ROW(PLE.lastrow)-ROW(PLE.firstrow))),0,
           IF(OFFSET(PLE!$G$15,$M58-$A$15,CB$13)="",10^12,OFFSET(PLE!$G$15,$M58-$A$15,CB$13)))</f>
        <v>0</v>
      </c>
      <c r="CC58" s="172">
        <f ca="1">IF(OR($D58&lt;&gt;"Serviço",AND(AUTOEVENTO="Manual",$M58=$A$15),$M58&gt;(ROW(PLE.lastrow)-ROW(PLE.firstrow))),0,
           IF(OFFSET(PLE!$G$15,$M58-$A$15,CC$13)="",10^12,OFFSET(PLE!$G$15,$M58-$A$15,CC$13)))</f>
        <v>0</v>
      </c>
      <c r="CD58" s="172">
        <f ca="1">IF(OR($D58&lt;&gt;"Serviço",AND(AUTOEVENTO="Manual",$M58=$A$15),$M58&gt;(ROW(PLE.lastrow)-ROW(PLE.firstrow))),0,
           IF(OFFSET(PLE!$G$15,$M58-$A$15,CD$13)="",10^12,OFFSET(PLE!$G$15,$M58-$A$15,CD$13)))</f>
        <v>0</v>
      </c>
      <c r="CE58" s="172">
        <f ca="1">IF(OR($D58&lt;&gt;"Serviço",AND(AUTOEVENTO="Manual",$M58=$A$15),$M58&gt;(ROW(PLE.lastrow)-ROW(PLE.firstrow))),0,
           IF(OFFSET(PLE!$G$15,$M58-$A$15,CE$13)="",10^12,OFFSET(PLE!$G$15,$M58-$A$15,CE$13)))</f>
        <v>0</v>
      </c>
      <c r="CF58" s="172">
        <f ca="1">IF(OR($D58&lt;&gt;"Serviço",AND(AUTOEVENTO="Manual",$M58=$A$15),$M58&gt;(ROW(PLE.lastrow)-ROW(PLE.firstrow))),0,
           IF(OFFSET(PLE!$G$15,$M58-$A$15,CF$13)="",10^12,OFFSET(PLE!$G$15,$M58-$A$15,CF$13)))</f>
        <v>0</v>
      </c>
      <c r="CG58" s="172">
        <f ca="1">IF(OR($D58&lt;&gt;"Serviço",AND(AUTOEVENTO="Manual",$M58=$A$15),$M58&gt;(ROW(PLE.lastrow)-ROW(PLE.firstrow))),0,
           IF(OFFSET(PLE!$G$15,$M58-$A$15,CG$13)="",10^12,OFFSET(PLE!$G$15,$M58-$A$15,CG$13)))</f>
        <v>0</v>
      </c>
      <c r="CH58" s="172">
        <f ca="1">IF(OR($D58&lt;&gt;"Serviço",AND(AUTOEVENTO="Manual",$M58=$A$15),$M58&gt;(ROW(PLE.lastrow)-ROW(PLE.firstrow))),0,
           IF(OFFSET(PLE!$G$15,$M58-$A$15,CH$13)="",10^12,OFFSET(PLE!$G$15,$M58-$A$15,CH$13)))</f>
        <v>0</v>
      </c>
      <c r="CI58" s="172">
        <f ca="1">IF(OR($D58&lt;&gt;"Serviço",AND(AUTOEVENTO="Manual",$M58=$A$15),$M58&gt;(ROW(PLE.lastrow)-ROW(PLE.firstrow))),0,
           IF(OFFSET(PLE!$G$15,$M58-$A$15,CI$13)="",10^12,OFFSET(PLE!$G$15,$M58-$A$15,CI$13)))</f>
        <v>0</v>
      </c>
      <c r="CJ58" s="172">
        <f ca="1">IF(OR($D58&lt;&gt;"Serviço",AND(AUTOEVENTO="Manual",$M58=$A$15),$M58&gt;(ROW(PLE.lastrow)-ROW(PLE.firstrow))),0,
           IF(OFFSET(PLE!$G$15,$M58-$A$15,CJ$13)="",10^12,OFFSET(PLE!$G$15,$M58-$A$15,CJ$13)))</f>
        <v>0</v>
      </c>
      <c r="CK58" s="172">
        <f ca="1">IF(OR($D58&lt;&gt;"Serviço",AND(AUTOEVENTO="Manual",$M58=$A$15),$M58&gt;(ROW(PLE.lastrow)-ROW(PLE.firstrow))),0,
           IF(OFFSET(PLE!$G$15,$M58-$A$15,CK$13)="",10^12,OFFSET(PLE!$G$15,$M58-$A$15,CK$13)))</f>
        <v>0</v>
      </c>
      <c r="CL58" s="172">
        <f ca="1">IF(OR($D58&lt;&gt;"Serviço",AND(AUTOEVENTO="Manual",$M58=$A$15),$M58&gt;(ROW(PLE.lastrow)-ROW(PLE.firstrow))),0,
           IF(OFFSET(PLE!$G$15,$M58-$A$15,CL$13)="",10^12,OFFSET(PLE!$G$15,$M58-$A$15,CL$13)))</f>
        <v>0</v>
      </c>
      <c r="CM58" s="172">
        <f ca="1">IF(OR($D58&lt;&gt;"Serviço",AND(AUTOEVENTO="Manual",$M58=$A$15),$M58&gt;(ROW(PLE.lastrow)-ROW(PLE.firstrow))),0,
           IF(OFFSET(PLE!$G$15,$M58-$A$15,CM$13)="",10^12,OFFSET(PLE!$G$15,$M58-$A$15,CM$13)))</f>
        <v>0</v>
      </c>
    </row>
    <row r="59" spans="1:91" ht="26.4" x14ac:dyDescent="0.25">
      <c r="A59" s="7" t="str">
        <f t="shared" ca="1" si="11"/>
        <v>43</v>
      </c>
      <c r="B59" s="7" t="str">
        <f ca="1">OFFSET(ORÇAMENTO!C$15,ROW(B59)-ROW(B$15),0)</f>
        <v>S</v>
      </c>
      <c r="C59" s="7" t="str">
        <f ca="1">OFFSET(ORÇAMENTO!L$15,ROW(C59)-ROW(C$15),0)</f>
        <v>F</v>
      </c>
      <c r="D59" s="116" t="str">
        <f ca="1">OFFSET(ORÇAMENTO!N$15,ROW(D59)-ROW(D$15),0)</f>
        <v>Serviço</v>
      </c>
      <c r="E59" s="117" t="str">
        <f ca="1">OFFSET(ORÇAMENTO!O$15,ROW(E59)-ROW(E$15),0)</f>
        <v>2.1.1.</v>
      </c>
      <c r="F59" s="163" t="str">
        <f ca="1">OFFSET(ORÇAMENTO!R$15,ROW(F59)-ROW(F$15),0)</f>
        <v xml:space="preserve">LIMPEZA DE VEGETAÇÃO COM VASSOURA MECANICA E LIMPEZA COM JATO DE ALTA PRESSÃO </v>
      </c>
      <c r="G59" s="164" t="str">
        <f ca="1">IF($D59&lt;&gt;"Serviço","",OFFSET(ORÇAMENTO!S$15,ROW(G59)-ROW(G$15),0))</f>
        <v>M2</v>
      </c>
      <c r="H59" s="122" cm="1">
        <f t="array" aca="1" ref="H59" ca="1">IF($D59&lt;&gt;"Serviço",0,IF(ACOMPANHAMENTO="BM",ROUND(OFFSET(ORÇAMENTO!AJ$15,ROW(H59)-ROW(H$15),0),15-13*ORÇAMENTO!$AF$7),SUMPRODUCT(($Q$1:$AI$1=1)*ROUND($Q59:$AI59,15-13*ORÇAMENTO!$AF$7))))</f>
        <v>1265.08</v>
      </c>
      <c r="I59" s="468"/>
      <c r="J59" s="651" t="e" cm="1">
        <f t="array" aca="1" ref="J59" ca="1">IF(OR(B59&lt;&gt;"S",CÁLCULO.FrentesPreenchidas=0),"",IF(AND(ACOMPANHAMENTO="PLE",AUTOEVENTO="Manual",OR(H59&gt;0,ORÇAMENTO!AC59="QUANT."),OR(K59="",M59=0,N59="")),"►E",IF(AND(ACOMPANHAMENTO="PLE",ORÇAMENTO!AC59="QUANT."),"►Q",IF(AND(ACOMPANHAMENTO="PLE",H59&lt;&gt;SUMPRODUCT(($Q$1:$AI$1=1)*ROUND(Q59:AI59,15))),"►S",IF(AND(COUNTIF($P$11:$AI$11,"▼")=0,H59&gt;0,I59=""),"◄M","")))))</f>
        <v>#NAME?</v>
      </c>
      <c r="K59" s="652"/>
      <c r="L59" s="165" t="s">
        <v>764</v>
      </c>
      <c r="M59" s="166">
        <f ca="1">IF($D59&lt;&gt;"Serviço","",
          IF(AUTOEVENTO="manual",$A59,
                IF(ISERROR(MATCH($A59,$A$15:OFFSET($A59,-1,0),0)),MAX($M$15:OFFSET(M59,-1,0))+1,
                      INDEX($M$15:OFFSET(M59,-1,0),MATCH($A59,$A$15:OFFSET($A59,-1,0),0)))))</f>
        <v>8</v>
      </c>
      <c r="N59" s="167" t="str">
        <f ca="1">IF($D59&lt;&gt;"Serviço","",
         IF(AUTOEVENTO="Manual",
                IF($A59=0,"&lt;-- defina o número do agrupador",
                       OFFSET(EVENTOS!$D$15,$A59-$A$15,0)),
                OFFSET($F$15,$A59,0)))</f>
        <v>SERVIÇOS INICIAIS</v>
      </c>
      <c r="O59" s="168"/>
      <c r="Q59" s="168"/>
      <c r="R59" s="169"/>
      <c r="S59" s="169"/>
      <c r="T59" s="169">
        <v>1265.08</v>
      </c>
      <c r="U59" s="169"/>
      <c r="V59" s="169"/>
      <c r="W59" s="169"/>
      <c r="X59" s="169"/>
      <c r="Y59" s="169"/>
      <c r="Z59" s="170"/>
      <c r="AA59" s="169"/>
      <c r="AB59" s="169"/>
      <c r="AC59" s="169"/>
      <c r="AD59" s="169"/>
      <c r="AE59" s="169"/>
      <c r="AF59" s="169"/>
      <c r="AG59" s="169"/>
      <c r="AH59" s="170"/>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L59" s="453">
        <f ca="1">IF(AND($D59="Serviço",AL$12&lt;&gt;0,$H59&gt;0,OR(AUTOEVENTO&lt;&gt;"manual",$M59&lt;&gt;$A$15)),
        IF(Import.TipoArredondamento&lt;&gt;"TransfereGOV",
              ROUND(OFFSET($P59,0,AL$13),15-13*ORÇAMENTO!$AF$7)/$H59*OFFSET(ORÇAMENTO!$X$15,ROW(AL59)-ROW(AL$15),0),
              ROUND(ROUND(OFFSET($P59,0,AL$13),15-13*ORÇAMENTO!$AF$7)*OFFSET(ORÇAMENTO!$W$15,ROW(AL59)-ROW(AL$15),0),15-13*ORÇAMENTO!$AF$11)),
         0)</f>
        <v>0</v>
      </c>
      <c r="AM59" s="453">
        <f ca="1">IF(AND($D59="Serviço",AM$12&lt;&gt;0,$H59&gt;0,OR(AUTOEVENTO&lt;&gt;"manual",$M59&lt;&gt;$A$15)),
        IF(Import.TipoArredondamento&lt;&gt;"TransfereGOV",
              ROUND(OFFSET($P59,0,AM$13),15-13*ORÇAMENTO!$AF$7)/$H59*OFFSET(ORÇAMENTO!$X$15,ROW(AM59)-ROW(AM$15),0),
              ROUND(ROUND(OFFSET($P59,0,AM$13),15-13*ORÇAMENTO!$AF$7)*OFFSET(ORÇAMENTO!$W$15,ROW(AM59)-ROW(AM$15),0),15-13*ORÇAMENTO!$AF$11)),
         0)</f>
        <v>4693.45</v>
      </c>
      <c r="AN59" s="453">
        <f ca="1">IF(AND($D59="Serviço",AN$12&lt;&gt;0,$H59&gt;0,OR(AUTOEVENTO&lt;&gt;"manual",$M59&lt;&gt;$A$15)),
        IF(Import.TipoArredondamento&lt;&gt;"TransfereGOV",
              ROUND(OFFSET($P59,0,AN$13),15-13*ORÇAMENTO!$AF$7)/$H59*OFFSET(ORÇAMENTO!$X$15,ROW(AN59)-ROW(AN$15),0),
              ROUND(ROUND(OFFSET($P59,0,AN$13),15-13*ORÇAMENTO!$AF$7)*OFFSET(ORÇAMENTO!$W$15,ROW(AN59)-ROW(AN$15),0),15-13*ORÇAMENTO!$AF$11)),
         0)</f>
        <v>0</v>
      </c>
      <c r="AO59" s="453">
        <f ca="1">IF(AND($D59="Serviço",AO$12&lt;&gt;0,$H59&gt;0,OR(AUTOEVENTO&lt;&gt;"manual",$M59&lt;&gt;$A$15)),
        IF(Import.TipoArredondamento&lt;&gt;"TransfereGOV",
              ROUND(OFFSET($P59,0,AO$13),15-13*ORÇAMENTO!$AF$7)/$H59*OFFSET(ORÇAMENTO!$X$15,ROW(AO59)-ROW(AO$15),0),
              ROUND(ROUND(OFFSET($P59,0,AO$13),15-13*ORÇAMENTO!$AF$7)*OFFSET(ORÇAMENTO!$W$15,ROW(AO59)-ROW(AO$15),0),15-13*ORÇAMENTO!$AF$11)),
         0)</f>
        <v>0</v>
      </c>
      <c r="AP59" s="453">
        <f ca="1">IF(AND($D59="Serviço",AP$12&lt;&gt;0,$H59&gt;0,OR(AUTOEVENTO&lt;&gt;"manual",$M59&lt;&gt;$A$15)),
        IF(Import.TipoArredondamento&lt;&gt;"TransfereGOV",
              ROUND(OFFSET($P59,0,AP$13),15-13*ORÇAMENTO!$AF$7)/$H59*OFFSET(ORÇAMENTO!$X$15,ROW(AP59)-ROW(AP$15),0),
              ROUND(ROUND(OFFSET($P59,0,AP$13),15-13*ORÇAMENTO!$AF$7)*OFFSET(ORÇAMENTO!$W$15,ROW(AP59)-ROW(AP$15),0),15-13*ORÇAMENTO!$AF$11)),
         0)</f>
        <v>0</v>
      </c>
      <c r="AQ59" s="453">
        <f ca="1">IF(AND($D59="Serviço",AQ$12&lt;&gt;0,$H59&gt;0,OR(AUTOEVENTO&lt;&gt;"manual",$M59&lt;&gt;$A$15)),
        IF(Import.TipoArredondamento&lt;&gt;"TransfereGOV",
              ROUND(OFFSET($P59,0,AQ$13),15-13*ORÇAMENTO!$AF$7)/$H59*OFFSET(ORÇAMENTO!$X$15,ROW(AQ59)-ROW(AQ$15),0),
              ROUND(ROUND(OFFSET($P59,0,AQ$13),15-13*ORÇAMENTO!$AF$7)*OFFSET(ORÇAMENTO!$W$15,ROW(AQ59)-ROW(AQ$15),0),15-13*ORÇAMENTO!$AF$11)),
         0)</f>
        <v>0</v>
      </c>
      <c r="AR59" s="453">
        <f ca="1">IF(AND($D59="Serviço",AR$12&lt;&gt;0,$H59&gt;0,OR(AUTOEVENTO&lt;&gt;"manual",$M59&lt;&gt;$A$15)),
        IF(Import.TipoArredondamento&lt;&gt;"TransfereGOV",
              ROUND(OFFSET($P59,0,AR$13),15-13*ORÇAMENTO!$AF$7)/$H59*OFFSET(ORÇAMENTO!$X$15,ROW(AR59)-ROW(AR$15),0),
              ROUND(ROUND(OFFSET($P59,0,AR$13),15-13*ORÇAMENTO!$AF$7)*OFFSET(ORÇAMENTO!$W$15,ROW(AR59)-ROW(AR$15),0),15-13*ORÇAMENTO!$AF$11)),
         0)</f>
        <v>0</v>
      </c>
      <c r="AS59" s="453">
        <f ca="1">IF(AND($D59="Serviço",AS$12&lt;&gt;0,$H59&gt;0,OR(AUTOEVENTO&lt;&gt;"manual",$M59&lt;&gt;$A$15)),
        IF(Import.TipoArredondamento&lt;&gt;"TransfereGOV",
              ROUND(OFFSET($P59,0,AS$13),15-13*ORÇAMENTO!$AF$7)/$H59*OFFSET(ORÇAMENTO!$X$15,ROW(AS59)-ROW(AS$15),0),
              ROUND(ROUND(OFFSET($P59,0,AS$13),15-13*ORÇAMENTO!$AF$7)*OFFSET(ORÇAMENTO!$W$15,ROW(AS59)-ROW(AS$15),0),15-13*ORÇAMENTO!$AF$11)),
         0)</f>
        <v>0</v>
      </c>
      <c r="AT59" s="453">
        <f ca="1">IF(AND($D59="Serviço",AT$12&lt;&gt;0,$H59&gt;0,OR(AUTOEVENTO&lt;&gt;"manual",$M59&lt;&gt;$A$15)),
        IF(Import.TipoArredondamento&lt;&gt;"TransfereGOV",
              ROUND(OFFSET($P59,0,AT$13),15-13*ORÇAMENTO!$AF$7)/$H59*OFFSET(ORÇAMENTO!$X$15,ROW(AT59)-ROW(AT$15),0),
              ROUND(ROUND(OFFSET($P59,0,AT$13),15-13*ORÇAMENTO!$AF$7)*OFFSET(ORÇAMENTO!$W$15,ROW(AT59)-ROW(AT$15),0),15-13*ORÇAMENTO!$AF$11)),
         0)</f>
        <v>0</v>
      </c>
      <c r="AU59" s="453">
        <f ca="1">IF(AND($D59="Serviço",AU$12&lt;&gt;0,$H59&gt;0,OR(AUTOEVENTO&lt;&gt;"manual",$M59&lt;&gt;$A$15)),
        IF(Import.TipoArredondamento&lt;&gt;"TransfereGOV",
              ROUND(OFFSET($P59,0,AU$13),15-13*ORÇAMENTO!$AF$7)/$H59*OFFSET(ORÇAMENTO!$X$15,ROW(AU59)-ROW(AU$15),0),
              ROUND(ROUND(OFFSET($P59,0,AU$13),15-13*ORÇAMENTO!$AF$7)*OFFSET(ORÇAMENTO!$W$15,ROW(AU59)-ROW(AU$15),0),15-13*ORÇAMENTO!$AF$11)),
         0)</f>
        <v>0</v>
      </c>
      <c r="AV59" s="453">
        <f ca="1">IF(AND($D59="Serviço",AV$12&lt;&gt;0,$H59&gt;0,OR(AUTOEVENTO&lt;&gt;"manual",$M59&lt;&gt;$A$15)),
        IF(Import.TipoArredondamento&lt;&gt;"TransfereGOV",
              ROUND(OFFSET($P59,0,AV$13),15-13*ORÇAMENTO!$AF$7)/$H59*OFFSET(ORÇAMENTO!$X$15,ROW(AV59)-ROW(AV$15),0),
              ROUND(ROUND(OFFSET($P59,0,AV$13),15-13*ORÇAMENTO!$AF$7)*OFFSET(ORÇAMENTO!$W$15,ROW(AV59)-ROW(AV$15),0),15-13*ORÇAMENTO!$AF$11)),
         0)</f>
        <v>0</v>
      </c>
      <c r="AW59" s="453">
        <f ca="1">IF(AND($D59="Serviço",AW$12&lt;&gt;0,$H59&gt;0,OR(AUTOEVENTO&lt;&gt;"manual",$M59&lt;&gt;$A$15)),
        IF(Import.TipoArredondamento&lt;&gt;"TransfereGOV",
              ROUND(OFFSET($P59,0,AW$13),15-13*ORÇAMENTO!$AF$7)/$H59*OFFSET(ORÇAMENTO!$X$15,ROW(AW59)-ROW(AW$15),0),
              ROUND(ROUND(OFFSET($P59,0,AW$13),15-13*ORÇAMENTO!$AF$7)*OFFSET(ORÇAMENTO!$W$15,ROW(AW59)-ROW(AW$15),0),15-13*ORÇAMENTO!$AF$11)),
         0)</f>
        <v>0</v>
      </c>
      <c r="AX59" s="453">
        <f ca="1">IF(AND($D59="Serviço",AX$12&lt;&gt;0,$H59&gt;0,OR(AUTOEVENTO&lt;&gt;"manual",$M59&lt;&gt;$A$15)),
        IF(Import.TipoArredondamento&lt;&gt;"TransfereGOV",
              ROUND(OFFSET($P59,0,AX$13),15-13*ORÇAMENTO!$AF$7)/$H59*OFFSET(ORÇAMENTO!$X$15,ROW(AX59)-ROW(AX$15),0),
              ROUND(ROUND(OFFSET($P59,0,AX$13),15-13*ORÇAMENTO!$AF$7)*OFFSET(ORÇAMENTO!$W$15,ROW(AX59)-ROW(AX$15),0),15-13*ORÇAMENTO!$AF$11)),
         0)</f>
        <v>0</v>
      </c>
      <c r="AY59" s="453">
        <f ca="1">IF(AND($D59="Serviço",AY$12&lt;&gt;0,$H59&gt;0,OR(AUTOEVENTO&lt;&gt;"manual",$M59&lt;&gt;$A$15)),
        IF(Import.TipoArredondamento&lt;&gt;"TransfereGOV",
              ROUND(OFFSET($P59,0,AY$13),15-13*ORÇAMENTO!$AF$7)/$H59*OFFSET(ORÇAMENTO!$X$15,ROW(AY59)-ROW(AY$15),0),
              ROUND(ROUND(OFFSET($P59,0,AY$13),15-13*ORÇAMENTO!$AF$7)*OFFSET(ORÇAMENTO!$W$15,ROW(AY59)-ROW(AY$15),0),15-13*ORÇAMENTO!$AF$11)),
         0)</f>
        <v>0</v>
      </c>
      <c r="AZ59" s="453">
        <f ca="1">IF(AND($D59="Serviço",AZ$12&lt;&gt;0,$H59&gt;0,OR(AUTOEVENTO&lt;&gt;"manual",$M59&lt;&gt;$A$15)),
        IF(Import.TipoArredondamento&lt;&gt;"TransfereGOV",
              ROUND(OFFSET($P59,0,AZ$13),15-13*ORÇAMENTO!$AF$7)/$H59*OFFSET(ORÇAMENTO!$X$15,ROW(AZ59)-ROW(AZ$15),0),
              ROUND(ROUND(OFFSET($P59,0,AZ$13),15-13*ORÇAMENTO!$AF$7)*OFFSET(ORÇAMENTO!$W$15,ROW(AZ59)-ROW(AZ$15),0),15-13*ORÇAMENTO!$AF$11)),
         0)</f>
        <v>0</v>
      </c>
      <c r="BA59" s="453">
        <f ca="1">IF(AND($D59="Serviço",BA$12&lt;&gt;0,$H59&gt;0,OR(AUTOEVENTO&lt;&gt;"manual",$M59&lt;&gt;$A$15)),
        IF(Import.TipoArredondamento&lt;&gt;"TransfereGOV",
              ROUND(OFFSET($P59,0,BA$13),15-13*ORÇAMENTO!$AF$7)/$H59*OFFSET(ORÇAMENTO!$X$15,ROW(BA59)-ROW(BA$15),0),
              ROUND(ROUND(OFFSET($P59,0,BA$13),15-13*ORÇAMENTO!$AF$7)*OFFSET(ORÇAMENTO!$W$15,ROW(BA59)-ROW(BA$15),0),15-13*ORÇAMENTO!$AF$11)),
         0)</f>
        <v>0</v>
      </c>
      <c r="BC59" s="171">
        <f ca="1">IF(OR($D59&lt;&gt;"Serviço",AND(AUTOEVENTO="Manual",$M59=$A$15)),0,
         IF(OFFSET(CRONOPLE!$F$15,$M59-$A$15,BC$13)=0,10^12,OFFSET(CRONOPLE!$F$15,$M59-$A$15,BC$13)))</f>
        <v>1000000000000</v>
      </c>
      <c r="BD59" s="171">
        <f ca="1">IF(OR($D59&lt;&gt;"Serviço",AND(AUTOEVENTO="Manual",$M59=$A$15)),0,
         IF(OFFSET(CRONOPLE!$F$15,$M59-$A$15,BD$13)=0,10^12,OFFSET(CRONOPLE!$F$15,$M59-$A$15,BD$13)))</f>
        <v>1000000000000</v>
      </c>
      <c r="BE59" s="171">
        <f ca="1">IF(OR($D59&lt;&gt;"Serviço",AND(AUTOEVENTO="Manual",$M59=$A$15)),0,
         IF(OFFSET(CRONOPLE!$F$15,$M59-$A$15,BE$13)=0,10^12,OFFSET(CRONOPLE!$F$15,$M59-$A$15,BE$13)))</f>
        <v>1000000000000</v>
      </c>
      <c r="BF59" s="171">
        <f ca="1">IF(OR($D59&lt;&gt;"Serviço",AND(AUTOEVENTO="Manual",$M59=$A$15)),0,
         IF(OFFSET(CRONOPLE!$F$15,$M59-$A$15,BF$13)=0,10^12,OFFSET(CRONOPLE!$F$15,$M59-$A$15,BF$13)))</f>
        <v>1</v>
      </c>
      <c r="BG59" s="171">
        <f ca="1">IF(OR($D59&lt;&gt;"Serviço",AND(AUTOEVENTO="Manual",$M59=$A$15)),0,
         IF(OFFSET(CRONOPLE!$F$15,$M59-$A$15,BG$13)=0,10^12,OFFSET(CRONOPLE!$F$15,$M59-$A$15,BG$13)))</f>
        <v>1000000000000</v>
      </c>
      <c r="BH59" s="171">
        <f ca="1">IF(OR($D59&lt;&gt;"Serviço",AND(AUTOEVENTO="Manual",$M59=$A$15)),0,
         IF(OFFSET(CRONOPLE!$F$15,$M59-$A$15,BH$13)=0,10^12,OFFSET(CRONOPLE!$F$15,$M59-$A$15,BH$13)))</f>
        <v>1000000000000</v>
      </c>
      <c r="BI59" s="171">
        <f ca="1">IF(OR($D59&lt;&gt;"Serviço",AND(AUTOEVENTO="Manual",$M59=$A$15)),0,
         IF(OFFSET(CRONOPLE!$F$15,$M59-$A$15,BI$13)=0,10^12,OFFSET(CRONOPLE!$F$15,$M59-$A$15,BI$13)))</f>
        <v>1000000000000</v>
      </c>
      <c r="BJ59" s="171">
        <f ca="1">IF(OR($D59&lt;&gt;"Serviço",AND(AUTOEVENTO="Manual",$M59=$A$15)),0,
         IF(OFFSET(CRONOPLE!$F$15,$M59-$A$15,BJ$13)=0,10^12,OFFSET(CRONOPLE!$F$15,$M59-$A$15,BJ$13)))</f>
        <v>1000000000000</v>
      </c>
      <c r="BK59" s="171">
        <f ca="1">IF(OR($D59&lt;&gt;"Serviço",AND(AUTOEVENTO="Manual",$M59=$A$15)),0,
         IF(OFFSET(CRONOPLE!$F$15,$M59-$A$15,BK$13)=0,10^12,OFFSET(CRONOPLE!$F$15,$M59-$A$15,BK$13)))</f>
        <v>1000000000000</v>
      </c>
      <c r="BL59" s="171">
        <f ca="1">IF(OR($D59&lt;&gt;"Serviço",AND(AUTOEVENTO="Manual",$M59=$A$15)),0,
         IF(OFFSET(CRONOPLE!$F$15,$M59-$A$15,BL$13)=0,10^12,OFFSET(CRONOPLE!$F$15,$M59-$A$15,BL$13)))</f>
        <v>1000000000000</v>
      </c>
      <c r="BM59" s="171">
        <f ca="1">IF(OR($D59&lt;&gt;"Serviço",AND(AUTOEVENTO="Manual",$M59=$A$15)),0,
         IF(OFFSET(CRONOPLE!$F$15,$M59-$A$15,BM$13)=0,10^12,OFFSET(CRONOPLE!$F$15,$M59-$A$15,BM$13)))</f>
        <v>1000000000000</v>
      </c>
      <c r="BN59" s="171">
        <f ca="1">IF(OR($D59&lt;&gt;"Serviço",AND(AUTOEVENTO="Manual",$M59=$A$15)),0,
         IF(OFFSET(CRONOPLE!$F$15,$M59-$A$15,BN$13)=0,10^12,OFFSET(CRONOPLE!$F$15,$M59-$A$15,BN$13)))</f>
        <v>1000000000000</v>
      </c>
      <c r="BO59" s="171">
        <f ca="1">IF(OR($D59&lt;&gt;"Serviço",AND(AUTOEVENTO="Manual",$M59=$A$15)),0,
         IF(OFFSET(CRONOPLE!$F$15,$M59-$A$15,BO$13)=0,10^12,OFFSET(CRONOPLE!$F$15,$M59-$A$15,BO$13)))</f>
        <v>1000000000000</v>
      </c>
      <c r="BP59" s="171">
        <f ca="1">IF(OR($D59&lt;&gt;"Serviço",AND(AUTOEVENTO="Manual",$M59=$A$15)),0,
         IF(OFFSET(CRONOPLE!$F$15,$M59-$A$15,BP$13)=0,10^12,OFFSET(CRONOPLE!$F$15,$M59-$A$15,BP$13)))</f>
        <v>1000000000000</v>
      </c>
      <c r="BQ59" s="171">
        <f ca="1">IF(OR($D59&lt;&gt;"Serviço",AND(AUTOEVENTO="Manual",$M59=$A$15)),0,
         IF(OFFSET(CRONOPLE!$F$15,$M59-$A$15,BQ$13)=0,10^12,OFFSET(CRONOPLE!$F$15,$M59-$A$15,BQ$13)))</f>
        <v>1</v>
      </c>
      <c r="BR59" s="171">
        <f ca="1">IF(OR($D59&lt;&gt;"Serviço",AND(AUTOEVENTO="Manual",$M59=$A$15)),0,
         IF(OFFSET(CRONOPLE!$F$15,$M59-$A$15,BR$13)=0,10^12,OFFSET(CRONOPLE!$F$15,$M59-$A$15,BR$13)))</f>
        <v>1000000000000</v>
      </c>
      <c r="BS59" s="171">
        <f ca="1">IF(OR($D59&lt;&gt;"Serviço",AND(AUTOEVENTO="Manual",$M59=$A$15)),0,
         IF(OFFSET(CRONOPLE!$F$15,$M59-$A$15,BS$13)=0,10^12,OFFSET(CRONOPLE!$F$15,$M59-$A$15,BS$13)))</f>
        <v>1000000000000</v>
      </c>
      <c r="BT59" s="171">
        <f ca="1">IF(OR($D59&lt;&gt;"Serviço",AND(AUTOEVENTO="Manual",$M59=$A$15)),0,
         IF(OFFSET(CRONOPLE!$F$15,$M59-$A$15,BT$13)=0,10^12,OFFSET(CRONOPLE!$F$15,$M59-$A$15,BT$13)))</f>
        <v>1000000000000</v>
      </c>
      <c r="BV59" s="172">
        <f ca="1">IF(OR($D59&lt;&gt;"Serviço",AND(AUTOEVENTO="Manual",$M59=$A$15),$M59&gt;(ROW(PLE.lastrow)-ROW(PLE.firstrow))),0,
           IF(OFFSET(PLE!$G$15,$M59-$A$15,BV$13)="",10^12,OFFSET(PLE!$G$15,$M59-$A$15,BV$13)))</f>
        <v>1000000000000</v>
      </c>
      <c r="BW59" s="172">
        <f ca="1">IF(OR($D59&lt;&gt;"Serviço",AND(AUTOEVENTO="Manual",$M59=$A$15),$M59&gt;(ROW(PLE.lastrow)-ROW(PLE.firstrow))),0,
           IF(OFFSET(PLE!$G$15,$M59-$A$15,BW$13)="",10^12,OFFSET(PLE!$G$15,$M59-$A$15,BW$13)))</f>
        <v>1000000000000</v>
      </c>
      <c r="BX59" s="172">
        <f ca="1">IF(OR($D59&lt;&gt;"Serviço",AND(AUTOEVENTO="Manual",$M59=$A$15),$M59&gt;(ROW(PLE.lastrow)-ROW(PLE.firstrow))),0,
           IF(OFFSET(PLE!$G$15,$M59-$A$15,BX$13)="",10^12,OFFSET(PLE!$G$15,$M59-$A$15,BX$13)))</f>
        <v>1000000000000</v>
      </c>
      <c r="BY59" s="172">
        <f ca="1">IF(OR($D59&lt;&gt;"Serviço",AND(AUTOEVENTO="Manual",$M59=$A$15),$M59&gt;(ROW(PLE.lastrow)-ROW(PLE.firstrow))),0,
           IF(OFFSET(PLE!$G$15,$M59-$A$15,BY$13)="",10^12,OFFSET(PLE!$G$15,$M59-$A$15,BY$13)))</f>
        <v>1000000000000</v>
      </c>
      <c r="BZ59" s="172">
        <f ca="1">IF(OR($D59&lt;&gt;"Serviço",AND(AUTOEVENTO="Manual",$M59=$A$15),$M59&gt;(ROW(PLE.lastrow)-ROW(PLE.firstrow))),0,
           IF(OFFSET(PLE!$G$15,$M59-$A$15,BZ$13)="",10^12,OFFSET(PLE!$G$15,$M59-$A$15,BZ$13)))</f>
        <v>1000000000000</v>
      </c>
      <c r="CA59" s="172">
        <f ca="1">IF(OR($D59&lt;&gt;"Serviço",AND(AUTOEVENTO="Manual",$M59=$A$15),$M59&gt;(ROW(PLE.lastrow)-ROW(PLE.firstrow))),0,
           IF(OFFSET(PLE!$G$15,$M59-$A$15,CA$13)="",10^12,OFFSET(PLE!$G$15,$M59-$A$15,CA$13)))</f>
        <v>1000000000000</v>
      </c>
      <c r="CB59" s="172">
        <f ca="1">IF(OR($D59&lt;&gt;"Serviço",AND(AUTOEVENTO="Manual",$M59=$A$15),$M59&gt;(ROW(PLE.lastrow)-ROW(PLE.firstrow))),0,
           IF(OFFSET(PLE!$G$15,$M59-$A$15,CB$13)="",10^12,OFFSET(PLE!$G$15,$M59-$A$15,CB$13)))</f>
        <v>1000000000000</v>
      </c>
      <c r="CC59" s="172">
        <f ca="1">IF(OR($D59&lt;&gt;"Serviço",AND(AUTOEVENTO="Manual",$M59=$A$15),$M59&gt;(ROW(PLE.lastrow)-ROW(PLE.firstrow))),0,
           IF(OFFSET(PLE!$G$15,$M59-$A$15,CC$13)="",10^12,OFFSET(PLE!$G$15,$M59-$A$15,CC$13)))</f>
        <v>1000000000000</v>
      </c>
      <c r="CD59" s="172">
        <f ca="1">IF(OR($D59&lt;&gt;"Serviço",AND(AUTOEVENTO="Manual",$M59=$A$15),$M59&gt;(ROW(PLE.lastrow)-ROW(PLE.firstrow))),0,
           IF(OFFSET(PLE!$G$15,$M59-$A$15,CD$13)="",10^12,OFFSET(PLE!$G$15,$M59-$A$15,CD$13)))</f>
        <v>1000000000000</v>
      </c>
      <c r="CE59" s="172">
        <f ca="1">IF(OR($D59&lt;&gt;"Serviço",AND(AUTOEVENTO="Manual",$M59=$A$15),$M59&gt;(ROW(PLE.lastrow)-ROW(PLE.firstrow))),0,
           IF(OFFSET(PLE!$G$15,$M59-$A$15,CE$13)="",10^12,OFFSET(PLE!$G$15,$M59-$A$15,CE$13)))</f>
        <v>1000000000000</v>
      </c>
      <c r="CF59" s="172">
        <f ca="1">IF(OR($D59&lt;&gt;"Serviço",AND(AUTOEVENTO="Manual",$M59=$A$15),$M59&gt;(ROW(PLE.lastrow)-ROW(PLE.firstrow))),0,
           IF(OFFSET(PLE!$G$15,$M59-$A$15,CF$13)="",10^12,OFFSET(PLE!$G$15,$M59-$A$15,CF$13)))</f>
        <v>1000000000000</v>
      </c>
      <c r="CG59" s="172">
        <f ca="1">IF(OR($D59&lt;&gt;"Serviço",AND(AUTOEVENTO="Manual",$M59=$A$15),$M59&gt;(ROW(PLE.lastrow)-ROW(PLE.firstrow))),0,
           IF(OFFSET(PLE!$G$15,$M59-$A$15,CG$13)="",10^12,OFFSET(PLE!$G$15,$M59-$A$15,CG$13)))</f>
        <v>1000000000000</v>
      </c>
      <c r="CH59" s="172">
        <f ca="1">IF(OR($D59&lt;&gt;"Serviço",AND(AUTOEVENTO="Manual",$M59=$A$15),$M59&gt;(ROW(PLE.lastrow)-ROW(PLE.firstrow))),0,
           IF(OFFSET(PLE!$G$15,$M59-$A$15,CH$13)="",10^12,OFFSET(PLE!$G$15,$M59-$A$15,CH$13)))</f>
        <v>1000000000000</v>
      </c>
      <c r="CI59" s="172">
        <f ca="1">IF(OR($D59&lt;&gt;"Serviço",AND(AUTOEVENTO="Manual",$M59=$A$15),$M59&gt;(ROW(PLE.lastrow)-ROW(PLE.firstrow))),0,
           IF(OFFSET(PLE!$G$15,$M59-$A$15,CI$13)="",10^12,OFFSET(PLE!$G$15,$M59-$A$15,CI$13)))</f>
        <v>1000000000000</v>
      </c>
      <c r="CJ59" s="172">
        <f ca="1">IF(OR($D59&lt;&gt;"Serviço",AND(AUTOEVENTO="Manual",$M59=$A$15),$M59&gt;(ROW(PLE.lastrow)-ROW(PLE.firstrow))),0,
           IF(OFFSET(PLE!$G$15,$M59-$A$15,CJ$13)="",10^12,OFFSET(PLE!$G$15,$M59-$A$15,CJ$13)))</f>
        <v>1000000000000</v>
      </c>
      <c r="CK59" s="172">
        <f ca="1">IF(OR($D59&lt;&gt;"Serviço",AND(AUTOEVENTO="Manual",$M59=$A$15),$M59&gt;(ROW(PLE.lastrow)-ROW(PLE.firstrow))),0,
           IF(OFFSET(PLE!$G$15,$M59-$A$15,CK$13)="",10^12,OFFSET(PLE!$G$15,$M59-$A$15,CK$13)))</f>
        <v>1000000000000</v>
      </c>
      <c r="CL59" s="172">
        <f ca="1">IF(OR($D59&lt;&gt;"Serviço",AND(AUTOEVENTO="Manual",$M59=$A$15),$M59&gt;(ROW(PLE.lastrow)-ROW(PLE.firstrow))),0,
           IF(OFFSET(PLE!$G$15,$M59-$A$15,CL$13)="",10^12,OFFSET(PLE!$G$15,$M59-$A$15,CL$13)))</f>
        <v>1000000000000</v>
      </c>
      <c r="CM59" s="172">
        <f ca="1">IF(OR($D59&lt;&gt;"Serviço",AND(AUTOEVENTO="Manual",$M59=$A$15),$M59&gt;(ROW(PLE.lastrow)-ROW(PLE.firstrow))),0,
           IF(OFFSET(PLE!$G$15,$M59-$A$15,CM$13)="",10^12,OFFSET(PLE!$G$15,$M59-$A$15,CM$13)))</f>
        <v>1000000000000</v>
      </c>
    </row>
    <row r="60" spans="1:91" ht="13.2" x14ac:dyDescent="0.25">
      <c r="A60" s="7" t="str">
        <f t="shared" ca="1" si="11"/>
        <v>45.</v>
      </c>
      <c r="B60" s="7">
        <f ca="1">OFFSET(ORÇAMENTO!C$15,ROW(B60)-ROW(B$15),0)</f>
        <v>2</v>
      </c>
      <c r="C60" s="7" t="str">
        <f ca="1">OFFSET(ORÇAMENTO!L$15,ROW(C60)-ROW(C$15),0)</f>
        <v>F</v>
      </c>
      <c r="D60" s="116" t="str">
        <f ca="1">OFFSET(ORÇAMENTO!N$15,ROW(D60)-ROW(D$15),0)</f>
        <v>Nível 2</v>
      </c>
      <c r="E60" s="117" t="str">
        <f ca="1">OFFSET(ORÇAMENTO!O$15,ROW(E60)-ROW(E$15),0)</f>
        <v>2.2.</v>
      </c>
      <c r="F60" s="163" t="str">
        <f ca="1">OFFSET(ORÇAMENTO!R$15,ROW(F60)-ROW(F$15),0)</f>
        <v>DRENAGEM</v>
      </c>
      <c r="G60" s="164" t="str">
        <f ca="1">IF($D60&lt;&gt;"Serviço","",OFFSET(ORÇAMENTO!S$15,ROW(G60)-ROW(G$15),0))</f>
        <v/>
      </c>
      <c r="H60" s="122" cm="1">
        <f t="array" aca="1" ref="H60" ca="1">IF($D60&lt;&gt;"Serviço",0,IF(ACOMPANHAMENTO="BM",ROUND(OFFSET(ORÇAMENTO!AJ$15,ROW(H60)-ROW(H$15),0),15-13*ORÇAMENTO!$AF$7),SUMPRODUCT(($Q$1:$AI$1=1)*ROUND($Q60:$AI60,15-13*ORÇAMENTO!$AF$7))))</f>
        <v>0</v>
      </c>
      <c r="I60" s="468"/>
      <c r="J60" s="651" t="str" cm="1">
        <f t="array" aca="1" ref="J60" ca="1">IF(OR(B60&lt;&gt;"S",CÁLCULO.FrentesPreenchidas=0),"",IF(AND(ACOMPANHAMENTO="PLE",AUTOEVENTO="Manual",OR(H60&gt;0,ORÇAMENTO!AC60="QUANT."),OR(K60="",M60=0,N60="")),"►E",IF(AND(ACOMPANHAMENTO="PLE",ORÇAMENTO!AC60="QUANT."),"►Q",IF(AND(ACOMPANHAMENTO="PLE",H60&lt;&gt;SUMPRODUCT(($Q$1:$AI$1=1)*ROUND(Q60:AI60,15))),"►S",IF(AND(COUNTIF($P$11:$AI$11,"▼")=0,H60&gt;0,I60=""),"◄M","")))))</f>
        <v/>
      </c>
      <c r="K60" s="652"/>
      <c r="L60" s="165" t="s">
        <v>764</v>
      </c>
      <c r="M60" s="166" t="str">
        <f ca="1">IF($D60&lt;&gt;"Serviço","",
          IF(AUTOEVENTO="manual",$A60,
                IF(ISERROR(MATCH($A60,$A$15:OFFSET($A60,-1,0),0)),MAX($M$15:OFFSET(M60,-1,0))+1,
                      INDEX($M$15:OFFSET(M60,-1,0),MATCH($A60,$A$15:OFFSET($A60,-1,0),0)))))</f>
        <v/>
      </c>
      <c r="N60" s="167" t="str">
        <f ca="1">IF($D60&lt;&gt;"Serviço","",
         IF(AUTOEVENTO="Manual",
                IF($A60=0,"&lt;-- defina o número do agrupador",
                       OFFSET(EVENTOS!$D$15,$A60-$A$15,0)),
                OFFSET($F$15,$A60,0)))</f>
        <v/>
      </c>
      <c r="O60" s="168"/>
      <c r="Q60" s="168"/>
      <c r="R60" s="169"/>
      <c r="S60" s="169"/>
      <c r="T60" s="169"/>
      <c r="U60" s="169"/>
      <c r="V60" s="169"/>
      <c r="W60" s="169"/>
      <c r="X60" s="169"/>
      <c r="Y60" s="169"/>
      <c r="Z60" s="170"/>
      <c r="AA60" s="169"/>
      <c r="AB60" s="169"/>
      <c r="AC60" s="169"/>
      <c r="AD60" s="169"/>
      <c r="AE60" s="169"/>
      <c r="AF60" s="169"/>
      <c r="AG60" s="169"/>
      <c r="AH60" s="170"/>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L60" s="453">
        <f ca="1">IF(AND($D60="Serviço",AL$12&lt;&gt;0,$H60&gt;0,OR(AUTOEVENTO&lt;&gt;"manual",$M60&lt;&gt;$A$15)),
        IF(Import.TipoArredondamento&lt;&gt;"TransfereGOV",
              ROUND(OFFSET($P60,0,AL$13),15-13*ORÇAMENTO!$AF$7)/$H60*OFFSET(ORÇAMENTO!$X$15,ROW(AL60)-ROW(AL$15),0),
              ROUND(ROUND(OFFSET($P60,0,AL$13),15-13*ORÇAMENTO!$AF$7)*OFFSET(ORÇAMENTO!$W$15,ROW(AL60)-ROW(AL$15),0),15-13*ORÇAMENTO!$AF$11)),
         0)</f>
        <v>0</v>
      </c>
      <c r="AM60" s="453">
        <f ca="1">IF(AND($D60="Serviço",AM$12&lt;&gt;0,$H60&gt;0,OR(AUTOEVENTO&lt;&gt;"manual",$M60&lt;&gt;$A$15)),
        IF(Import.TipoArredondamento&lt;&gt;"TransfereGOV",
              ROUND(OFFSET($P60,0,AM$13),15-13*ORÇAMENTO!$AF$7)/$H60*OFFSET(ORÇAMENTO!$X$15,ROW(AM60)-ROW(AM$15),0),
              ROUND(ROUND(OFFSET($P60,0,AM$13),15-13*ORÇAMENTO!$AF$7)*OFFSET(ORÇAMENTO!$W$15,ROW(AM60)-ROW(AM$15),0),15-13*ORÇAMENTO!$AF$11)),
         0)</f>
        <v>0</v>
      </c>
      <c r="AN60" s="453">
        <f ca="1">IF(AND($D60="Serviço",AN$12&lt;&gt;0,$H60&gt;0,OR(AUTOEVENTO&lt;&gt;"manual",$M60&lt;&gt;$A$15)),
        IF(Import.TipoArredondamento&lt;&gt;"TransfereGOV",
              ROUND(OFFSET($P60,0,AN$13),15-13*ORÇAMENTO!$AF$7)/$H60*OFFSET(ORÇAMENTO!$X$15,ROW(AN60)-ROW(AN$15),0),
              ROUND(ROUND(OFFSET($P60,0,AN$13),15-13*ORÇAMENTO!$AF$7)*OFFSET(ORÇAMENTO!$W$15,ROW(AN60)-ROW(AN$15),0),15-13*ORÇAMENTO!$AF$11)),
         0)</f>
        <v>0</v>
      </c>
      <c r="AO60" s="453">
        <f ca="1">IF(AND($D60="Serviço",AO$12&lt;&gt;0,$H60&gt;0,OR(AUTOEVENTO&lt;&gt;"manual",$M60&lt;&gt;$A$15)),
        IF(Import.TipoArredondamento&lt;&gt;"TransfereGOV",
              ROUND(OFFSET($P60,0,AO$13),15-13*ORÇAMENTO!$AF$7)/$H60*OFFSET(ORÇAMENTO!$X$15,ROW(AO60)-ROW(AO$15),0),
              ROUND(ROUND(OFFSET($P60,0,AO$13),15-13*ORÇAMENTO!$AF$7)*OFFSET(ORÇAMENTO!$W$15,ROW(AO60)-ROW(AO$15),0),15-13*ORÇAMENTO!$AF$11)),
         0)</f>
        <v>0</v>
      </c>
      <c r="AP60" s="453">
        <f ca="1">IF(AND($D60="Serviço",AP$12&lt;&gt;0,$H60&gt;0,OR(AUTOEVENTO&lt;&gt;"manual",$M60&lt;&gt;$A$15)),
        IF(Import.TipoArredondamento&lt;&gt;"TransfereGOV",
              ROUND(OFFSET($P60,0,AP$13),15-13*ORÇAMENTO!$AF$7)/$H60*OFFSET(ORÇAMENTO!$X$15,ROW(AP60)-ROW(AP$15),0),
              ROUND(ROUND(OFFSET($P60,0,AP$13),15-13*ORÇAMENTO!$AF$7)*OFFSET(ORÇAMENTO!$W$15,ROW(AP60)-ROW(AP$15),0),15-13*ORÇAMENTO!$AF$11)),
         0)</f>
        <v>0</v>
      </c>
      <c r="AQ60" s="453">
        <f ca="1">IF(AND($D60="Serviço",AQ$12&lt;&gt;0,$H60&gt;0,OR(AUTOEVENTO&lt;&gt;"manual",$M60&lt;&gt;$A$15)),
        IF(Import.TipoArredondamento&lt;&gt;"TransfereGOV",
              ROUND(OFFSET($P60,0,AQ$13),15-13*ORÇAMENTO!$AF$7)/$H60*OFFSET(ORÇAMENTO!$X$15,ROW(AQ60)-ROW(AQ$15),0),
              ROUND(ROUND(OFFSET($P60,0,AQ$13),15-13*ORÇAMENTO!$AF$7)*OFFSET(ORÇAMENTO!$W$15,ROW(AQ60)-ROW(AQ$15),0),15-13*ORÇAMENTO!$AF$11)),
         0)</f>
        <v>0</v>
      </c>
      <c r="AR60" s="453">
        <f ca="1">IF(AND($D60="Serviço",AR$12&lt;&gt;0,$H60&gt;0,OR(AUTOEVENTO&lt;&gt;"manual",$M60&lt;&gt;$A$15)),
        IF(Import.TipoArredondamento&lt;&gt;"TransfereGOV",
              ROUND(OFFSET($P60,0,AR$13),15-13*ORÇAMENTO!$AF$7)/$H60*OFFSET(ORÇAMENTO!$X$15,ROW(AR60)-ROW(AR$15),0),
              ROUND(ROUND(OFFSET($P60,0,AR$13),15-13*ORÇAMENTO!$AF$7)*OFFSET(ORÇAMENTO!$W$15,ROW(AR60)-ROW(AR$15),0),15-13*ORÇAMENTO!$AF$11)),
         0)</f>
        <v>0</v>
      </c>
      <c r="AS60" s="453">
        <f ca="1">IF(AND($D60="Serviço",AS$12&lt;&gt;0,$H60&gt;0,OR(AUTOEVENTO&lt;&gt;"manual",$M60&lt;&gt;$A$15)),
        IF(Import.TipoArredondamento&lt;&gt;"TransfereGOV",
              ROUND(OFFSET($P60,0,AS$13),15-13*ORÇAMENTO!$AF$7)/$H60*OFFSET(ORÇAMENTO!$X$15,ROW(AS60)-ROW(AS$15),0),
              ROUND(ROUND(OFFSET($P60,0,AS$13),15-13*ORÇAMENTO!$AF$7)*OFFSET(ORÇAMENTO!$W$15,ROW(AS60)-ROW(AS$15),0),15-13*ORÇAMENTO!$AF$11)),
         0)</f>
        <v>0</v>
      </c>
      <c r="AT60" s="453">
        <f ca="1">IF(AND($D60="Serviço",AT$12&lt;&gt;0,$H60&gt;0,OR(AUTOEVENTO&lt;&gt;"manual",$M60&lt;&gt;$A$15)),
        IF(Import.TipoArredondamento&lt;&gt;"TransfereGOV",
              ROUND(OFFSET($P60,0,AT$13),15-13*ORÇAMENTO!$AF$7)/$H60*OFFSET(ORÇAMENTO!$X$15,ROW(AT60)-ROW(AT$15),0),
              ROUND(ROUND(OFFSET($P60,0,AT$13),15-13*ORÇAMENTO!$AF$7)*OFFSET(ORÇAMENTO!$W$15,ROW(AT60)-ROW(AT$15),0),15-13*ORÇAMENTO!$AF$11)),
         0)</f>
        <v>0</v>
      </c>
      <c r="AU60" s="453">
        <f ca="1">IF(AND($D60="Serviço",AU$12&lt;&gt;0,$H60&gt;0,OR(AUTOEVENTO&lt;&gt;"manual",$M60&lt;&gt;$A$15)),
        IF(Import.TipoArredondamento&lt;&gt;"TransfereGOV",
              ROUND(OFFSET($P60,0,AU$13),15-13*ORÇAMENTO!$AF$7)/$H60*OFFSET(ORÇAMENTO!$X$15,ROW(AU60)-ROW(AU$15),0),
              ROUND(ROUND(OFFSET($P60,0,AU$13),15-13*ORÇAMENTO!$AF$7)*OFFSET(ORÇAMENTO!$W$15,ROW(AU60)-ROW(AU$15),0),15-13*ORÇAMENTO!$AF$11)),
         0)</f>
        <v>0</v>
      </c>
      <c r="AV60" s="453">
        <f ca="1">IF(AND($D60="Serviço",AV$12&lt;&gt;0,$H60&gt;0,OR(AUTOEVENTO&lt;&gt;"manual",$M60&lt;&gt;$A$15)),
        IF(Import.TipoArredondamento&lt;&gt;"TransfereGOV",
              ROUND(OFFSET($P60,0,AV$13),15-13*ORÇAMENTO!$AF$7)/$H60*OFFSET(ORÇAMENTO!$X$15,ROW(AV60)-ROW(AV$15),0),
              ROUND(ROUND(OFFSET($P60,0,AV$13),15-13*ORÇAMENTO!$AF$7)*OFFSET(ORÇAMENTO!$W$15,ROW(AV60)-ROW(AV$15),0),15-13*ORÇAMENTO!$AF$11)),
         0)</f>
        <v>0</v>
      </c>
      <c r="AW60" s="453">
        <f ca="1">IF(AND($D60="Serviço",AW$12&lt;&gt;0,$H60&gt;0,OR(AUTOEVENTO&lt;&gt;"manual",$M60&lt;&gt;$A$15)),
        IF(Import.TipoArredondamento&lt;&gt;"TransfereGOV",
              ROUND(OFFSET($P60,0,AW$13),15-13*ORÇAMENTO!$AF$7)/$H60*OFFSET(ORÇAMENTO!$X$15,ROW(AW60)-ROW(AW$15),0),
              ROUND(ROUND(OFFSET($P60,0,AW$13),15-13*ORÇAMENTO!$AF$7)*OFFSET(ORÇAMENTO!$W$15,ROW(AW60)-ROW(AW$15),0),15-13*ORÇAMENTO!$AF$11)),
         0)</f>
        <v>0</v>
      </c>
      <c r="AX60" s="453">
        <f ca="1">IF(AND($D60="Serviço",AX$12&lt;&gt;0,$H60&gt;0,OR(AUTOEVENTO&lt;&gt;"manual",$M60&lt;&gt;$A$15)),
        IF(Import.TipoArredondamento&lt;&gt;"TransfereGOV",
              ROUND(OFFSET($P60,0,AX$13),15-13*ORÇAMENTO!$AF$7)/$H60*OFFSET(ORÇAMENTO!$X$15,ROW(AX60)-ROW(AX$15),0),
              ROUND(ROUND(OFFSET($P60,0,AX$13),15-13*ORÇAMENTO!$AF$7)*OFFSET(ORÇAMENTO!$W$15,ROW(AX60)-ROW(AX$15),0),15-13*ORÇAMENTO!$AF$11)),
         0)</f>
        <v>0</v>
      </c>
      <c r="AY60" s="453">
        <f ca="1">IF(AND($D60="Serviço",AY$12&lt;&gt;0,$H60&gt;0,OR(AUTOEVENTO&lt;&gt;"manual",$M60&lt;&gt;$A$15)),
        IF(Import.TipoArredondamento&lt;&gt;"TransfereGOV",
              ROUND(OFFSET($P60,0,AY$13),15-13*ORÇAMENTO!$AF$7)/$H60*OFFSET(ORÇAMENTO!$X$15,ROW(AY60)-ROW(AY$15),0),
              ROUND(ROUND(OFFSET($P60,0,AY$13),15-13*ORÇAMENTO!$AF$7)*OFFSET(ORÇAMENTO!$W$15,ROW(AY60)-ROW(AY$15),0),15-13*ORÇAMENTO!$AF$11)),
         0)</f>
        <v>0</v>
      </c>
      <c r="AZ60" s="453">
        <f ca="1">IF(AND($D60="Serviço",AZ$12&lt;&gt;0,$H60&gt;0,OR(AUTOEVENTO&lt;&gt;"manual",$M60&lt;&gt;$A$15)),
        IF(Import.TipoArredondamento&lt;&gt;"TransfereGOV",
              ROUND(OFFSET($P60,0,AZ$13),15-13*ORÇAMENTO!$AF$7)/$H60*OFFSET(ORÇAMENTO!$X$15,ROW(AZ60)-ROW(AZ$15),0),
              ROUND(ROUND(OFFSET($P60,0,AZ$13),15-13*ORÇAMENTO!$AF$7)*OFFSET(ORÇAMENTO!$W$15,ROW(AZ60)-ROW(AZ$15),0),15-13*ORÇAMENTO!$AF$11)),
         0)</f>
        <v>0</v>
      </c>
      <c r="BA60" s="453">
        <f ca="1">IF(AND($D60="Serviço",BA$12&lt;&gt;0,$H60&gt;0,OR(AUTOEVENTO&lt;&gt;"manual",$M60&lt;&gt;$A$15)),
        IF(Import.TipoArredondamento&lt;&gt;"TransfereGOV",
              ROUND(OFFSET($P60,0,BA$13),15-13*ORÇAMENTO!$AF$7)/$H60*OFFSET(ORÇAMENTO!$X$15,ROW(BA60)-ROW(BA$15),0),
              ROUND(ROUND(OFFSET($P60,0,BA$13),15-13*ORÇAMENTO!$AF$7)*OFFSET(ORÇAMENTO!$W$15,ROW(BA60)-ROW(BA$15),0),15-13*ORÇAMENTO!$AF$11)),
         0)</f>
        <v>0</v>
      </c>
      <c r="BC60" s="171">
        <f ca="1">IF(OR($D60&lt;&gt;"Serviço",AND(AUTOEVENTO="Manual",$M60=$A$15)),0,
         IF(OFFSET(CRONOPLE!$F$15,$M60-$A$15,BC$13)=0,10^12,OFFSET(CRONOPLE!$F$15,$M60-$A$15,BC$13)))</f>
        <v>0</v>
      </c>
      <c r="BD60" s="171">
        <f ca="1">IF(OR($D60&lt;&gt;"Serviço",AND(AUTOEVENTO="Manual",$M60=$A$15)),0,
         IF(OFFSET(CRONOPLE!$F$15,$M60-$A$15,BD$13)=0,10^12,OFFSET(CRONOPLE!$F$15,$M60-$A$15,BD$13)))</f>
        <v>0</v>
      </c>
      <c r="BE60" s="171">
        <f ca="1">IF(OR($D60&lt;&gt;"Serviço",AND(AUTOEVENTO="Manual",$M60=$A$15)),0,
         IF(OFFSET(CRONOPLE!$F$15,$M60-$A$15,BE$13)=0,10^12,OFFSET(CRONOPLE!$F$15,$M60-$A$15,BE$13)))</f>
        <v>0</v>
      </c>
      <c r="BF60" s="171">
        <f ca="1">IF(OR($D60&lt;&gt;"Serviço",AND(AUTOEVENTO="Manual",$M60=$A$15)),0,
         IF(OFFSET(CRONOPLE!$F$15,$M60-$A$15,BF$13)=0,10^12,OFFSET(CRONOPLE!$F$15,$M60-$A$15,BF$13)))</f>
        <v>0</v>
      </c>
      <c r="BG60" s="171">
        <f ca="1">IF(OR($D60&lt;&gt;"Serviço",AND(AUTOEVENTO="Manual",$M60=$A$15)),0,
         IF(OFFSET(CRONOPLE!$F$15,$M60-$A$15,BG$13)=0,10^12,OFFSET(CRONOPLE!$F$15,$M60-$A$15,BG$13)))</f>
        <v>0</v>
      </c>
      <c r="BH60" s="171">
        <f ca="1">IF(OR($D60&lt;&gt;"Serviço",AND(AUTOEVENTO="Manual",$M60=$A$15)),0,
         IF(OFFSET(CRONOPLE!$F$15,$M60-$A$15,BH$13)=0,10^12,OFFSET(CRONOPLE!$F$15,$M60-$A$15,BH$13)))</f>
        <v>0</v>
      </c>
      <c r="BI60" s="171">
        <f ca="1">IF(OR($D60&lt;&gt;"Serviço",AND(AUTOEVENTO="Manual",$M60=$A$15)),0,
         IF(OFFSET(CRONOPLE!$F$15,$M60-$A$15,BI$13)=0,10^12,OFFSET(CRONOPLE!$F$15,$M60-$A$15,BI$13)))</f>
        <v>0</v>
      </c>
      <c r="BJ60" s="171">
        <f ca="1">IF(OR($D60&lt;&gt;"Serviço",AND(AUTOEVENTO="Manual",$M60=$A$15)),0,
         IF(OFFSET(CRONOPLE!$F$15,$M60-$A$15,BJ$13)=0,10^12,OFFSET(CRONOPLE!$F$15,$M60-$A$15,BJ$13)))</f>
        <v>0</v>
      </c>
      <c r="BK60" s="171">
        <f ca="1">IF(OR($D60&lt;&gt;"Serviço",AND(AUTOEVENTO="Manual",$M60=$A$15)),0,
         IF(OFFSET(CRONOPLE!$F$15,$M60-$A$15,BK$13)=0,10^12,OFFSET(CRONOPLE!$F$15,$M60-$A$15,BK$13)))</f>
        <v>0</v>
      </c>
      <c r="BL60" s="171">
        <f ca="1">IF(OR($D60&lt;&gt;"Serviço",AND(AUTOEVENTO="Manual",$M60=$A$15)),0,
         IF(OFFSET(CRONOPLE!$F$15,$M60-$A$15,BL$13)=0,10^12,OFFSET(CRONOPLE!$F$15,$M60-$A$15,BL$13)))</f>
        <v>0</v>
      </c>
      <c r="BM60" s="171">
        <f ca="1">IF(OR($D60&lt;&gt;"Serviço",AND(AUTOEVENTO="Manual",$M60=$A$15)),0,
         IF(OFFSET(CRONOPLE!$F$15,$M60-$A$15,BM$13)=0,10^12,OFFSET(CRONOPLE!$F$15,$M60-$A$15,BM$13)))</f>
        <v>0</v>
      </c>
      <c r="BN60" s="171">
        <f ca="1">IF(OR($D60&lt;&gt;"Serviço",AND(AUTOEVENTO="Manual",$M60=$A$15)),0,
         IF(OFFSET(CRONOPLE!$F$15,$M60-$A$15,BN$13)=0,10^12,OFFSET(CRONOPLE!$F$15,$M60-$A$15,BN$13)))</f>
        <v>0</v>
      </c>
      <c r="BO60" s="171">
        <f ca="1">IF(OR($D60&lt;&gt;"Serviço",AND(AUTOEVENTO="Manual",$M60=$A$15)),0,
         IF(OFFSET(CRONOPLE!$F$15,$M60-$A$15,BO$13)=0,10^12,OFFSET(CRONOPLE!$F$15,$M60-$A$15,BO$13)))</f>
        <v>0</v>
      </c>
      <c r="BP60" s="171">
        <f ca="1">IF(OR($D60&lt;&gt;"Serviço",AND(AUTOEVENTO="Manual",$M60=$A$15)),0,
         IF(OFFSET(CRONOPLE!$F$15,$M60-$A$15,BP$13)=0,10^12,OFFSET(CRONOPLE!$F$15,$M60-$A$15,BP$13)))</f>
        <v>0</v>
      </c>
      <c r="BQ60" s="171">
        <f ca="1">IF(OR($D60&lt;&gt;"Serviço",AND(AUTOEVENTO="Manual",$M60=$A$15)),0,
         IF(OFFSET(CRONOPLE!$F$15,$M60-$A$15,BQ$13)=0,10^12,OFFSET(CRONOPLE!$F$15,$M60-$A$15,BQ$13)))</f>
        <v>0</v>
      </c>
      <c r="BR60" s="171">
        <f ca="1">IF(OR($D60&lt;&gt;"Serviço",AND(AUTOEVENTO="Manual",$M60=$A$15)),0,
         IF(OFFSET(CRONOPLE!$F$15,$M60-$A$15,BR$13)=0,10^12,OFFSET(CRONOPLE!$F$15,$M60-$A$15,BR$13)))</f>
        <v>0</v>
      </c>
      <c r="BS60" s="171">
        <f ca="1">IF(OR($D60&lt;&gt;"Serviço",AND(AUTOEVENTO="Manual",$M60=$A$15)),0,
         IF(OFFSET(CRONOPLE!$F$15,$M60-$A$15,BS$13)=0,10^12,OFFSET(CRONOPLE!$F$15,$M60-$A$15,BS$13)))</f>
        <v>0</v>
      </c>
      <c r="BT60" s="171">
        <f ca="1">IF(OR($D60&lt;&gt;"Serviço",AND(AUTOEVENTO="Manual",$M60=$A$15)),0,
         IF(OFFSET(CRONOPLE!$F$15,$M60-$A$15,BT$13)=0,10^12,OFFSET(CRONOPLE!$F$15,$M60-$A$15,BT$13)))</f>
        <v>0</v>
      </c>
      <c r="BV60" s="172">
        <f ca="1">IF(OR($D60&lt;&gt;"Serviço",AND(AUTOEVENTO="Manual",$M60=$A$15),$M60&gt;(ROW(PLE.lastrow)-ROW(PLE.firstrow))),0,
           IF(OFFSET(PLE!$G$15,$M60-$A$15,BV$13)="",10^12,OFFSET(PLE!$G$15,$M60-$A$15,BV$13)))</f>
        <v>0</v>
      </c>
      <c r="BW60" s="172">
        <f ca="1">IF(OR($D60&lt;&gt;"Serviço",AND(AUTOEVENTO="Manual",$M60=$A$15),$M60&gt;(ROW(PLE.lastrow)-ROW(PLE.firstrow))),0,
           IF(OFFSET(PLE!$G$15,$M60-$A$15,BW$13)="",10^12,OFFSET(PLE!$G$15,$M60-$A$15,BW$13)))</f>
        <v>0</v>
      </c>
      <c r="BX60" s="172">
        <f ca="1">IF(OR($D60&lt;&gt;"Serviço",AND(AUTOEVENTO="Manual",$M60=$A$15),$M60&gt;(ROW(PLE.lastrow)-ROW(PLE.firstrow))),0,
           IF(OFFSET(PLE!$G$15,$M60-$A$15,BX$13)="",10^12,OFFSET(PLE!$G$15,$M60-$A$15,BX$13)))</f>
        <v>0</v>
      </c>
      <c r="BY60" s="172">
        <f ca="1">IF(OR($D60&lt;&gt;"Serviço",AND(AUTOEVENTO="Manual",$M60=$A$15),$M60&gt;(ROW(PLE.lastrow)-ROW(PLE.firstrow))),0,
           IF(OFFSET(PLE!$G$15,$M60-$A$15,BY$13)="",10^12,OFFSET(PLE!$G$15,$M60-$A$15,BY$13)))</f>
        <v>0</v>
      </c>
      <c r="BZ60" s="172">
        <f ca="1">IF(OR($D60&lt;&gt;"Serviço",AND(AUTOEVENTO="Manual",$M60=$A$15),$M60&gt;(ROW(PLE.lastrow)-ROW(PLE.firstrow))),0,
           IF(OFFSET(PLE!$G$15,$M60-$A$15,BZ$13)="",10^12,OFFSET(PLE!$G$15,$M60-$A$15,BZ$13)))</f>
        <v>0</v>
      </c>
      <c r="CA60" s="172">
        <f ca="1">IF(OR($D60&lt;&gt;"Serviço",AND(AUTOEVENTO="Manual",$M60=$A$15),$M60&gt;(ROW(PLE.lastrow)-ROW(PLE.firstrow))),0,
           IF(OFFSET(PLE!$G$15,$M60-$A$15,CA$13)="",10^12,OFFSET(PLE!$G$15,$M60-$A$15,CA$13)))</f>
        <v>0</v>
      </c>
      <c r="CB60" s="172">
        <f ca="1">IF(OR($D60&lt;&gt;"Serviço",AND(AUTOEVENTO="Manual",$M60=$A$15),$M60&gt;(ROW(PLE.lastrow)-ROW(PLE.firstrow))),0,
           IF(OFFSET(PLE!$G$15,$M60-$A$15,CB$13)="",10^12,OFFSET(PLE!$G$15,$M60-$A$15,CB$13)))</f>
        <v>0</v>
      </c>
      <c r="CC60" s="172">
        <f ca="1">IF(OR($D60&lt;&gt;"Serviço",AND(AUTOEVENTO="Manual",$M60=$A$15),$M60&gt;(ROW(PLE.lastrow)-ROW(PLE.firstrow))),0,
           IF(OFFSET(PLE!$G$15,$M60-$A$15,CC$13)="",10^12,OFFSET(PLE!$G$15,$M60-$A$15,CC$13)))</f>
        <v>0</v>
      </c>
      <c r="CD60" s="172">
        <f ca="1">IF(OR($D60&lt;&gt;"Serviço",AND(AUTOEVENTO="Manual",$M60=$A$15),$M60&gt;(ROW(PLE.lastrow)-ROW(PLE.firstrow))),0,
           IF(OFFSET(PLE!$G$15,$M60-$A$15,CD$13)="",10^12,OFFSET(PLE!$G$15,$M60-$A$15,CD$13)))</f>
        <v>0</v>
      </c>
      <c r="CE60" s="172">
        <f ca="1">IF(OR($D60&lt;&gt;"Serviço",AND(AUTOEVENTO="Manual",$M60=$A$15),$M60&gt;(ROW(PLE.lastrow)-ROW(PLE.firstrow))),0,
           IF(OFFSET(PLE!$G$15,$M60-$A$15,CE$13)="",10^12,OFFSET(PLE!$G$15,$M60-$A$15,CE$13)))</f>
        <v>0</v>
      </c>
      <c r="CF60" s="172">
        <f ca="1">IF(OR($D60&lt;&gt;"Serviço",AND(AUTOEVENTO="Manual",$M60=$A$15),$M60&gt;(ROW(PLE.lastrow)-ROW(PLE.firstrow))),0,
           IF(OFFSET(PLE!$G$15,$M60-$A$15,CF$13)="",10^12,OFFSET(PLE!$G$15,$M60-$A$15,CF$13)))</f>
        <v>0</v>
      </c>
      <c r="CG60" s="172">
        <f ca="1">IF(OR($D60&lt;&gt;"Serviço",AND(AUTOEVENTO="Manual",$M60=$A$15),$M60&gt;(ROW(PLE.lastrow)-ROW(PLE.firstrow))),0,
           IF(OFFSET(PLE!$G$15,$M60-$A$15,CG$13)="",10^12,OFFSET(PLE!$G$15,$M60-$A$15,CG$13)))</f>
        <v>0</v>
      </c>
      <c r="CH60" s="172">
        <f ca="1">IF(OR($D60&lt;&gt;"Serviço",AND(AUTOEVENTO="Manual",$M60=$A$15),$M60&gt;(ROW(PLE.lastrow)-ROW(PLE.firstrow))),0,
           IF(OFFSET(PLE!$G$15,$M60-$A$15,CH$13)="",10^12,OFFSET(PLE!$G$15,$M60-$A$15,CH$13)))</f>
        <v>0</v>
      </c>
      <c r="CI60" s="172">
        <f ca="1">IF(OR($D60&lt;&gt;"Serviço",AND(AUTOEVENTO="Manual",$M60=$A$15),$M60&gt;(ROW(PLE.lastrow)-ROW(PLE.firstrow))),0,
           IF(OFFSET(PLE!$G$15,$M60-$A$15,CI$13)="",10^12,OFFSET(PLE!$G$15,$M60-$A$15,CI$13)))</f>
        <v>0</v>
      </c>
      <c r="CJ60" s="172">
        <f ca="1">IF(OR($D60&lt;&gt;"Serviço",AND(AUTOEVENTO="Manual",$M60=$A$15),$M60&gt;(ROW(PLE.lastrow)-ROW(PLE.firstrow))),0,
           IF(OFFSET(PLE!$G$15,$M60-$A$15,CJ$13)="",10^12,OFFSET(PLE!$G$15,$M60-$A$15,CJ$13)))</f>
        <v>0</v>
      </c>
      <c r="CK60" s="172">
        <f ca="1">IF(OR($D60&lt;&gt;"Serviço",AND(AUTOEVENTO="Manual",$M60=$A$15),$M60&gt;(ROW(PLE.lastrow)-ROW(PLE.firstrow))),0,
           IF(OFFSET(PLE!$G$15,$M60-$A$15,CK$13)="",10^12,OFFSET(PLE!$G$15,$M60-$A$15,CK$13)))</f>
        <v>0</v>
      </c>
      <c r="CL60" s="172">
        <f ca="1">IF(OR($D60&lt;&gt;"Serviço",AND(AUTOEVENTO="Manual",$M60=$A$15),$M60&gt;(ROW(PLE.lastrow)-ROW(PLE.firstrow))),0,
           IF(OFFSET(PLE!$G$15,$M60-$A$15,CL$13)="",10^12,OFFSET(PLE!$G$15,$M60-$A$15,CL$13)))</f>
        <v>0</v>
      </c>
      <c r="CM60" s="172">
        <f ca="1">IF(OR($D60&lt;&gt;"Serviço",AND(AUTOEVENTO="Manual",$M60=$A$15),$M60&gt;(ROW(PLE.lastrow)-ROW(PLE.firstrow))),0,
           IF(OFFSET(PLE!$G$15,$M60-$A$15,CM$13)="",10^12,OFFSET(PLE!$G$15,$M60-$A$15,CM$13)))</f>
        <v>0</v>
      </c>
    </row>
    <row r="61" spans="1:91" ht="13.2" x14ac:dyDescent="0.25">
      <c r="A61" s="7" t="str">
        <f t="shared" ca="1" si="11"/>
        <v>45</v>
      </c>
      <c r="B61" s="7" t="str">
        <f ca="1">OFFSET(ORÇAMENTO!C$15,ROW(B61)-ROW(B$15),0)</f>
        <v>S</v>
      </c>
      <c r="C61" s="7" t="str">
        <f ca="1">OFFSET(ORÇAMENTO!L$15,ROW(C61)-ROW(C$15),0)</f>
        <v>F</v>
      </c>
      <c r="D61" s="116" t="str">
        <f ca="1">OFFSET(ORÇAMENTO!N$15,ROW(D61)-ROW(D$15),0)</f>
        <v>Serviço</v>
      </c>
      <c r="E61" s="117" t="str">
        <f ca="1">OFFSET(ORÇAMENTO!O$15,ROW(E61)-ROW(E$15),0)</f>
        <v>2.2.1.</v>
      </c>
      <c r="F61" s="163" t="str">
        <f ca="1">OFFSET(ORÇAMENTO!R$15,ROW(F61)-ROW(F$15),0)</f>
        <v>Escavação mecânica com retroescavadeira em material de 1ª categoria</v>
      </c>
      <c r="G61" s="164" t="str">
        <f ca="1">IF($D61&lt;&gt;"Serviço","",OFFSET(ORÇAMENTO!S$15,ROW(G61)-ROW(G$15),0))</f>
        <v>m³</v>
      </c>
      <c r="H61" s="122" cm="1">
        <f t="array" aca="1" ref="H61" ca="1">IF($D61&lt;&gt;"Serviço",0,IF(ACOMPANHAMENTO="BM",ROUND(OFFSET(ORÇAMENTO!AJ$15,ROW(H61)-ROW(H$15),0),15-13*ORÇAMENTO!$AF$7),SUMPRODUCT(($Q$1:$AI$1=1)*ROUND($Q61:$AI61,15-13*ORÇAMENTO!$AF$7))))</f>
        <v>34.4</v>
      </c>
      <c r="I61" s="468"/>
      <c r="J61" s="651" t="e" cm="1">
        <f t="array" aca="1" ref="J61" ca="1">IF(OR(B61&lt;&gt;"S",CÁLCULO.FrentesPreenchidas=0),"",IF(AND(ACOMPANHAMENTO="PLE",AUTOEVENTO="Manual",OR(H61&gt;0,ORÇAMENTO!AC61="QUANT."),OR(K61="",M61=0,N61="")),"►E",IF(AND(ACOMPANHAMENTO="PLE",ORÇAMENTO!AC61="QUANT."),"►Q",IF(AND(ACOMPANHAMENTO="PLE",H61&lt;&gt;SUMPRODUCT(($Q$1:$AI$1=1)*ROUND(Q61:AI61,15))),"►S",IF(AND(COUNTIF($P$11:$AI$11,"▼")=0,H61&gt;0,I61=""),"◄M","")))))</f>
        <v>#NAME?</v>
      </c>
      <c r="K61" s="652"/>
      <c r="L61" s="165" t="s">
        <v>764</v>
      </c>
      <c r="M61" s="166">
        <f ca="1">IF($D61&lt;&gt;"Serviço","",
          IF(AUTOEVENTO="manual",$A61,
                IF(ISERROR(MATCH($A61,$A$15:OFFSET($A61,-1,0),0)),MAX($M$15:OFFSET(M61,-1,0))+1,
                      INDEX($M$15:OFFSET(M61,-1,0),MATCH($A61,$A$15:OFFSET($A61,-1,0),0)))))</f>
        <v>9</v>
      </c>
      <c r="N61" s="167" t="str">
        <f ca="1">IF($D61&lt;&gt;"Serviço","",
         IF(AUTOEVENTO="Manual",
                IF($A61=0,"&lt;-- defina o número do agrupador",
                       OFFSET(EVENTOS!$D$15,$A61-$A$15,0)),
                OFFSET($F$15,$A61,0)))</f>
        <v>DRENAGEM</v>
      </c>
      <c r="O61" s="168"/>
      <c r="Q61" s="168"/>
      <c r="R61" s="169"/>
      <c r="S61" s="169"/>
      <c r="T61" s="169">
        <f>43*0.8*1</f>
        <v>34.4</v>
      </c>
      <c r="U61" s="169"/>
      <c r="V61" s="169"/>
      <c r="W61" s="169"/>
      <c r="X61" s="169"/>
      <c r="Y61" s="169"/>
      <c r="Z61" s="170"/>
      <c r="AA61" s="169"/>
      <c r="AB61" s="169"/>
      <c r="AC61" s="169"/>
      <c r="AD61" s="169"/>
      <c r="AE61" s="169"/>
      <c r="AF61" s="169"/>
      <c r="AG61" s="169"/>
      <c r="AH61" s="170"/>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L61" s="453">
        <f ca="1">IF(AND($D61="Serviço",AL$12&lt;&gt;0,$H61&gt;0,OR(AUTOEVENTO&lt;&gt;"manual",$M61&lt;&gt;$A$15)),
        IF(Import.TipoArredondamento&lt;&gt;"TransfereGOV",
              ROUND(OFFSET($P61,0,AL$13),15-13*ORÇAMENTO!$AF$7)/$H61*OFFSET(ORÇAMENTO!$X$15,ROW(AL61)-ROW(AL$15),0),
              ROUND(ROUND(OFFSET($P61,0,AL$13),15-13*ORÇAMENTO!$AF$7)*OFFSET(ORÇAMENTO!$W$15,ROW(AL61)-ROW(AL$15),0),15-13*ORÇAMENTO!$AF$11)),
         0)</f>
        <v>0</v>
      </c>
      <c r="AM61" s="453">
        <f ca="1">IF(AND($D61="Serviço",AM$12&lt;&gt;0,$H61&gt;0,OR(AUTOEVENTO&lt;&gt;"manual",$M61&lt;&gt;$A$15)),
        IF(Import.TipoArredondamento&lt;&gt;"TransfereGOV",
              ROUND(OFFSET($P61,0,AM$13),15-13*ORÇAMENTO!$AF$7)/$H61*OFFSET(ORÇAMENTO!$X$15,ROW(AM61)-ROW(AM$15),0),
              ROUND(ROUND(OFFSET($P61,0,AM$13),15-13*ORÇAMENTO!$AF$7)*OFFSET(ORÇAMENTO!$W$15,ROW(AM61)-ROW(AM$15),0),15-13*ORÇAMENTO!$AF$11)),
         0)</f>
        <v>311.66000000000003</v>
      </c>
      <c r="AN61" s="453">
        <f ca="1">IF(AND($D61="Serviço",AN$12&lt;&gt;0,$H61&gt;0,OR(AUTOEVENTO&lt;&gt;"manual",$M61&lt;&gt;$A$15)),
        IF(Import.TipoArredondamento&lt;&gt;"TransfereGOV",
              ROUND(OFFSET($P61,0,AN$13),15-13*ORÇAMENTO!$AF$7)/$H61*OFFSET(ORÇAMENTO!$X$15,ROW(AN61)-ROW(AN$15),0),
              ROUND(ROUND(OFFSET($P61,0,AN$13),15-13*ORÇAMENTO!$AF$7)*OFFSET(ORÇAMENTO!$W$15,ROW(AN61)-ROW(AN$15),0),15-13*ORÇAMENTO!$AF$11)),
         0)</f>
        <v>0</v>
      </c>
      <c r="AO61" s="453">
        <f ca="1">IF(AND($D61="Serviço",AO$12&lt;&gt;0,$H61&gt;0,OR(AUTOEVENTO&lt;&gt;"manual",$M61&lt;&gt;$A$15)),
        IF(Import.TipoArredondamento&lt;&gt;"TransfereGOV",
              ROUND(OFFSET($P61,0,AO$13),15-13*ORÇAMENTO!$AF$7)/$H61*OFFSET(ORÇAMENTO!$X$15,ROW(AO61)-ROW(AO$15),0),
              ROUND(ROUND(OFFSET($P61,0,AO$13),15-13*ORÇAMENTO!$AF$7)*OFFSET(ORÇAMENTO!$W$15,ROW(AO61)-ROW(AO$15),0),15-13*ORÇAMENTO!$AF$11)),
         0)</f>
        <v>0</v>
      </c>
      <c r="AP61" s="453">
        <f ca="1">IF(AND($D61="Serviço",AP$12&lt;&gt;0,$H61&gt;0,OR(AUTOEVENTO&lt;&gt;"manual",$M61&lt;&gt;$A$15)),
        IF(Import.TipoArredondamento&lt;&gt;"TransfereGOV",
              ROUND(OFFSET($P61,0,AP$13),15-13*ORÇAMENTO!$AF$7)/$H61*OFFSET(ORÇAMENTO!$X$15,ROW(AP61)-ROW(AP$15),0),
              ROUND(ROUND(OFFSET($P61,0,AP$13),15-13*ORÇAMENTO!$AF$7)*OFFSET(ORÇAMENTO!$W$15,ROW(AP61)-ROW(AP$15),0),15-13*ORÇAMENTO!$AF$11)),
         0)</f>
        <v>0</v>
      </c>
      <c r="AQ61" s="453">
        <f ca="1">IF(AND($D61="Serviço",AQ$12&lt;&gt;0,$H61&gt;0,OR(AUTOEVENTO&lt;&gt;"manual",$M61&lt;&gt;$A$15)),
        IF(Import.TipoArredondamento&lt;&gt;"TransfereGOV",
              ROUND(OFFSET($P61,0,AQ$13),15-13*ORÇAMENTO!$AF$7)/$H61*OFFSET(ORÇAMENTO!$X$15,ROW(AQ61)-ROW(AQ$15),0),
              ROUND(ROUND(OFFSET($P61,0,AQ$13),15-13*ORÇAMENTO!$AF$7)*OFFSET(ORÇAMENTO!$W$15,ROW(AQ61)-ROW(AQ$15),0),15-13*ORÇAMENTO!$AF$11)),
         0)</f>
        <v>0</v>
      </c>
      <c r="AR61" s="453">
        <f ca="1">IF(AND($D61="Serviço",AR$12&lt;&gt;0,$H61&gt;0,OR(AUTOEVENTO&lt;&gt;"manual",$M61&lt;&gt;$A$15)),
        IF(Import.TipoArredondamento&lt;&gt;"TransfereGOV",
              ROUND(OFFSET($P61,0,AR$13),15-13*ORÇAMENTO!$AF$7)/$H61*OFFSET(ORÇAMENTO!$X$15,ROW(AR61)-ROW(AR$15),0),
              ROUND(ROUND(OFFSET($P61,0,AR$13),15-13*ORÇAMENTO!$AF$7)*OFFSET(ORÇAMENTO!$W$15,ROW(AR61)-ROW(AR$15),0),15-13*ORÇAMENTO!$AF$11)),
         0)</f>
        <v>0</v>
      </c>
      <c r="AS61" s="453">
        <f ca="1">IF(AND($D61="Serviço",AS$12&lt;&gt;0,$H61&gt;0,OR(AUTOEVENTO&lt;&gt;"manual",$M61&lt;&gt;$A$15)),
        IF(Import.TipoArredondamento&lt;&gt;"TransfereGOV",
              ROUND(OFFSET($P61,0,AS$13),15-13*ORÇAMENTO!$AF$7)/$H61*OFFSET(ORÇAMENTO!$X$15,ROW(AS61)-ROW(AS$15),0),
              ROUND(ROUND(OFFSET($P61,0,AS$13),15-13*ORÇAMENTO!$AF$7)*OFFSET(ORÇAMENTO!$W$15,ROW(AS61)-ROW(AS$15),0),15-13*ORÇAMENTO!$AF$11)),
         0)</f>
        <v>0</v>
      </c>
      <c r="AT61" s="453">
        <f ca="1">IF(AND($D61="Serviço",AT$12&lt;&gt;0,$H61&gt;0,OR(AUTOEVENTO&lt;&gt;"manual",$M61&lt;&gt;$A$15)),
        IF(Import.TipoArredondamento&lt;&gt;"TransfereGOV",
              ROUND(OFFSET($P61,0,AT$13),15-13*ORÇAMENTO!$AF$7)/$H61*OFFSET(ORÇAMENTO!$X$15,ROW(AT61)-ROW(AT$15),0),
              ROUND(ROUND(OFFSET($P61,0,AT$13),15-13*ORÇAMENTO!$AF$7)*OFFSET(ORÇAMENTO!$W$15,ROW(AT61)-ROW(AT$15),0),15-13*ORÇAMENTO!$AF$11)),
         0)</f>
        <v>0</v>
      </c>
      <c r="AU61" s="453">
        <f ca="1">IF(AND($D61="Serviço",AU$12&lt;&gt;0,$H61&gt;0,OR(AUTOEVENTO&lt;&gt;"manual",$M61&lt;&gt;$A$15)),
        IF(Import.TipoArredondamento&lt;&gt;"TransfereGOV",
              ROUND(OFFSET($P61,0,AU$13),15-13*ORÇAMENTO!$AF$7)/$H61*OFFSET(ORÇAMENTO!$X$15,ROW(AU61)-ROW(AU$15),0),
              ROUND(ROUND(OFFSET($P61,0,AU$13),15-13*ORÇAMENTO!$AF$7)*OFFSET(ORÇAMENTO!$W$15,ROW(AU61)-ROW(AU$15),0),15-13*ORÇAMENTO!$AF$11)),
         0)</f>
        <v>0</v>
      </c>
      <c r="AV61" s="453">
        <f ca="1">IF(AND($D61="Serviço",AV$12&lt;&gt;0,$H61&gt;0,OR(AUTOEVENTO&lt;&gt;"manual",$M61&lt;&gt;$A$15)),
        IF(Import.TipoArredondamento&lt;&gt;"TransfereGOV",
              ROUND(OFFSET($P61,0,AV$13),15-13*ORÇAMENTO!$AF$7)/$H61*OFFSET(ORÇAMENTO!$X$15,ROW(AV61)-ROW(AV$15),0),
              ROUND(ROUND(OFFSET($P61,0,AV$13),15-13*ORÇAMENTO!$AF$7)*OFFSET(ORÇAMENTO!$W$15,ROW(AV61)-ROW(AV$15),0),15-13*ORÇAMENTO!$AF$11)),
         0)</f>
        <v>0</v>
      </c>
      <c r="AW61" s="453">
        <f ca="1">IF(AND($D61="Serviço",AW$12&lt;&gt;0,$H61&gt;0,OR(AUTOEVENTO&lt;&gt;"manual",$M61&lt;&gt;$A$15)),
        IF(Import.TipoArredondamento&lt;&gt;"TransfereGOV",
              ROUND(OFFSET($P61,0,AW$13),15-13*ORÇAMENTO!$AF$7)/$H61*OFFSET(ORÇAMENTO!$X$15,ROW(AW61)-ROW(AW$15),0),
              ROUND(ROUND(OFFSET($P61,0,AW$13),15-13*ORÇAMENTO!$AF$7)*OFFSET(ORÇAMENTO!$W$15,ROW(AW61)-ROW(AW$15),0),15-13*ORÇAMENTO!$AF$11)),
         0)</f>
        <v>0</v>
      </c>
      <c r="AX61" s="453">
        <f ca="1">IF(AND($D61="Serviço",AX$12&lt;&gt;0,$H61&gt;0,OR(AUTOEVENTO&lt;&gt;"manual",$M61&lt;&gt;$A$15)),
        IF(Import.TipoArredondamento&lt;&gt;"TransfereGOV",
              ROUND(OFFSET($P61,0,AX$13),15-13*ORÇAMENTO!$AF$7)/$H61*OFFSET(ORÇAMENTO!$X$15,ROW(AX61)-ROW(AX$15),0),
              ROUND(ROUND(OFFSET($P61,0,AX$13),15-13*ORÇAMENTO!$AF$7)*OFFSET(ORÇAMENTO!$W$15,ROW(AX61)-ROW(AX$15),0),15-13*ORÇAMENTO!$AF$11)),
         0)</f>
        <v>0</v>
      </c>
      <c r="AY61" s="453">
        <f ca="1">IF(AND($D61="Serviço",AY$12&lt;&gt;0,$H61&gt;0,OR(AUTOEVENTO&lt;&gt;"manual",$M61&lt;&gt;$A$15)),
        IF(Import.TipoArredondamento&lt;&gt;"TransfereGOV",
              ROUND(OFFSET($P61,0,AY$13),15-13*ORÇAMENTO!$AF$7)/$H61*OFFSET(ORÇAMENTO!$X$15,ROW(AY61)-ROW(AY$15),0),
              ROUND(ROUND(OFFSET($P61,0,AY$13),15-13*ORÇAMENTO!$AF$7)*OFFSET(ORÇAMENTO!$W$15,ROW(AY61)-ROW(AY$15),0),15-13*ORÇAMENTO!$AF$11)),
         0)</f>
        <v>0</v>
      </c>
      <c r="AZ61" s="453">
        <f ca="1">IF(AND($D61="Serviço",AZ$12&lt;&gt;0,$H61&gt;0,OR(AUTOEVENTO&lt;&gt;"manual",$M61&lt;&gt;$A$15)),
        IF(Import.TipoArredondamento&lt;&gt;"TransfereGOV",
              ROUND(OFFSET($P61,0,AZ$13),15-13*ORÇAMENTO!$AF$7)/$H61*OFFSET(ORÇAMENTO!$X$15,ROW(AZ61)-ROW(AZ$15),0),
              ROUND(ROUND(OFFSET($P61,0,AZ$13),15-13*ORÇAMENTO!$AF$7)*OFFSET(ORÇAMENTO!$W$15,ROW(AZ61)-ROW(AZ$15),0),15-13*ORÇAMENTO!$AF$11)),
         0)</f>
        <v>0</v>
      </c>
      <c r="BA61" s="453">
        <f ca="1">IF(AND($D61="Serviço",BA$12&lt;&gt;0,$H61&gt;0,OR(AUTOEVENTO&lt;&gt;"manual",$M61&lt;&gt;$A$15)),
        IF(Import.TipoArredondamento&lt;&gt;"TransfereGOV",
              ROUND(OFFSET($P61,0,BA$13),15-13*ORÇAMENTO!$AF$7)/$H61*OFFSET(ORÇAMENTO!$X$15,ROW(BA61)-ROW(BA$15),0),
              ROUND(ROUND(OFFSET($P61,0,BA$13),15-13*ORÇAMENTO!$AF$7)*OFFSET(ORÇAMENTO!$W$15,ROW(BA61)-ROW(BA$15),0),15-13*ORÇAMENTO!$AF$11)),
         0)</f>
        <v>0</v>
      </c>
      <c r="BC61" s="171">
        <f ca="1">IF(OR($D61&lt;&gt;"Serviço",AND(AUTOEVENTO="Manual",$M61=$A$15)),0,
         IF(OFFSET(CRONOPLE!$F$15,$M61-$A$15,BC$13)=0,10^12,OFFSET(CRONOPLE!$F$15,$M61-$A$15,BC$13)))</f>
        <v>1000000000000</v>
      </c>
      <c r="BD61" s="171">
        <f ca="1">IF(OR($D61&lt;&gt;"Serviço",AND(AUTOEVENTO="Manual",$M61=$A$15)),0,
         IF(OFFSET(CRONOPLE!$F$15,$M61-$A$15,BD$13)=0,10^12,OFFSET(CRONOPLE!$F$15,$M61-$A$15,BD$13)))</f>
        <v>1000000000000</v>
      </c>
      <c r="BE61" s="171">
        <f ca="1">IF(OR($D61&lt;&gt;"Serviço",AND(AUTOEVENTO="Manual",$M61=$A$15)),0,
         IF(OFFSET(CRONOPLE!$F$15,$M61-$A$15,BE$13)=0,10^12,OFFSET(CRONOPLE!$F$15,$M61-$A$15,BE$13)))</f>
        <v>1000000000000</v>
      </c>
      <c r="BF61" s="171">
        <f ca="1">IF(OR($D61&lt;&gt;"Serviço",AND(AUTOEVENTO="Manual",$M61=$A$15)),0,
         IF(OFFSET(CRONOPLE!$F$15,$M61-$A$15,BF$13)=0,10^12,OFFSET(CRONOPLE!$F$15,$M61-$A$15,BF$13)))</f>
        <v>1</v>
      </c>
      <c r="BG61" s="171">
        <f ca="1">IF(OR($D61&lt;&gt;"Serviço",AND(AUTOEVENTO="Manual",$M61=$A$15)),0,
         IF(OFFSET(CRONOPLE!$F$15,$M61-$A$15,BG$13)=0,10^12,OFFSET(CRONOPLE!$F$15,$M61-$A$15,BG$13)))</f>
        <v>1000000000000</v>
      </c>
      <c r="BH61" s="171">
        <f ca="1">IF(OR($D61&lt;&gt;"Serviço",AND(AUTOEVENTO="Manual",$M61=$A$15)),0,
         IF(OFFSET(CRONOPLE!$F$15,$M61-$A$15,BH$13)=0,10^12,OFFSET(CRONOPLE!$F$15,$M61-$A$15,BH$13)))</f>
        <v>1000000000000</v>
      </c>
      <c r="BI61" s="171">
        <f ca="1">IF(OR($D61&lt;&gt;"Serviço",AND(AUTOEVENTO="Manual",$M61=$A$15)),0,
         IF(OFFSET(CRONOPLE!$F$15,$M61-$A$15,BI$13)=0,10^12,OFFSET(CRONOPLE!$F$15,$M61-$A$15,BI$13)))</f>
        <v>1000000000000</v>
      </c>
      <c r="BJ61" s="171">
        <f ca="1">IF(OR($D61&lt;&gt;"Serviço",AND(AUTOEVENTO="Manual",$M61=$A$15)),0,
         IF(OFFSET(CRONOPLE!$F$15,$M61-$A$15,BJ$13)=0,10^12,OFFSET(CRONOPLE!$F$15,$M61-$A$15,BJ$13)))</f>
        <v>1000000000000</v>
      </c>
      <c r="BK61" s="171">
        <f ca="1">IF(OR($D61&lt;&gt;"Serviço",AND(AUTOEVENTO="Manual",$M61=$A$15)),0,
         IF(OFFSET(CRONOPLE!$F$15,$M61-$A$15,BK$13)=0,10^12,OFFSET(CRONOPLE!$F$15,$M61-$A$15,BK$13)))</f>
        <v>1000000000000</v>
      </c>
      <c r="BL61" s="171">
        <f ca="1">IF(OR($D61&lt;&gt;"Serviço",AND(AUTOEVENTO="Manual",$M61=$A$15)),0,
         IF(OFFSET(CRONOPLE!$F$15,$M61-$A$15,BL$13)=0,10^12,OFFSET(CRONOPLE!$F$15,$M61-$A$15,BL$13)))</f>
        <v>1000000000000</v>
      </c>
      <c r="BM61" s="171">
        <f ca="1">IF(OR($D61&lt;&gt;"Serviço",AND(AUTOEVENTO="Manual",$M61=$A$15)),0,
         IF(OFFSET(CRONOPLE!$F$15,$M61-$A$15,BM$13)=0,10^12,OFFSET(CRONOPLE!$F$15,$M61-$A$15,BM$13)))</f>
        <v>1000000000000</v>
      </c>
      <c r="BN61" s="171">
        <f ca="1">IF(OR($D61&lt;&gt;"Serviço",AND(AUTOEVENTO="Manual",$M61=$A$15)),0,
         IF(OFFSET(CRONOPLE!$F$15,$M61-$A$15,BN$13)=0,10^12,OFFSET(CRONOPLE!$F$15,$M61-$A$15,BN$13)))</f>
        <v>1000000000000</v>
      </c>
      <c r="BO61" s="171">
        <f ca="1">IF(OR($D61&lt;&gt;"Serviço",AND(AUTOEVENTO="Manual",$M61=$A$15)),0,
         IF(OFFSET(CRONOPLE!$F$15,$M61-$A$15,BO$13)=0,10^12,OFFSET(CRONOPLE!$F$15,$M61-$A$15,BO$13)))</f>
        <v>1000000000000</v>
      </c>
      <c r="BP61" s="171">
        <f ca="1">IF(OR($D61&lt;&gt;"Serviço",AND(AUTOEVENTO="Manual",$M61=$A$15)),0,
         IF(OFFSET(CRONOPLE!$F$15,$M61-$A$15,BP$13)=0,10^12,OFFSET(CRONOPLE!$F$15,$M61-$A$15,BP$13)))</f>
        <v>1000000000000</v>
      </c>
      <c r="BQ61" s="171">
        <f ca="1">IF(OR($D61&lt;&gt;"Serviço",AND(AUTOEVENTO="Manual",$M61=$A$15)),0,
         IF(OFFSET(CRONOPLE!$F$15,$M61-$A$15,BQ$13)=0,10^12,OFFSET(CRONOPLE!$F$15,$M61-$A$15,BQ$13)))</f>
        <v>1000000000000</v>
      </c>
      <c r="BR61" s="171">
        <f ca="1">IF(OR($D61&lt;&gt;"Serviço",AND(AUTOEVENTO="Manual",$M61=$A$15)),0,
         IF(OFFSET(CRONOPLE!$F$15,$M61-$A$15,BR$13)=0,10^12,OFFSET(CRONOPLE!$F$15,$M61-$A$15,BR$13)))</f>
        <v>1000000000000</v>
      </c>
      <c r="BS61" s="171">
        <f ca="1">IF(OR($D61&lt;&gt;"Serviço",AND(AUTOEVENTO="Manual",$M61=$A$15)),0,
         IF(OFFSET(CRONOPLE!$F$15,$M61-$A$15,BS$13)=0,10^12,OFFSET(CRONOPLE!$F$15,$M61-$A$15,BS$13)))</f>
        <v>1000000000000</v>
      </c>
      <c r="BT61" s="171">
        <f ca="1">IF(OR($D61&lt;&gt;"Serviço",AND(AUTOEVENTO="Manual",$M61=$A$15)),0,
         IF(OFFSET(CRONOPLE!$F$15,$M61-$A$15,BT$13)=0,10^12,OFFSET(CRONOPLE!$F$15,$M61-$A$15,BT$13)))</f>
        <v>1000000000000</v>
      </c>
      <c r="BV61" s="172">
        <f ca="1">IF(OR($D61&lt;&gt;"Serviço",AND(AUTOEVENTO="Manual",$M61=$A$15),$M61&gt;(ROW(PLE.lastrow)-ROW(PLE.firstrow))),0,
           IF(OFFSET(PLE!$G$15,$M61-$A$15,BV$13)="",10^12,OFFSET(PLE!$G$15,$M61-$A$15,BV$13)))</f>
        <v>1000000000000</v>
      </c>
      <c r="BW61" s="172">
        <f ca="1">IF(OR($D61&lt;&gt;"Serviço",AND(AUTOEVENTO="Manual",$M61=$A$15),$M61&gt;(ROW(PLE.lastrow)-ROW(PLE.firstrow))),0,
           IF(OFFSET(PLE!$G$15,$M61-$A$15,BW$13)="",10^12,OFFSET(PLE!$G$15,$M61-$A$15,BW$13)))</f>
        <v>1000000000000</v>
      </c>
      <c r="BX61" s="172">
        <f ca="1">IF(OR($D61&lt;&gt;"Serviço",AND(AUTOEVENTO="Manual",$M61=$A$15),$M61&gt;(ROW(PLE.lastrow)-ROW(PLE.firstrow))),0,
           IF(OFFSET(PLE!$G$15,$M61-$A$15,BX$13)="",10^12,OFFSET(PLE!$G$15,$M61-$A$15,BX$13)))</f>
        <v>1000000000000</v>
      </c>
      <c r="BY61" s="172">
        <f ca="1">IF(OR($D61&lt;&gt;"Serviço",AND(AUTOEVENTO="Manual",$M61=$A$15),$M61&gt;(ROW(PLE.lastrow)-ROW(PLE.firstrow))),0,
           IF(OFFSET(PLE!$G$15,$M61-$A$15,BY$13)="",10^12,OFFSET(PLE!$G$15,$M61-$A$15,BY$13)))</f>
        <v>1000000000000</v>
      </c>
      <c r="BZ61" s="172">
        <f ca="1">IF(OR($D61&lt;&gt;"Serviço",AND(AUTOEVENTO="Manual",$M61=$A$15),$M61&gt;(ROW(PLE.lastrow)-ROW(PLE.firstrow))),0,
           IF(OFFSET(PLE!$G$15,$M61-$A$15,BZ$13)="",10^12,OFFSET(PLE!$G$15,$M61-$A$15,BZ$13)))</f>
        <v>1000000000000</v>
      </c>
      <c r="CA61" s="172">
        <f ca="1">IF(OR($D61&lt;&gt;"Serviço",AND(AUTOEVENTO="Manual",$M61=$A$15),$M61&gt;(ROW(PLE.lastrow)-ROW(PLE.firstrow))),0,
           IF(OFFSET(PLE!$G$15,$M61-$A$15,CA$13)="",10^12,OFFSET(PLE!$G$15,$M61-$A$15,CA$13)))</f>
        <v>1000000000000</v>
      </c>
      <c r="CB61" s="172">
        <f ca="1">IF(OR($D61&lt;&gt;"Serviço",AND(AUTOEVENTO="Manual",$M61=$A$15),$M61&gt;(ROW(PLE.lastrow)-ROW(PLE.firstrow))),0,
           IF(OFFSET(PLE!$G$15,$M61-$A$15,CB$13)="",10^12,OFFSET(PLE!$G$15,$M61-$A$15,CB$13)))</f>
        <v>1000000000000</v>
      </c>
      <c r="CC61" s="172">
        <f ca="1">IF(OR($D61&lt;&gt;"Serviço",AND(AUTOEVENTO="Manual",$M61=$A$15),$M61&gt;(ROW(PLE.lastrow)-ROW(PLE.firstrow))),0,
           IF(OFFSET(PLE!$G$15,$M61-$A$15,CC$13)="",10^12,OFFSET(PLE!$G$15,$M61-$A$15,CC$13)))</f>
        <v>1000000000000</v>
      </c>
      <c r="CD61" s="172">
        <f ca="1">IF(OR($D61&lt;&gt;"Serviço",AND(AUTOEVENTO="Manual",$M61=$A$15),$M61&gt;(ROW(PLE.lastrow)-ROW(PLE.firstrow))),0,
           IF(OFFSET(PLE!$G$15,$M61-$A$15,CD$13)="",10^12,OFFSET(PLE!$G$15,$M61-$A$15,CD$13)))</f>
        <v>1000000000000</v>
      </c>
      <c r="CE61" s="172">
        <f ca="1">IF(OR($D61&lt;&gt;"Serviço",AND(AUTOEVENTO="Manual",$M61=$A$15),$M61&gt;(ROW(PLE.lastrow)-ROW(PLE.firstrow))),0,
           IF(OFFSET(PLE!$G$15,$M61-$A$15,CE$13)="",10^12,OFFSET(PLE!$G$15,$M61-$A$15,CE$13)))</f>
        <v>1000000000000</v>
      </c>
      <c r="CF61" s="172">
        <f ca="1">IF(OR($D61&lt;&gt;"Serviço",AND(AUTOEVENTO="Manual",$M61=$A$15),$M61&gt;(ROW(PLE.lastrow)-ROW(PLE.firstrow))),0,
           IF(OFFSET(PLE!$G$15,$M61-$A$15,CF$13)="",10^12,OFFSET(PLE!$G$15,$M61-$A$15,CF$13)))</f>
        <v>1000000000000</v>
      </c>
      <c r="CG61" s="172">
        <f ca="1">IF(OR($D61&lt;&gt;"Serviço",AND(AUTOEVENTO="Manual",$M61=$A$15),$M61&gt;(ROW(PLE.lastrow)-ROW(PLE.firstrow))),0,
           IF(OFFSET(PLE!$G$15,$M61-$A$15,CG$13)="",10^12,OFFSET(PLE!$G$15,$M61-$A$15,CG$13)))</f>
        <v>1000000000000</v>
      </c>
      <c r="CH61" s="172">
        <f ca="1">IF(OR($D61&lt;&gt;"Serviço",AND(AUTOEVENTO="Manual",$M61=$A$15),$M61&gt;(ROW(PLE.lastrow)-ROW(PLE.firstrow))),0,
           IF(OFFSET(PLE!$G$15,$M61-$A$15,CH$13)="",10^12,OFFSET(PLE!$G$15,$M61-$A$15,CH$13)))</f>
        <v>1000000000000</v>
      </c>
      <c r="CI61" s="172">
        <f ca="1">IF(OR($D61&lt;&gt;"Serviço",AND(AUTOEVENTO="Manual",$M61=$A$15),$M61&gt;(ROW(PLE.lastrow)-ROW(PLE.firstrow))),0,
           IF(OFFSET(PLE!$G$15,$M61-$A$15,CI$13)="",10^12,OFFSET(PLE!$G$15,$M61-$A$15,CI$13)))</f>
        <v>1000000000000</v>
      </c>
      <c r="CJ61" s="172">
        <f ca="1">IF(OR($D61&lt;&gt;"Serviço",AND(AUTOEVENTO="Manual",$M61=$A$15),$M61&gt;(ROW(PLE.lastrow)-ROW(PLE.firstrow))),0,
           IF(OFFSET(PLE!$G$15,$M61-$A$15,CJ$13)="",10^12,OFFSET(PLE!$G$15,$M61-$A$15,CJ$13)))</f>
        <v>1000000000000</v>
      </c>
      <c r="CK61" s="172">
        <f ca="1">IF(OR($D61&lt;&gt;"Serviço",AND(AUTOEVENTO="Manual",$M61=$A$15),$M61&gt;(ROW(PLE.lastrow)-ROW(PLE.firstrow))),0,
           IF(OFFSET(PLE!$G$15,$M61-$A$15,CK$13)="",10^12,OFFSET(PLE!$G$15,$M61-$A$15,CK$13)))</f>
        <v>1000000000000</v>
      </c>
      <c r="CL61" s="172">
        <f ca="1">IF(OR($D61&lt;&gt;"Serviço",AND(AUTOEVENTO="Manual",$M61=$A$15),$M61&gt;(ROW(PLE.lastrow)-ROW(PLE.firstrow))),0,
           IF(OFFSET(PLE!$G$15,$M61-$A$15,CL$13)="",10^12,OFFSET(PLE!$G$15,$M61-$A$15,CL$13)))</f>
        <v>1000000000000</v>
      </c>
      <c r="CM61" s="172">
        <f ca="1">IF(OR($D61&lt;&gt;"Serviço",AND(AUTOEVENTO="Manual",$M61=$A$15),$M61&gt;(ROW(PLE.lastrow)-ROW(PLE.firstrow))),0,
           IF(OFFSET(PLE!$G$15,$M61-$A$15,CM$13)="",10^12,OFFSET(PLE!$G$15,$M61-$A$15,CM$13)))</f>
        <v>1000000000000</v>
      </c>
    </row>
    <row r="62" spans="1:91" ht="26.4" x14ac:dyDescent="0.25">
      <c r="A62" s="7" t="str">
        <f t="shared" ca="1" si="11"/>
        <v>45</v>
      </c>
      <c r="B62" s="7" t="str">
        <f ca="1">OFFSET(ORÇAMENTO!C$15,ROW(B62)-ROW(B$15),0)</f>
        <v>S</v>
      </c>
      <c r="C62" s="7" t="str">
        <f ca="1">OFFSET(ORÇAMENTO!L$15,ROW(C62)-ROW(C$15),0)</f>
        <v>F</v>
      </c>
      <c r="D62" s="116" t="str">
        <f ca="1">OFFSET(ORÇAMENTO!N$15,ROW(D62)-ROW(D$15),0)</f>
        <v>Serviço</v>
      </c>
      <c r="E62" s="117" t="str">
        <f ca="1">OFFSET(ORÇAMENTO!O$15,ROW(E62)-ROW(E$15),0)</f>
        <v>2.2.2.</v>
      </c>
      <c r="F62" s="163" t="str">
        <f ca="1">OFFSET(ORÇAMENTO!R$15,ROW(F62)-ROW(F$15),0)</f>
        <v>Tubo de concreto PA1 comercial para drenagem - D = 0,50 m - fornecimento e instalação</v>
      </c>
      <c r="G62" s="164" t="str">
        <f ca="1">IF($D62&lt;&gt;"Serviço","",OFFSET(ORÇAMENTO!S$15,ROW(G62)-ROW(G$15),0))</f>
        <v>m</v>
      </c>
      <c r="H62" s="122" cm="1">
        <f t="array" aca="1" ref="H62" ca="1">IF($D62&lt;&gt;"Serviço",0,IF(ACOMPANHAMENTO="BM",ROUND(OFFSET(ORÇAMENTO!AJ$15,ROW(H62)-ROW(H$15),0),15-13*ORÇAMENTO!$AF$7),SUMPRODUCT(($Q$1:$AI$1=1)*ROUND($Q62:$AI62,15-13*ORÇAMENTO!$AF$7))))</f>
        <v>43</v>
      </c>
      <c r="I62" s="468"/>
      <c r="J62" s="651" t="e" cm="1">
        <f t="array" aca="1" ref="J62" ca="1">IF(OR(B62&lt;&gt;"S",CÁLCULO.FrentesPreenchidas=0),"",IF(AND(ACOMPANHAMENTO="PLE",AUTOEVENTO="Manual",OR(H62&gt;0,ORÇAMENTO!AC62="QUANT."),OR(K62="",M62=0,N62="")),"►E",IF(AND(ACOMPANHAMENTO="PLE",ORÇAMENTO!AC62="QUANT."),"►Q",IF(AND(ACOMPANHAMENTO="PLE",H62&lt;&gt;SUMPRODUCT(($Q$1:$AI$1=1)*ROUND(Q62:AI62,15))),"►S",IF(AND(COUNTIF($P$11:$AI$11,"▼")=0,H62&gt;0,I62=""),"◄M","")))))</f>
        <v>#NAME?</v>
      </c>
      <c r="K62" s="652"/>
      <c r="L62" s="165" t="s">
        <v>764</v>
      </c>
      <c r="M62" s="166">
        <f ca="1">IF($D62&lt;&gt;"Serviço","",
          IF(AUTOEVENTO="manual",$A62,
                IF(ISERROR(MATCH($A62,$A$15:OFFSET($A62,-1,0),0)),MAX($M$15:OFFSET(M62,-1,0))+1,
                      INDEX($M$15:OFFSET(M62,-1,0),MATCH($A62,$A$15:OFFSET($A62,-1,0),0)))))</f>
        <v>9</v>
      </c>
      <c r="N62" s="167" t="str">
        <f ca="1">IF($D62&lt;&gt;"Serviço","",
         IF(AUTOEVENTO="Manual",
                IF($A62=0,"&lt;-- defina o número do agrupador",
                       OFFSET(EVENTOS!$D$15,$A62-$A$15,0)),
                OFFSET($F$15,$A62,0)))</f>
        <v>DRENAGEM</v>
      </c>
      <c r="O62" s="168"/>
      <c r="Q62" s="168"/>
      <c r="R62" s="169"/>
      <c r="S62" s="169"/>
      <c r="T62" s="169">
        <v>43</v>
      </c>
      <c r="U62" s="169"/>
      <c r="V62" s="169"/>
      <c r="W62" s="169"/>
      <c r="X62" s="169"/>
      <c r="Y62" s="169"/>
      <c r="Z62" s="170"/>
      <c r="AA62" s="169"/>
      <c r="AB62" s="169"/>
      <c r="AC62" s="169"/>
      <c r="AD62" s="169"/>
      <c r="AE62" s="169"/>
      <c r="AF62" s="169"/>
      <c r="AG62" s="169"/>
      <c r="AH62" s="170"/>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L62" s="453">
        <f ca="1">IF(AND($D62="Serviço",AL$12&lt;&gt;0,$H62&gt;0,OR(AUTOEVENTO&lt;&gt;"manual",$M62&lt;&gt;$A$15)),
        IF(Import.TipoArredondamento&lt;&gt;"TransfereGOV",
              ROUND(OFFSET($P62,0,AL$13),15-13*ORÇAMENTO!$AF$7)/$H62*OFFSET(ORÇAMENTO!$X$15,ROW(AL62)-ROW(AL$15),0),
              ROUND(ROUND(OFFSET($P62,0,AL$13),15-13*ORÇAMENTO!$AF$7)*OFFSET(ORÇAMENTO!$W$15,ROW(AL62)-ROW(AL$15),0),15-13*ORÇAMENTO!$AF$11)),
         0)</f>
        <v>0</v>
      </c>
      <c r="AM62" s="453">
        <f ca="1">IF(AND($D62="Serviço",AM$12&lt;&gt;0,$H62&gt;0,OR(AUTOEVENTO&lt;&gt;"manual",$M62&lt;&gt;$A$15)),
        IF(Import.TipoArredondamento&lt;&gt;"TransfereGOV",
              ROUND(OFFSET($P62,0,AM$13),15-13*ORÇAMENTO!$AF$7)/$H62*OFFSET(ORÇAMENTO!$X$15,ROW(AM62)-ROW(AM$15),0),
              ROUND(ROUND(OFFSET($P62,0,AM$13),15-13*ORÇAMENTO!$AF$7)*OFFSET(ORÇAMENTO!$W$15,ROW(AM62)-ROW(AM$15),0),15-13*ORÇAMENTO!$AF$11)),
         0)</f>
        <v>12454.09</v>
      </c>
      <c r="AN62" s="453">
        <f ca="1">IF(AND($D62="Serviço",AN$12&lt;&gt;0,$H62&gt;0,OR(AUTOEVENTO&lt;&gt;"manual",$M62&lt;&gt;$A$15)),
        IF(Import.TipoArredondamento&lt;&gt;"TransfereGOV",
              ROUND(OFFSET($P62,0,AN$13),15-13*ORÇAMENTO!$AF$7)/$H62*OFFSET(ORÇAMENTO!$X$15,ROW(AN62)-ROW(AN$15),0),
              ROUND(ROUND(OFFSET($P62,0,AN$13),15-13*ORÇAMENTO!$AF$7)*OFFSET(ORÇAMENTO!$W$15,ROW(AN62)-ROW(AN$15),0),15-13*ORÇAMENTO!$AF$11)),
         0)</f>
        <v>0</v>
      </c>
      <c r="AO62" s="453">
        <f ca="1">IF(AND($D62="Serviço",AO$12&lt;&gt;0,$H62&gt;0,OR(AUTOEVENTO&lt;&gt;"manual",$M62&lt;&gt;$A$15)),
        IF(Import.TipoArredondamento&lt;&gt;"TransfereGOV",
              ROUND(OFFSET($P62,0,AO$13),15-13*ORÇAMENTO!$AF$7)/$H62*OFFSET(ORÇAMENTO!$X$15,ROW(AO62)-ROW(AO$15),0),
              ROUND(ROUND(OFFSET($P62,0,AO$13),15-13*ORÇAMENTO!$AF$7)*OFFSET(ORÇAMENTO!$W$15,ROW(AO62)-ROW(AO$15),0),15-13*ORÇAMENTO!$AF$11)),
         0)</f>
        <v>0</v>
      </c>
      <c r="AP62" s="453">
        <f ca="1">IF(AND($D62="Serviço",AP$12&lt;&gt;0,$H62&gt;0,OR(AUTOEVENTO&lt;&gt;"manual",$M62&lt;&gt;$A$15)),
        IF(Import.TipoArredondamento&lt;&gt;"TransfereGOV",
              ROUND(OFFSET($P62,0,AP$13),15-13*ORÇAMENTO!$AF$7)/$H62*OFFSET(ORÇAMENTO!$X$15,ROW(AP62)-ROW(AP$15),0),
              ROUND(ROUND(OFFSET($P62,0,AP$13),15-13*ORÇAMENTO!$AF$7)*OFFSET(ORÇAMENTO!$W$15,ROW(AP62)-ROW(AP$15),0),15-13*ORÇAMENTO!$AF$11)),
         0)</f>
        <v>0</v>
      </c>
      <c r="AQ62" s="453">
        <f ca="1">IF(AND($D62="Serviço",AQ$12&lt;&gt;0,$H62&gt;0,OR(AUTOEVENTO&lt;&gt;"manual",$M62&lt;&gt;$A$15)),
        IF(Import.TipoArredondamento&lt;&gt;"TransfereGOV",
              ROUND(OFFSET($P62,0,AQ$13),15-13*ORÇAMENTO!$AF$7)/$H62*OFFSET(ORÇAMENTO!$X$15,ROW(AQ62)-ROW(AQ$15),0),
              ROUND(ROUND(OFFSET($P62,0,AQ$13),15-13*ORÇAMENTO!$AF$7)*OFFSET(ORÇAMENTO!$W$15,ROW(AQ62)-ROW(AQ$15),0),15-13*ORÇAMENTO!$AF$11)),
         0)</f>
        <v>0</v>
      </c>
      <c r="AR62" s="453">
        <f ca="1">IF(AND($D62="Serviço",AR$12&lt;&gt;0,$H62&gt;0,OR(AUTOEVENTO&lt;&gt;"manual",$M62&lt;&gt;$A$15)),
        IF(Import.TipoArredondamento&lt;&gt;"TransfereGOV",
              ROUND(OFFSET($P62,0,AR$13),15-13*ORÇAMENTO!$AF$7)/$H62*OFFSET(ORÇAMENTO!$X$15,ROW(AR62)-ROW(AR$15),0),
              ROUND(ROUND(OFFSET($P62,0,AR$13),15-13*ORÇAMENTO!$AF$7)*OFFSET(ORÇAMENTO!$W$15,ROW(AR62)-ROW(AR$15),0),15-13*ORÇAMENTO!$AF$11)),
         0)</f>
        <v>0</v>
      </c>
      <c r="AS62" s="453">
        <f ca="1">IF(AND($D62="Serviço",AS$12&lt;&gt;0,$H62&gt;0,OR(AUTOEVENTO&lt;&gt;"manual",$M62&lt;&gt;$A$15)),
        IF(Import.TipoArredondamento&lt;&gt;"TransfereGOV",
              ROUND(OFFSET($P62,0,AS$13),15-13*ORÇAMENTO!$AF$7)/$H62*OFFSET(ORÇAMENTO!$X$15,ROW(AS62)-ROW(AS$15),0),
              ROUND(ROUND(OFFSET($P62,0,AS$13),15-13*ORÇAMENTO!$AF$7)*OFFSET(ORÇAMENTO!$W$15,ROW(AS62)-ROW(AS$15),0),15-13*ORÇAMENTO!$AF$11)),
         0)</f>
        <v>0</v>
      </c>
      <c r="AT62" s="453">
        <f ca="1">IF(AND($D62="Serviço",AT$12&lt;&gt;0,$H62&gt;0,OR(AUTOEVENTO&lt;&gt;"manual",$M62&lt;&gt;$A$15)),
        IF(Import.TipoArredondamento&lt;&gt;"TransfereGOV",
              ROUND(OFFSET($P62,0,AT$13),15-13*ORÇAMENTO!$AF$7)/$H62*OFFSET(ORÇAMENTO!$X$15,ROW(AT62)-ROW(AT$15),0),
              ROUND(ROUND(OFFSET($P62,0,AT$13),15-13*ORÇAMENTO!$AF$7)*OFFSET(ORÇAMENTO!$W$15,ROW(AT62)-ROW(AT$15),0),15-13*ORÇAMENTO!$AF$11)),
         0)</f>
        <v>0</v>
      </c>
      <c r="AU62" s="453">
        <f ca="1">IF(AND($D62="Serviço",AU$12&lt;&gt;0,$H62&gt;0,OR(AUTOEVENTO&lt;&gt;"manual",$M62&lt;&gt;$A$15)),
        IF(Import.TipoArredondamento&lt;&gt;"TransfereGOV",
              ROUND(OFFSET($P62,0,AU$13),15-13*ORÇAMENTO!$AF$7)/$H62*OFFSET(ORÇAMENTO!$X$15,ROW(AU62)-ROW(AU$15),0),
              ROUND(ROUND(OFFSET($P62,0,AU$13),15-13*ORÇAMENTO!$AF$7)*OFFSET(ORÇAMENTO!$W$15,ROW(AU62)-ROW(AU$15),0),15-13*ORÇAMENTO!$AF$11)),
         0)</f>
        <v>0</v>
      </c>
      <c r="AV62" s="453">
        <f ca="1">IF(AND($D62="Serviço",AV$12&lt;&gt;0,$H62&gt;0,OR(AUTOEVENTO&lt;&gt;"manual",$M62&lt;&gt;$A$15)),
        IF(Import.TipoArredondamento&lt;&gt;"TransfereGOV",
              ROUND(OFFSET($P62,0,AV$13),15-13*ORÇAMENTO!$AF$7)/$H62*OFFSET(ORÇAMENTO!$X$15,ROW(AV62)-ROW(AV$15),0),
              ROUND(ROUND(OFFSET($P62,0,AV$13),15-13*ORÇAMENTO!$AF$7)*OFFSET(ORÇAMENTO!$W$15,ROW(AV62)-ROW(AV$15),0),15-13*ORÇAMENTO!$AF$11)),
         0)</f>
        <v>0</v>
      </c>
      <c r="AW62" s="453">
        <f ca="1">IF(AND($D62="Serviço",AW$12&lt;&gt;0,$H62&gt;0,OR(AUTOEVENTO&lt;&gt;"manual",$M62&lt;&gt;$A$15)),
        IF(Import.TipoArredondamento&lt;&gt;"TransfereGOV",
              ROUND(OFFSET($P62,0,AW$13),15-13*ORÇAMENTO!$AF$7)/$H62*OFFSET(ORÇAMENTO!$X$15,ROW(AW62)-ROW(AW$15),0),
              ROUND(ROUND(OFFSET($P62,0,AW$13),15-13*ORÇAMENTO!$AF$7)*OFFSET(ORÇAMENTO!$W$15,ROW(AW62)-ROW(AW$15),0),15-13*ORÇAMENTO!$AF$11)),
         0)</f>
        <v>0</v>
      </c>
      <c r="AX62" s="453">
        <f ca="1">IF(AND($D62="Serviço",AX$12&lt;&gt;0,$H62&gt;0,OR(AUTOEVENTO&lt;&gt;"manual",$M62&lt;&gt;$A$15)),
        IF(Import.TipoArredondamento&lt;&gt;"TransfereGOV",
              ROUND(OFFSET($P62,0,AX$13),15-13*ORÇAMENTO!$AF$7)/$H62*OFFSET(ORÇAMENTO!$X$15,ROW(AX62)-ROW(AX$15),0),
              ROUND(ROUND(OFFSET($P62,0,AX$13),15-13*ORÇAMENTO!$AF$7)*OFFSET(ORÇAMENTO!$W$15,ROW(AX62)-ROW(AX$15),0),15-13*ORÇAMENTO!$AF$11)),
         0)</f>
        <v>0</v>
      </c>
      <c r="AY62" s="453">
        <f ca="1">IF(AND($D62="Serviço",AY$12&lt;&gt;0,$H62&gt;0,OR(AUTOEVENTO&lt;&gt;"manual",$M62&lt;&gt;$A$15)),
        IF(Import.TipoArredondamento&lt;&gt;"TransfereGOV",
              ROUND(OFFSET($P62,0,AY$13),15-13*ORÇAMENTO!$AF$7)/$H62*OFFSET(ORÇAMENTO!$X$15,ROW(AY62)-ROW(AY$15),0),
              ROUND(ROUND(OFFSET($P62,0,AY$13),15-13*ORÇAMENTO!$AF$7)*OFFSET(ORÇAMENTO!$W$15,ROW(AY62)-ROW(AY$15),0),15-13*ORÇAMENTO!$AF$11)),
         0)</f>
        <v>0</v>
      </c>
      <c r="AZ62" s="453">
        <f ca="1">IF(AND($D62="Serviço",AZ$12&lt;&gt;0,$H62&gt;0,OR(AUTOEVENTO&lt;&gt;"manual",$M62&lt;&gt;$A$15)),
        IF(Import.TipoArredondamento&lt;&gt;"TransfereGOV",
              ROUND(OFFSET($P62,0,AZ$13),15-13*ORÇAMENTO!$AF$7)/$H62*OFFSET(ORÇAMENTO!$X$15,ROW(AZ62)-ROW(AZ$15),0),
              ROUND(ROUND(OFFSET($P62,0,AZ$13),15-13*ORÇAMENTO!$AF$7)*OFFSET(ORÇAMENTO!$W$15,ROW(AZ62)-ROW(AZ$15),0),15-13*ORÇAMENTO!$AF$11)),
         0)</f>
        <v>0</v>
      </c>
      <c r="BA62" s="453">
        <f ca="1">IF(AND($D62="Serviço",BA$12&lt;&gt;0,$H62&gt;0,OR(AUTOEVENTO&lt;&gt;"manual",$M62&lt;&gt;$A$15)),
        IF(Import.TipoArredondamento&lt;&gt;"TransfereGOV",
              ROUND(OFFSET($P62,0,BA$13),15-13*ORÇAMENTO!$AF$7)/$H62*OFFSET(ORÇAMENTO!$X$15,ROW(BA62)-ROW(BA$15),0),
              ROUND(ROUND(OFFSET($P62,0,BA$13),15-13*ORÇAMENTO!$AF$7)*OFFSET(ORÇAMENTO!$W$15,ROW(BA62)-ROW(BA$15),0),15-13*ORÇAMENTO!$AF$11)),
         0)</f>
        <v>0</v>
      </c>
      <c r="BC62" s="171">
        <f ca="1">IF(OR($D62&lt;&gt;"Serviço",AND(AUTOEVENTO="Manual",$M62=$A$15)),0,
         IF(OFFSET(CRONOPLE!$F$15,$M62-$A$15,BC$13)=0,10^12,OFFSET(CRONOPLE!$F$15,$M62-$A$15,BC$13)))</f>
        <v>1000000000000</v>
      </c>
      <c r="BD62" s="171">
        <f ca="1">IF(OR($D62&lt;&gt;"Serviço",AND(AUTOEVENTO="Manual",$M62=$A$15)),0,
         IF(OFFSET(CRONOPLE!$F$15,$M62-$A$15,BD$13)=0,10^12,OFFSET(CRONOPLE!$F$15,$M62-$A$15,BD$13)))</f>
        <v>1000000000000</v>
      </c>
      <c r="BE62" s="171">
        <f ca="1">IF(OR($D62&lt;&gt;"Serviço",AND(AUTOEVENTO="Manual",$M62=$A$15)),0,
         IF(OFFSET(CRONOPLE!$F$15,$M62-$A$15,BE$13)=0,10^12,OFFSET(CRONOPLE!$F$15,$M62-$A$15,BE$13)))</f>
        <v>1000000000000</v>
      </c>
      <c r="BF62" s="171">
        <f ca="1">IF(OR($D62&lt;&gt;"Serviço",AND(AUTOEVENTO="Manual",$M62=$A$15)),0,
         IF(OFFSET(CRONOPLE!$F$15,$M62-$A$15,BF$13)=0,10^12,OFFSET(CRONOPLE!$F$15,$M62-$A$15,BF$13)))</f>
        <v>1</v>
      </c>
      <c r="BG62" s="171">
        <f ca="1">IF(OR($D62&lt;&gt;"Serviço",AND(AUTOEVENTO="Manual",$M62=$A$15)),0,
         IF(OFFSET(CRONOPLE!$F$15,$M62-$A$15,BG$13)=0,10^12,OFFSET(CRONOPLE!$F$15,$M62-$A$15,BG$13)))</f>
        <v>1000000000000</v>
      </c>
      <c r="BH62" s="171">
        <f ca="1">IF(OR($D62&lt;&gt;"Serviço",AND(AUTOEVENTO="Manual",$M62=$A$15)),0,
         IF(OFFSET(CRONOPLE!$F$15,$M62-$A$15,BH$13)=0,10^12,OFFSET(CRONOPLE!$F$15,$M62-$A$15,BH$13)))</f>
        <v>1000000000000</v>
      </c>
      <c r="BI62" s="171">
        <f ca="1">IF(OR($D62&lt;&gt;"Serviço",AND(AUTOEVENTO="Manual",$M62=$A$15)),0,
         IF(OFFSET(CRONOPLE!$F$15,$M62-$A$15,BI$13)=0,10^12,OFFSET(CRONOPLE!$F$15,$M62-$A$15,BI$13)))</f>
        <v>1000000000000</v>
      </c>
      <c r="BJ62" s="171">
        <f ca="1">IF(OR($D62&lt;&gt;"Serviço",AND(AUTOEVENTO="Manual",$M62=$A$15)),0,
         IF(OFFSET(CRONOPLE!$F$15,$M62-$A$15,BJ$13)=0,10^12,OFFSET(CRONOPLE!$F$15,$M62-$A$15,BJ$13)))</f>
        <v>1000000000000</v>
      </c>
      <c r="BK62" s="171">
        <f ca="1">IF(OR($D62&lt;&gt;"Serviço",AND(AUTOEVENTO="Manual",$M62=$A$15)),0,
         IF(OFFSET(CRONOPLE!$F$15,$M62-$A$15,BK$13)=0,10^12,OFFSET(CRONOPLE!$F$15,$M62-$A$15,BK$13)))</f>
        <v>1000000000000</v>
      </c>
      <c r="BL62" s="171">
        <f ca="1">IF(OR($D62&lt;&gt;"Serviço",AND(AUTOEVENTO="Manual",$M62=$A$15)),0,
         IF(OFFSET(CRONOPLE!$F$15,$M62-$A$15,BL$13)=0,10^12,OFFSET(CRONOPLE!$F$15,$M62-$A$15,BL$13)))</f>
        <v>1000000000000</v>
      </c>
      <c r="BM62" s="171">
        <f ca="1">IF(OR($D62&lt;&gt;"Serviço",AND(AUTOEVENTO="Manual",$M62=$A$15)),0,
         IF(OFFSET(CRONOPLE!$F$15,$M62-$A$15,BM$13)=0,10^12,OFFSET(CRONOPLE!$F$15,$M62-$A$15,BM$13)))</f>
        <v>1000000000000</v>
      </c>
      <c r="BN62" s="171">
        <f ca="1">IF(OR($D62&lt;&gt;"Serviço",AND(AUTOEVENTO="Manual",$M62=$A$15)),0,
         IF(OFFSET(CRONOPLE!$F$15,$M62-$A$15,BN$13)=0,10^12,OFFSET(CRONOPLE!$F$15,$M62-$A$15,BN$13)))</f>
        <v>1000000000000</v>
      </c>
      <c r="BO62" s="171">
        <f ca="1">IF(OR($D62&lt;&gt;"Serviço",AND(AUTOEVENTO="Manual",$M62=$A$15)),0,
         IF(OFFSET(CRONOPLE!$F$15,$M62-$A$15,BO$13)=0,10^12,OFFSET(CRONOPLE!$F$15,$M62-$A$15,BO$13)))</f>
        <v>1000000000000</v>
      </c>
      <c r="BP62" s="171">
        <f ca="1">IF(OR($D62&lt;&gt;"Serviço",AND(AUTOEVENTO="Manual",$M62=$A$15)),0,
         IF(OFFSET(CRONOPLE!$F$15,$M62-$A$15,BP$13)=0,10^12,OFFSET(CRONOPLE!$F$15,$M62-$A$15,BP$13)))</f>
        <v>1000000000000</v>
      </c>
      <c r="BQ62" s="171">
        <f ca="1">IF(OR($D62&lt;&gt;"Serviço",AND(AUTOEVENTO="Manual",$M62=$A$15)),0,
         IF(OFFSET(CRONOPLE!$F$15,$M62-$A$15,BQ$13)=0,10^12,OFFSET(CRONOPLE!$F$15,$M62-$A$15,BQ$13)))</f>
        <v>1000000000000</v>
      </c>
      <c r="BR62" s="171">
        <f ca="1">IF(OR($D62&lt;&gt;"Serviço",AND(AUTOEVENTO="Manual",$M62=$A$15)),0,
         IF(OFFSET(CRONOPLE!$F$15,$M62-$A$15,BR$13)=0,10^12,OFFSET(CRONOPLE!$F$15,$M62-$A$15,BR$13)))</f>
        <v>1000000000000</v>
      </c>
      <c r="BS62" s="171">
        <f ca="1">IF(OR($D62&lt;&gt;"Serviço",AND(AUTOEVENTO="Manual",$M62=$A$15)),0,
         IF(OFFSET(CRONOPLE!$F$15,$M62-$A$15,BS$13)=0,10^12,OFFSET(CRONOPLE!$F$15,$M62-$A$15,BS$13)))</f>
        <v>1000000000000</v>
      </c>
      <c r="BT62" s="171">
        <f ca="1">IF(OR($D62&lt;&gt;"Serviço",AND(AUTOEVENTO="Manual",$M62=$A$15)),0,
         IF(OFFSET(CRONOPLE!$F$15,$M62-$A$15,BT$13)=0,10^12,OFFSET(CRONOPLE!$F$15,$M62-$A$15,BT$13)))</f>
        <v>1000000000000</v>
      </c>
      <c r="BV62" s="172">
        <f ca="1">IF(OR($D62&lt;&gt;"Serviço",AND(AUTOEVENTO="Manual",$M62=$A$15),$M62&gt;(ROW(PLE.lastrow)-ROW(PLE.firstrow))),0,
           IF(OFFSET(PLE!$G$15,$M62-$A$15,BV$13)="",10^12,OFFSET(PLE!$G$15,$M62-$A$15,BV$13)))</f>
        <v>1000000000000</v>
      </c>
      <c r="BW62" s="172">
        <f ca="1">IF(OR($D62&lt;&gt;"Serviço",AND(AUTOEVENTO="Manual",$M62=$A$15),$M62&gt;(ROW(PLE.lastrow)-ROW(PLE.firstrow))),0,
           IF(OFFSET(PLE!$G$15,$M62-$A$15,BW$13)="",10^12,OFFSET(PLE!$G$15,$M62-$A$15,BW$13)))</f>
        <v>1000000000000</v>
      </c>
      <c r="BX62" s="172">
        <f ca="1">IF(OR($D62&lt;&gt;"Serviço",AND(AUTOEVENTO="Manual",$M62=$A$15),$M62&gt;(ROW(PLE.lastrow)-ROW(PLE.firstrow))),0,
           IF(OFFSET(PLE!$G$15,$M62-$A$15,BX$13)="",10^12,OFFSET(PLE!$G$15,$M62-$A$15,BX$13)))</f>
        <v>1000000000000</v>
      </c>
      <c r="BY62" s="172">
        <f ca="1">IF(OR($D62&lt;&gt;"Serviço",AND(AUTOEVENTO="Manual",$M62=$A$15),$M62&gt;(ROW(PLE.lastrow)-ROW(PLE.firstrow))),0,
           IF(OFFSET(PLE!$G$15,$M62-$A$15,BY$13)="",10^12,OFFSET(PLE!$G$15,$M62-$A$15,BY$13)))</f>
        <v>1000000000000</v>
      </c>
      <c r="BZ62" s="172">
        <f ca="1">IF(OR($D62&lt;&gt;"Serviço",AND(AUTOEVENTO="Manual",$M62=$A$15),$M62&gt;(ROW(PLE.lastrow)-ROW(PLE.firstrow))),0,
           IF(OFFSET(PLE!$G$15,$M62-$A$15,BZ$13)="",10^12,OFFSET(PLE!$G$15,$M62-$A$15,BZ$13)))</f>
        <v>1000000000000</v>
      </c>
      <c r="CA62" s="172">
        <f ca="1">IF(OR($D62&lt;&gt;"Serviço",AND(AUTOEVENTO="Manual",$M62=$A$15),$M62&gt;(ROW(PLE.lastrow)-ROW(PLE.firstrow))),0,
           IF(OFFSET(PLE!$G$15,$M62-$A$15,CA$13)="",10^12,OFFSET(PLE!$G$15,$M62-$A$15,CA$13)))</f>
        <v>1000000000000</v>
      </c>
      <c r="CB62" s="172">
        <f ca="1">IF(OR($D62&lt;&gt;"Serviço",AND(AUTOEVENTO="Manual",$M62=$A$15),$M62&gt;(ROW(PLE.lastrow)-ROW(PLE.firstrow))),0,
           IF(OFFSET(PLE!$G$15,$M62-$A$15,CB$13)="",10^12,OFFSET(PLE!$G$15,$M62-$A$15,CB$13)))</f>
        <v>1000000000000</v>
      </c>
      <c r="CC62" s="172">
        <f ca="1">IF(OR($D62&lt;&gt;"Serviço",AND(AUTOEVENTO="Manual",$M62=$A$15),$M62&gt;(ROW(PLE.lastrow)-ROW(PLE.firstrow))),0,
           IF(OFFSET(PLE!$G$15,$M62-$A$15,CC$13)="",10^12,OFFSET(PLE!$G$15,$M62-$A$15,CC$13)))</f>
        <v>1000000000000</v>
      </c>
      <c r="CD62" s="172">
        <f ca="1">IF(OR($D62&lt;&gt;"Serviço",AND(AUTOEVENTO="Manual",$M62=$A$15),$M62&gt;(ROW(PLE.lastrow)-ROW(PLE.firstrow))),0,
           IF(OFFSET(PLE!$G$15,$M62-$A$15,CD$13)="",10^12,OFFSET(PLE!$G$15,$M62-$A$15,CD$13)))</f>
        <v>1000000000000</v>
      </c>
      <c r="CE62" s="172">
        <f ca="1">IF(OR($D62&lt;&gt;"Serviço",AND(AUTOEVENTO="Manual",$M62=$A$15),$M62&gt;(ROW(PLE.lastrow)-ROW(PLE.firstrow))),0,
           IF(OFFSET(PLE!$G$15,$M62-$A$15,CE$13)="",10^12,OFFSET(PLE!$G$15,$M62-$A$15,CE$13)))</f>
        <v>1000000000000</v>
      </c>
      <c r="CF62" s="172">
        <f ca="1">IF(OR($D62&lt;&gt;"Serviço",AND(AUTOEVENTO="Manual",$M62=$A$15),$M62&gt;(ROW(PLE.lastrow)-ROW(PLE.firstrow))),0,
           IF(OFFSET(PLE!$G$15,$M62-$A$15,CF$13)="",10^12,OFFSET(PLE!$G$15,$M62-$A$15,CF$13)))</f>
        <v>1000000000000</v>
      </c>
      <c r="CG62" s="172">
        <f ca="1">IF(OR($D62&lt;&gt;"Serviço",AND(AUTOEVENTO="Manual",$M62=$A$15),$M62&gt;(ROW(PLE.lastrow)-ROW(PLE.firstrow))),0,
           IF(OFFSET(PLE!$G$15,$M62-$A$15,CG$13)="",10^12,OFFSET(PLE!$G$15,$M62-$A$15,CG$13)))</f>
        <v>1000000000000</v>
      </c>
      <c r="CH62" s="172">
        <f ca="1">IF(OR($D62&lt;&gt;"Serviço",AND(AUTOEVENTO="Manual",$M62=$A$15),$M62&gt;(ROW(PLE.lastrow)-ROW(PLE.firstrow))),0,
           IF(OFFSET(PLE!$G$15,$M62-$A$15,CH$13)="",10^12,OFFSET(PLE!$G$15,$M62-$A$15,CH$13)))</f>
        <v>1000000000000</v>
      </c>
      <c r="CI62" s="172">
        <f ca="1">IF(OR($D62&lt;&gt;"Serviço",AND(AUTOEVENTO="Manual",$M62=$A$15),$M62&gt;(ROW(PLE.lastrow)-ROW(PLE.firstrow))),0,
           IF(OFFSET(PLE!$G$15,$M62-$A$15,CI$13)="",10^12,OFFSET(PLE!$G$15,$M62-$A$15,CI$13)))</f>
        <v>1000000000000</v>
      </c>
      <c r="CJ62" s="172">
        <f ca="1">IF(OR($D62&lt;&gt;"Serviço",AND(AUTOEVENTO="Manual",$M62=$A$15),$M62&gt;(ROW(PLE.lastrow)-ROW(PLE.firstrow))),0,
           IF(OFFSET(PLE!$G$15,$M62-$A$15,CJ$13)="",10^12,OFFSET(PLE!$G$15,$M62-$A$15,CJ$13)))</f>
        <v>1000000000000</v>
      </c>
      <c r="CK62" s="172">
        <f ca="1">IF(OR($D62&lt;&gt;"Serviço",AND(AUTOEVENTO="Manual",$M62=$A$15),$M62&gt;(ROW(PLE.lastrow)-ROW(PLE.firstrow))),0,
           IF(OFFSET(PLE!$G$15,$M62-$A$15,CK$13)="",10^12,OFFSET(PLE!$G$15,$M62-$A$15,CK$13)))</f>
        <v>1000000000000</v>
      </c>
      <c r="CL62" s="172">
        <f ca="1">IF(OR($D62&lt;&gt;"Serviço",AND(AUTOEVENTO="Manual",$M62=$A$15),$M62&gt;(ROW(PLE.lastrow)-ROW(PLE.firstrow))),0,
           IF(OFFSET(PLE!$G$15,$M62-$A$15,CL$13)="",10^12,OFFSET(PLE!$G$15,$M62-$A$15,CL$13)))</f>
        <v>1000000000000</v>
      </c>
      <c r="CM62" s="172">
        <f ca="1">IF(OR($D62&lt;&gt;"Serviço",AND(AUTOEVENTO="Manual",$M62=$A$15),$M62&gt;(ROW(PLE.lastrow)-ROW(PLE.firstrow))),0,
           IF(OFFSET(PLE!$G$15,$M62-$A$15,CM$13)="",10^12,OFFSET(PLE!$G$15,$M62-$A$15,CM$13)))</f>
        <v>1000000000000</v>
      </c>
    </row>
    <row r="63" spans="1:91" ht="26.4" x14ac:dyDescent="0.25">
      <c r="A63" s="7" t="str">
        <f t="shared" ca="1" si="11"/>
        <v>45</v>
      </c>
      <c r="B63" s="7" t="str">
        <f ca="1">OFFSET(ORÇAMENTO!C$15,ROW(B63)-ROW(B$15),0)</f>
        <v>S</v>
      </c>
      <c r="C63" s="7" t="str">
        <f ca="1">OFFSET(ORÇAMENTO!L$15,ROW(C63)-ROW(C$15),0)</f>
        <v>F</v>
      </c>
      <c r="D63" s="116" t="str">
        <f ca="1">OFFSET(ORÇAMENTO!N$15,ROW(D63)-ROW(D$15),0)</f>
        <v>Serviço</v>
      </c>
      <c r="E63" s="117" t="str">
        <f ca="1">OFFSET(ORÇAMENTO!O$15,ROW(E63)-ROW(E$15),0)</f>
        <v>2.2.3.</v>
      </c>
      <c r="F63" s="163" t="str">
        <f ca="1">OFFSET(ORÇAMENTO!R$15,ROW(F63)-ROW(F$15),0)</f>
        <v>Base ou sub-base de brita graduada com brita comercial - 100% Proctor modificado</v>
      </c>
      <c r="G63" s="164" t="str">
        <f ca="1">IF($D63&lt;&gt;"Serviço","",OFFSET(ORÇAMENTO!S$15,ROW(G63)-ROW(G$15),0))</f>
        <v>m³</v>
      </c>
      <c r="H63" s="122" cm="1">
        <f t="array" aca="1" ref="H63" ca="1">IF($D63&lt;&gt;"Serviço",0,IF(ACOMPANHAMENTO="BM",ROUND(OFFSET(ORÇAMENTO!AJ$15,ROW(H63)-ROW(H$15),0),15-13*ORÇAMENTO!$AF$7),SUMPRODUCT(($Q$1:$AI$1=1)*ROUND($Q63:$AI63,15-13*ORÇAMENTO!$AF$7))))</f>
        <v>22.24</v>
      </c>
      <c r="I63" s="468"/>
      <c r="J63" s="651" t="e" cm="1">
        <f t="array" aca="1" ref="J63" ca="1">IF(OR(B63&lt;&gt;"S",CÁLCULO.FrentesPreenchidas=0),"",IF(AND(ACOMPANHAMENTO="PLE",AUTOEVENTO="Manual",OR(H63&gt;0,ORÇAMENTO!AC63="QUANT."),OR(K63="",M63=0,N63="")),"►E",IF(AND(ACOMPANHAMENTO="PLE",ORÇAMENTO!AC63="QUANT."),"►Q",IF(AND(ACOMPANHAMENTO="PLE",H63&lt;&gt;SUMPRODUCT(($Q$1:$AI$1=1)*ROUND(Q63:AI63,15))),"►S",IF(AND(COUNTIF($P$11:$AI$11,"▼")=0,H63&gt;0,I63=""),"◄M","")))))</f>
        <v>#NAME?</v>
      </c>
      <c r="K63" s="652"/>
      <c r="L63" s="165" t="s">
        <v>764</v>
      </c>
      <c r="M63" s="166">
        <f ca="1">IF($D63&lt;&gt;"Serviço","",
          IF(AUTOEVENTO="manual",$A63,
                IF(ISERROR(MATCH($A63,$A$15:OFFSET($A63,-1,0),0)),MAX($M$15:OFFSET(M63,-1,0))+1,
                      INDEX($M$15:OFFSET(M63,-1,0),MATCH($A63,$A$15:OFFSET($A63,-1,0),0)))))</f>
        <v>9</v>
      </c>
      <c r="N63" s="167" t="str">
        <f ca="1">IF($D63&lt;&gt;"Serviço","",
         IF(AUTOEVENTO="Manual",
                IF($A63=0,"&lt;-- defina o número do agrupador",
                       OFFSET(EVENTOS!$D$15,$A63-$A$15,0)),
                OFFSET($F$15,$A63,0)))</f>
        <v>DRENAGEM</v>
      </c>
      <c r="O63" s="168"/>
      <c r="Q63" s="168"/>
      <c r="R63" s="169"/>
      <c r="S63" s="169"/>
      <c r="T63" s="169">
        <f>TRUNC(T61-(43*0.2827),2)</f>
        <v>22.24</v>
      </c>
      <c r="U63" s="169"/>
      <c r="V63" s="169"/>
      <c r="W63" s="169"/>
      <c r="X63" s="169"/>
      <c r="Y63" s="169"/>
      <c r="Z63" s="170"/>
      <c r="AA63" s="169"/>
      <c r="AB63" s="169"/>
      <c r="AC63" s="169"/>
      <c r="AD63" s="169"/>
      <c r="AE63" s="169"/>
      <c r="AF63" s="169"/>
      <c r="AG63" s="169"/>
      <c r="AH63" s="170"/>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L63" s="453">
        <f ca="1">IF(AND($D63="Serviço",AL$12&lt;&gt;0,$H63&gt;0,OR(AUTOEVENTO&lt;&gt;"manual",$M63&lt;&gt;$A$15)),
        IF(Import.TipoArredondamento&lt;&gt;"TransfereGOV",
              ROUND(OFFSET($P63,0,AL$13),15-13*ORÇAMENTO!$AF$7)/$H63*OFFSET(ORÇAMENTO!$X$15,ROW(AL63)-ROW(AL$15),0),
              ROUND(ROUND(OFFSET($P63,0,AL$13),15-13*ORÇAMENTO!$AF$7)*OFFSET(ORÇAMENTO!$W$15,ROW(AL63)-ROW(AL$15),0),15-13*ORÇAMENTO!$AF$11)),
         0)</f>
        <v>0</v>
      </c>
      <c r="AM63" s="453">
        <f ca="1">IF(AND($D63="Serviço",AM$12&lt;&gt;0,$H63&gt;0,OR(AUTOEVENTO&lt;&gt;"manual",$M63&lt;&gt;$A$15)),
        IF(Import.TipoArredondamento&lt;&gt;"TransfereGOV",
              ROUND(OFFSET($P63,0,AM$13),15-13*ORÇAMENTO!$AF$7)/$H63*OFFSET(ORÇAMENTO!$X$15,ROW(AM63)-ROW(AM$15),0),
              ROUND(ROUND(OFFSET($P63,0,AM$13),15-13*ORÇAMENTO!$AF$7)*OFFSET(ORÇAMENTO!$W$15,ROW(AM63)-ROW(AM$15),0),15-13*ORÇAMENTO!$AF$11)),
         0)</f>
        <v>6487.63</v>
      </c>
      <c r="AN63" s="453">
        <f ca="1">IF(AND($D63="Serviço",AN$12&lt;&gt;0,$H63&gt;0,OR(AUTOEVENTO&lt;&gt;"manual",$M63&lt;&gt;$A$15)),
        IF(Import.TipoArredondamento&lt;&gt;"TransfereGOV",
              ROUND(OFFSET($P63,0,AN$13),15-13*ORÇAMENTO!$AF$7)/$H63*OFFSET(ORÇAMENTO!$X$15,ROW(AN63)-ROW(AN$15),0),
              ROUND(ROUND(OFFSET($P63,0,AN$13),15-13*ORÇAMENTO!$AF$7)*OFFSET(ORÇAMENTO!$W$15,ROW(AN63)-ROW(AN$15),0),15-13*ORÇAMENTO!$AF$11)),
         0)</f>
        <v>0</v>
      </c>
      <c r="AO63" s="453">
        <f ca="1">IF(AND($D63="Serviço",AO$12&lt;&gt;0,$H63&gt;0,OR(AUTOEVENTO&lt;&gt;"manual",$M63&lt;&gt;$A$15)),
        IF(Import.TipoArredondamento&lt;&gt;"TransfereGOV",
              ROUND(OFFSET($P63,0,AO$13),15-13*ORÇAMENTO!$AF$7)/$H63*OFFSET(ORÇAMENTO!$X$15,ROW(AO63)-ROW(AO$15),0),
              ROUND(ROUND(OFFSET($P63,0,AO$13),15-13*ORÇAMENTO!$AF$7)*OFFSET(ORÇAMENTO!$W$15,ROW(AO63)-ROW(AO$15),0),15-13*ORÇAMENTO!$AF$11)),
         0)</f>
        <v>0</v>
      </c>
      <c r="AP63" s="453">
        <f ca="1">IF(AND($D63="Serviço",AP$12&lt;&gt;0,$H63&gt;0,OR(AUTOEVENTO&lt;&gt;"manual",$M63&lt;&gt;$A$15)),
        IF(Import.TipoArredondamento&lt;&gt;"TransfereGOV",
              ROUND(OFFSET($P63,0,AP$13),15-13*ORÇAMENTO!$AF$7)/$H63*OFFSET(ORÇAMENTO!$X$15,ROW(AP63)-ROW(AP$15),0),
              ROUND(ROUND(OFFSET($P63,0,AP$13),15-13*ORÇAMENTO!$AF$7)*OFFSET(ORÇAMENTO!$W$15,ROW(AP63)-ROW(AP$15),0),15-13*ORÇAMENTO!$AF$11)),
         0)</f>
        <v>0</v>
      </c>
      <c r="AQ63" s="453">
        <f ca="1">IF(AND($D63="Serviço",AQ$12&lt;&gt;0,$H63&gt;0,OR(AUTOEVENTO&lt;&gt;"manual",$M63&lt;&gt;$A$15)),
        IF(Import.TipoArredondamento&lt;&gt;"TransfereGOV",
              ROUND(OFFSET($P63,0,AQ$13),15-13*ORÇAMENTO!$AF$7)/$H63*OFFSET(ORÇAMENTO!$X$15,ROW(AQ63)-ROW(AQ$15),0),
              ROUND(ROUND(OFFSET($P63,0,AQ$13),15-13*ORÇAMENTO!$AF$7)*OFFSET(ORÇAMENTO!$W$15,ROW(AQ63)-ROW(AQ$15),0),15-13*ORÇAMENTO!$AF$11)),
         0)</f>
        <v>0</v>
      </c>
      <c r="AR63" s="453">
        <f ca="1">IF(AND($D63="Serviço",AR$12&lt;&gt;0,$H63&gt;0,OR(AUTOEVENTO&lt;&gt;"manual",$M63&lt;&gt;$A$15)),
        IF(Import.TipoArredondamento&lt;&gt;"TransfereGOV",
              ROUND(OFFSET($P63,0,AR$13),15-13*ORÇAMENTO!$AF$7)/$H63*OFFSET(ORÇAMENTO!$X$15,ROW(AR63)-ROW(AR$15),0),
              ROUND(ROUND(OFFSET($P63,0,AR$13),15-13*ORÇAMENTO!$AF$7)*OFFSET(ORÇAMENTO!$W$15,ROW(AR63)-ROW(AR$15),0),15-13*ORÇAMENTO!$AF$11)),
         0)</f>
        <v>0</v>
      </c>
      <c r="AS63" s="453">
        <f ca="1">IF(AND($D63="Serviço",AS$12&lt;&gt;0,$H63&gt;0,OR(AUTOEVENTO&lt;&gt;"manual",$M63&lt;&gt;$A$15)),
        IF(Import.TipoArredondamento&lt;&gt;"TransfereGOV",
              ROUND(OFFSET($P63,0,AS$13),15-13*ORÇAMENTO!$AF$7)/$H63*OFFSET(ORÇAMENTO!$X$15,ROW(AS63)-ROW(AS$15),0),
              ROUND(ROUND(OFFSET($P63,0,AS$13),15-13*ORÇAMENTO!$AF$7)*OFFSET(ORÇAMENTO!$W$15,ROW(AS63)-ROW(AS$15),0),15-13*ORÇAMENTO!$AF$11)),
         0)</f>
        <v>0</v>
      </c>
      <c r="AT63" s="453">
        <f ca="1">IF(AND($D63="Serviço",AT$12&lt;&gt;0,$H63&gt;0,OR(AUTOEVENTO&lt;&gt;"manual",$M63&lt;&gt;$A$15)),
        IF(Import.TipoArredondamento&lt;&gt;"TransfereGOV",
              ROUND(OFFSET($P63,0,AT$13),15-13*ORÇAMENTO!$AF$7)/$H63*OFFSET(ORÇAMENTO!$X$15,ROW(AT63)-ROW(AT$15),0),
              ROUND(ROUND(OFFSET($P63,0,AT$13),15-13*ORÇAMENTO!$AF$7)*OFFSET(ORÇAMENTO!$W$15,ROW(AT63)-ROW(AT$15),0),15-13*ORÇAMENTO!$AF$11)),
         0)</f>
        <v>0</v>
      </c>
      <c r="AU63" s="453">
        <f ca="1">IF(AND($D63="Serviço",AU$12&lt;&gt;0,$H63&gt;0,OR(AUTOEVENTO&lt;&gt;"manual",$M63&lt;&gt;$A$15)),
        IF(Import.TipoArredondamento&lt;&gt;"TransfereGOV",
              ROUND(OFFSET($P63,0,AU$13),15-13*ORÇAMENTO!$AF$7)/$H63*OFFSET(ORÇAMENTO!$X$15,ROW(AU63)-ROW(AU$15),0),
              ROUND(ROUND(OFFSET($P63,0,AU$13),15-13*ORÇAMENTO!$AF$7)*OFFSET(ORÇAMENTO!$W$15,ROW(AU63)-ROW(AU$15),0),15-13*ORÇAMENTO!$AF$11)),
         0)</f>
        <v>0</v>
      </c>
      <c r="AV63" s="453">
        <f ca="1">IF(AND($D63="Serviço",AV$12&lt;&gt;0,$H63&gt;0,OR(AUTOEVENTO&lt;&gt;"manual",$M63&lt;&gt;$A$15)),
        IF(Import.TipoArredondamento&lt;&gt;"TransfereGOV",
              ROUND(OFFSET($P63,0,AV$13),15-13*ORÇAMENTO!$AF$7)/$H63*OFFSET(ORÇAMENTO!$X$15,ROW(AV63)-ROW(AV$15),0),
              ROUND(ROUND(OFFSET($P63,0,AV$13),15-13*ORÇAMENTO!$AF$7)*OFFSET(ORÇAMENTO!$W$15,ROW(AV63)-ROW(AV$15),0),15-13*ORÇAMENTO!$AF$11)),
         0)</f>
        <v>0</v>
      </c>
      <c r="AW63" s="453">
        <f ca="1">IF(AND($D63="Serviço",AW$12&lt;&gt;0,$H63&gt;0,OR(AUTOEVENTO&lt;&gt;"manual",$M63&lt;&gt;$A$15)),
        IF(Import.TipoArredondamento&lt;&gt;"TransfereGOV",
              ROUND(OFFSET($P63,0,AW$13),15-13*ORÇAMENTO!$AF$7)/$H63*OFFSET(ORÇAMENTO!$X$15,ROW(AW63)-ROW(AW$15),0),
              ROUND(ROUND(OFFSET($P63,0,AW$13),15-13*ORÇAMENTO!$AF$7)*OFFSET(ORÇAMENTO!$W$15,ROW(AW63)-ROW(AW$15),0),15-13*ORÇAMENTO!$AF$11)),
         0)</f>
        <v>0</v>
      </c>
      <c r="AX63" s="453">
        <f ca="1">IF(AND($D63="Serviço",AX$12&lt;&gt;0,$H63&gt;0,OR(AUTOEVENTO&lt;&gt;"manual",$M63&lt;&gt;$A$15)),
        IF(Import.TipoArredondamento&lt;&gt;"TransfereGOV",
              ROUND(OFFSET($P63,0,AX$13),15-13*ORÇAMENTO!$AF$7)/$H63*OFFSET(ORÇAMENTO!$X$15,ROW(AX63)-ROW(AX$15),0),
              ROUND(ROUND(OFFSET($P63,0,AX$13),15-13*ORÇAMENTO!$AF$7)*OFFSET(ORÇAMENTO!$W$15,ROW(AX63)-ROW(AX$15),0),15-13*ORÇAMENTO!$AF$11)),
         0)</f>
        <v>0</v>
      </c>
      <c r="AY63" s="453">
        <f ca="1">IF(AND($D63="Serviço",AY$12&lt;&gt;0,$H63&gt;0,OR(AUTOEVENTO&lt;&gt;"manual",$M63&lt;&gt;$A$15)),
        IF(Import.TipoArredondamento&lt;&gt;"TransfereGOV",
              ROUND(OFFSET($P63,0,AY$13),15-13*ORÇAMENTO!$AF$7)/$H63*OFFSET(ORÇAMENTO!$X$15,ROW(AY63)-ROW(AY$15),0),
              ROUND(ROUND(OFFSET($P63,0,AY$13),15-13*ORÇAMENTO!$AF$7)*OFFSET(ORÇAMENTO!$W$15,ROW(AY63)-ROW(AY$15),0),15-13*ORÇAMENTO!$AF$11)),
         0)</f>
        <v>0</v>
      </c>
      <c r="AZ63" s="453">
        <f ca="1">IF(AND($D63="Serviço",AZ$12&lt;&gt;0,$H63&gt;0,OR(AUTOEVENTO&lt;&gt;"manual",$M63&lt;&gt;$A$15)),
        IF(Import.TipoArredondamento&lt;&gt;"TransfereGOV",
              ROUND(OFFSET($P63,0,AZ$13),15-13*ORÇAMENTO!$AF$7)/$H63*OFFSET(ORÇAMENTO!$X$15,ROW(AZ63)-ROW(AZ$15),0),
              ROUND(ROUND(OFFSET($P63,0,AZ$13),15-13*ORÇAMENTO!$AF$7)*OFFSET(ORÇAMENTO!$W$15,ROW(AZ63)-ROW(AZ$15),0),15-13*ORÇAMENTO!$AF$11)),
         0)</f>
        <v>0</v>
      </c>
      <c r="BA63" s="453">
        <f ca="1">IF(AND($D63="Serviço",BA$12&lt;&gt;0,$H63&gt;0,OR(AUTOEVENTO&lt;&gt;"manual",$M63&lt;&gt;$A$15)),
        IF(Import.TipoArredondamento&lt;&gt;"TransfereGOV",
              ROUND(OFFSET($P63,0,BA$13),15-13*ORÇAMENTO!$AF$7)/$H63*OFFSET(ORÇAMENTO!$X$15,ROW(BA63)-ROW(BA$15),0),
              ROUND(ROUND(OFFSET($P63,0,BA$13),15-13*ORÇAMENTO!$AF$7)*OFFSET(ORÇAMENTO!$W$15,ROW(BA63)-ROW(BA$15),0),15-13*ORÇAMENTO!$AF$11)),
         0)</f>
        <v>0</v>
      </c>
      <c r="BC63" s="171">
        <f ca="1">IF(OR($D63&lt;&gt;"Serviço",AND(AUTOEVENTO="Manual",$M63=$A$15)),0,
         IF(OFFSET(CRONOPLE!$F$15,$M63-$A$15,BC$13)=0,10^12,OFFSET(CRONOPLE!$F$15,$M63-$A$15,BC$13)))</f>
        <v>1000000000000</v>
      </c>
      <c r="BD63" s="171">
        <f ca="1">IF(OR($D63&lt;&gt;"Serviço",AND(AUTOEVENTO="Manual",$M63=$A$15)),0,
         IF(OFFSET(CRONOPLE!$F$15,$M63-$A$15,BD$13)=0,10^12,OFFSET(CRONOPLE!$F$15,$M63-$A$15,BD$13)))</f>
        <v>1000000000000</v>
      </c>
      <c r="BE63" s="171">
        <f ca="1">IF(OR($D63&lt;&gt;"Serviço",AND(AUTOEVENTO="Manual",$M63=$A$15)),0,
         IF(OFFSET(CRONOPLE!$F$15,$M63-$A$15,BE$13)=0,10^12,OFFSET(CRONOPLE!$F$15,$M63-$A$15,BE$13)))</f>
        <v>1000000000000</v>
      </c>
      <c r="BF63" s="171">
        <f ca="1">IF(OR($D63&lt;&gt;"Serviço",AND(AUTOEVENTO="Manual",$M63=$A$15)),0,
         IF(OFFSET(CRONOPLE!$F$15,$M63-$A$15,BF$13)=0,10^12,OFFSET(CRONOPLE!$F$15,$M63-$A$15,BF$13)))</f>
        <v>1</v>
      </c>
      <c r="BG63" s="171">
        <f ca="1">IF(OR($D63&lt;&gt;"Serviço",AND(AUTOEVENTO="Manual",$M63=$A$15)),0,
         IF(OFFSET(CRONOPLE!$F$15,$M63-$A$15,BG$13)=0,10^12,OFFSET(CRONOPLE!$F$15,$M63-$A$15,BG$13)))</f>
        <v>1000000000000</v>
      </c>
      <c r="BH63" s="171">
        <f ca="1">IF(OR($D63&lt;&gt;"Serviço",AND(AUTOEVENTO="Manual",$M63=$A$15)),0,
         IF(OFFSET(CRONOPLE!$F$15,$M63-$A$15,BH$13)=0,10^12,OFFSET(CRONOPLE!$F$15,$M63-$A$15,BH$13)))</f>
        <v>1000000000000</v>
      </c>
      <c r="BI63" s="171">
        <f ca="1">IF(OR($D63&lt;&gt;"Serviço",AND(AUTOEVENTO="Manual",$M63=$A$15)),0,
         IF(OFFSET(CRONOPLE!$F$15,$M63-$A$15,BI$13)=0,10^12,OFFSET(CRONOPLE!$F$15,$M63-$A$15,BI$13)))</f>
        <v>1000000000000</v>
      </c>
      <c r="BJ63" s="171">
        <f ca="1">IF(OR($D63&lt;&gt;"Serviço",AND(AUTOEVENTO="Manual",$M63=$A$15)),0,
         IF(OFFSET(CRONOPLE!$F$15,$M63-$A$15,BJ$13)=0,10^12,OFFSET(CRONOPLE!$F$15,$M63-$A$15,BJ$13)))</f>
        <v>1000000000000</v>
      </c>
      <c r="BK63" s="171">
        <f ca="1">IF(OR($D63&lt;&gt;"Serviço",AND(AUTOEVENTO="Manual",$M63=$A$15)),0,
         IF(OFFSET(CRONOPLE!$F$15,$M63-$A$15,BK$13)=0,10^12,OFFSET(CRONOPLE!$F$15,$M63-$A$15,BK$13)))</f>
        <v>1000000000000</v>
      </c>
      <c r="BL63" s="171">
        <f ca="1">IF(OR($D63&lt;&gt;"Serviço",AND(AUTOEVENTO="Manual",$M63=$A$15)),0,
         IF(OFFSET(CRONOPLE!$F$15,$M63-$A$15,BL$13)=0,10^12,OFFSET(CRONOPLE!$F$15,$M63-$A$15,BL$13)))</f>
        <v>1000000000000</v>
      </c>
      <c r="BM63" s="171">
        <f ca="1">IF(OR($D63&lt;&gt;"Serviço",AND(AUTOEVENTO="Manual",$M63=$A$15)),0,
         IF(OFFSET(CRONOPLE!$F$15,$M63-$A$15,BM$13)=0,10^12,OFFSET(CRONOPLE!$F$15,$M63-$A$15,BM$13)))</f>
        <v>1000000000000</v>
      </c>
      <c r="BN63" s="171">
        <f ca="1">IF(OR($D63&lt;&gt;"Serviço",AND(AUTOEVENTO="Manual",$M63=$A$15)),0,
         IF(OFFSET(CRONOPLE!$F$15,$M63-$A$15,BN$13)=0,10^12,OFFSET(CRONOPLE!$F$15,$M63-$A$15,BN$13)))</f>
        <v>1000000000000</v>
      </c>
      <c r="BO63" s="171">
        <f ca="1">IF(OR($D63&lt;&gt;"Serviço",AND(AUTOEVENTO="Manual",$M63=$A$15)),0,
         IF(OFFSET(CRONOPLE!$F$15,$M63-$A$15,BO$13)=0,10^12,OFFSET(CRONOPLE!$F$15,$M63-$A$15,BO$13)))</f>
        <v>1000000000000</v>
      </c>
      <c r="BP63" s="171">
        <f ca="1">IF(OR($D63&lt;&gt;"Serviço",AND(AUTOEVENTO="Manual",$M63=$A$15)),0,
         IF(OFFSET(CRONOPLE!$F$15,$M63-$A$15,BP$13)=0,10^12,OFFSET(CRONOPLE!$F$15,$M63-$A$15,BP$13)))</f>
        <v>1000000000000</v>
      </c>
      <c r="BQ63" s="171">
        <f ca="1">IF(OR($D63&lt;&gt;"Serviço",AND(AUTOEVENTO="Manual",$M63=$A$15)),0,
         IF(OFFSET(CRONOPLE!$F$15,$M63-$A$15,BQ$13)=0,10^12,OFFSET(CRONOPLE!$F$15,$M63-$A$15,BQ$13)))</f>
        <v>1000000000000</v>
      </c>
      <c r="BR63" s="171">
        <f ca="1">IF(OR($D63&lt;&gt;"Serviço",AND(AUTOEVENTO="Manual",$M63=$A$15)),0,
         IF(OFFSET(CRONOPLE!$F$15,$M63-$A$15,BR$13)=0,10^12,OFFSET(CRONOPLE!$F$15,$M63-$A$15,BR$13)))</f>
        <v>1000000000000</v>
      </c>
      <c r="BS63" s="171">
        <f ca="1">IF(OR($D63&lt;&gt;"Serviço",AND(AUTOEVENTO="Manual",$M63=$A$15)),0,
         IF(OFFSET(CRONOPLE!$F$15,$M63-$A$15,BS$13)=0,10^12,OFFSET(CRONOPLE!$F$15,$M63-$A$15,BS$13)))</f>
        <v>1000000000000</v>
      </c>
      <c r="BT63" s="171">
        <f ca="1">IF(OR($D63&lt;&gt;"Serviço",AND(AUTOEVENTO="Manual",$M63=$A$15)),0,
         IF(OFFSET(CRONOPLE!$F$15,$M63-$A$15,BT$13)=0,10^12,OFFSET(CRONOPLE!$F$15,$M63-$A$15,BT$13)))</f>
        <v>1000000000000</v>
      </c>
      <c r="BV63" s="172">
        <f ca="1">IF(OR($D63&lt;&gt;"Serviço",AND(AUTOEVENTO="Manual",$M63=$A$15),$M63&gt;(ROW(PLE.lastrow)-ROW(PLE.firstrow))),0,
           IF(OFFSET(PLE!$G$15,$M63-$A$15,BV$13)="",10^12,OFFSET(PLE!$G$15,$M63-$A$15,BV$13)))</f>
        <v>1000000000000</v>
      </c>
      <c r="BW63" s="172">
        <f ca="1">IF(OR($D63&lt;&gt;"Serviço",AND(AUTOEVENTO="Manual",$M63=$A$15),$M63&gt;(ROW(PLE.lastrow)-ROW(PLE.firstrow))),0,
           IF(OFFSET(PLE!$G$15,$M63-$A$15,BW$13)="",10^12,OFFSET(PLE!$G$15,$M63-$A$15,BW$13)))</f>
        <v>1000000000000</v>
      </c>
      <c r="BX63" s="172">
        <f ca="1">IF(OR($D63&lt;&gt;"Serviço",AND(AUTOEVENTO="Manual",$M63=$A$15),$M63&gt;(ROW(PLE.lastrow)-ROW(PLE.firstrow))),0,
           IF(OFFSET(PLE!$G$15,$M63-$A$15,BX$13)="",10^12,OFFSET(PLE!$G$15,$M63-$A$15,BX$13)))</f>
        <v>1000000000000</v>
      </c>
      <c r="BY63" s="172">
        <f ca="1">IF(OR($D63&lt;&gt;"Serviço",AND(AUTOEVENTO="Manual",$M63=$A$15),$M63&gt;(ROW(PLE.lastrow)-ROW(PLE.firstrow))),0,
           IF(OFFSET(PLE!$G$15,$M63-$A$15,BY$13)="",10^12,OFFSET(PLE!$G$15,$M63-$A$15,BY$13)))</f>
        <v>1000000000000</v>
      </c>
      <c r="BZ63" s="172">
        <f ca="1">IF(OR($D63&lt;&gt;"Serviço",AND(AUTOEVENTO="Manual",$M63=$A$15),$M63&gt;(ROW(PLE.lastrow)-ROW(PLE.firstrow))),0,
           IF(OFFSET(PLE!$G$15,$M63-$A$15,BZ$13)="",10^12,OFFSET(PLE!$G$15,$M63-$A$15,BZ$13)))</f>
        <v>1000000000000</v>
      </c>
      <c r="CA63" s="172">
        <f ca="1">IF(OR($D63&lt;&gt;"Serviço",AND(AUTOEVENTO="Manual",$M63=$A$15),$M63&gt;(ROW(PLE.lastrow)-ROW(PLE.firstrow))),0,
           IF(OFFSET(PLE!$G$15,$M63-$A$15,CA$13)="",10^12,OFFSET(PLE!$G$15,$M63-$A$15,CA$13)))</f>
        <v>1000000000000</v>
      </c>
      <c r="CB63" s="172">
        <f ca="1">IF(OR($D63&lt;&gt;"Serviço",AND(AUTOEVENTO="Manual",$M63=$A$15),$M63&gt;(ROW(PLE.lastrow)-ROW(PLE.firstrow))),0,
           IF(OFFSET(PLE!$G$15,$M63-$A$15,CB$13)="",10^12,OFFSET(PLE!$G$15,$M63-$A$15,CB$13)))</f>
        <v>1000000000000</v>
      </c>
      <c r="CC63" s="172">
        <f ca="1">IF(OR($D63&lt;&gt;"Serviço",AND(AUTOEVENTO="Manual",$M63=$A$15),$M63&gt;(ROW(PLE.lastrow)-ROW(PLE.firstrow))),0,
           IF(OFFSET(PLE!$G$15,$M63-$A$15,CC$13)="",10^12,OFFSET(PLE!$G$15,$M63-$A$15,CC$13)))</f>
        <v>1000000000000</v>
      </c>
      <c r="CD63" s="172">
        <f ca="1">IF(OR($D63&lt;&gt;"Serviço",AND(AUTOEVENTO="Manual",$M63=$A$15),$M63&gt;(ROW(PLE.lastrow)-ROW(PLE.firstrow))),0,
           IF(OFFSET(PLE!$G$15,$M63-$A$15,CD$13)="",10^12,OFFSET(PLE!$G$15,$M63-$A$15,CD$13)))</f>
        <v>1000000000000</v>
      </c>
      <c r="CE63" s="172">
        <f ca="1">IF(OR($D63&lt;&gt;"Serviço",AND(AUTOEVENTO="Manual",$M63=$A$15),$M63&gt;(ROW(PLE.lastrow)-ROW(PLE.firstrow))),0,
           IF(OFFSET(PLE!$G$15,$M63-$A$15,CE$13)="",10^12,OFFSET(PLE!$G$15,$M63-$A$15,CE$13)))</f>
        <v>1000000000000</v>
      </c>
      <c r="CF63" s="172">
        <f ca="1">IF(OR($D63&lt;&gt;"Serviço",AND(AUTOEVENTO="Manual",$M63=$A$15),$M63&gt;(ROW(PLE.lastrow)-ROW(PLE.firstrow))),0,
           IF(OFFSET(PLE!$G$15,$M63-$A$15,CF$13)="",10^12,OFFSET(PLE!$G$15,$M63-$A$15,CF$13)))</f>
        <v>1000000000000</v>
      </c>
      <c r="CG63" s="172">
        <f ca="1">IF(OR($D63&lt;&gt;"Serviço",AND(AUTOEVENTO="Manual",$M63=$A$15),$M63&gt;(ROW(PLE.lastrow)-ROW(PLE.firstrow))),0,
           IF(OFFSET(PLE!$G$15,$M63-$A$15,CG$13)="",10^12,OFFSET(PLE!$G$15,$M63-$A$15,CG$13)))</f>
        <v>1000000000000</v>
      </c>
      <c r="CH63" s="172">
        <f ca="1">IF(OR($D63&lt;&gt;"Serviço",AND(AUTOEVENTO="Manual",$M63=$A$15),$M63&gt;(ROW(PLE.lastrow)-ROW(PLE.firstrow))),0,
           IF(OFFSET(PLE!$G$15,$M63-$A$15,CH$13)="",10^12,OFFSET(PLE!$G$15,$M63-$A$15,CH$13)))</f>
        <v>1000000000000</v>
      </c>
      <c r="CI63" s="172">
        <f ca="1">IF(OR($D63&lt;&gt;"Serviço",AND(AUTOEVENTO="Manual",$M63=$A$15),$M63&gt;(ROW(PLE.lastrow)-ROW(PLE.firstrow))),0,
           IF(OFFSET(PLE!$G$15,$M63-$A$15,CI$13)="",10^12,OFFSET(PLE!$G$15,$M63-$A$15,CI$13)))</f>
        <v>1000000000000</v>
      </c>
      <c r="CJ63" s="172">
        <f ca="1">IF(OR($D63&lt;&gt;"Serviço",AND(AUTOEVENTO="Manual",$M63=$A$15),$M63&gt;(ROW(PLE.lastrow)-ROW(PLE.firstrow))),0,
           IF(OFFSET(PLE!$G$15,$M63-$A$15,CJ$13)="",10^12,OFFSET(PLE!$G$15,$M63-$A$15,CJ$13)))</f>
        <v>1000000000000</v>
      </c>
      <c r="CK63" s="172">
        <f ca="1">IF(OR($D63&lt;&gt;"Serviço",AND(AUTOEVENTO="Manual",$M63=$A$15),$M63&gt;(ROW(PLE.lastrow)-ROW(PLE.firstrow))),0,
           IF(OFFSET(PLE!$G$15,$M63-$A$15,CK$13)="",10^12,OFFSET(PLE!$G$15,$M63-$A$15,CK$13)))</f>
        <v>1000000000000</v>
      </c>
      <c r="CL63" s="172">
        <f ca="1">IF(OR($D63&lt;&gt;"Serviço",AND(AUTOEVENTO="Manual",$M63=$A$15),$M63&gt;(ROW(PLE.lastrow)-ROW(PLE.firstrow))),0,
           IF(OFFSET(PLE!$G$15,$M63-$A$15,CL$13)="",10^12,OFFSET(PLE!$G$15,$M63-$A$15,CL$13)))</f>
        <v>1000000000000</v>
      </c>
      <c r="CM63" s="172">
        <f ca="1">IF(OR($D63&lt;&gt;"Serviço",AND(AUTOEVENTO="Manual",$M63=$A$15),$M63&gt;(ROW(PLE.lastrow)-ROW(PLE.firstrow))),0,
           IF(OFFSET(PLE!$G$15,$M63-$A$15,CM$13)="",10^12,OFFSET(PLE!$G$15,$M63-$A$15,CM$13)))</f>
        <v>1000000000000</v>
      </c>
    </row>
    <row r="64" spans="1:91" ht="13.2" x14ac:dyDescent="0.25">
      <c r="A64" s="7" t="str">
        <f t="shared" ca="1" si="11"/>
        <v>45</v>
      </c>
      <c r="B64" s="7" t="str">
        <f ca="1">OFFSET(ORÇAMENTO!C$15,ROW(B64)-ROW(B$15),0)</f>
        <v>S</v>
      </c>
      <c r="C64" s="7" t="str">
        <f ca="1">OFFSET(ORÇAMENTO!L$15,ROW(C64)-ROW(C$15),0)</f>
        <v>F</v>
      </c>
      <c r="D64" s="116" t="str">
        <f ca="1">OFFSET(ORÇAMENTO!N$15,ROW(D64)-ROW(D$15),0)</f>
        <v>Serviço</v>
      </c>
      <c r="E64" s="117" t="str">
        <f ca="1">OFFSET(ORÇAMENTO!O$15,ROW(E64)-ROW(E$15),0)</f>
        <v>2.2.4.</v>
      </c>
      <c r="F64" s="163" t="str">
        <f ca="1">OFFSET(ORÇAMENTO!R$15,ROW(F64)-ROW(F$15),0)</f>
        <v>Transporte com caminhão basculante de 10 m³ - rodovia pavimentada</v>
      </c>
      <c r="G64" s="164" t="str">
        <f ca="1">IF($D64&lt;&gt;"Serviço","",OFFSET(ORÇAMENTO!S$15,ROW(G64)-ROW(G$15),0))</f>
        <v>tkm</v>
      </c>
      <c r="H64" s="122" cm="1">
        <f t="array" aca="1" ref="H64" ca="1">IF($D64&lt;&gt;"Serviço",0,IF(ACOMPANHAMENTO="BM",ROUND(OFFSET(ORÇAMENTO!AJ$15,ROW(H64)-ROW(H$15),0),15-13*ORÇAMENTO!$AF$7),SUMPRODUCT(($Q$1:$AI$1=1)*ROUND($Q64:$AI64,15-13*ORÇAMENTO!$AF$7))))</f>
        <v>700.56</v>
      </c>
      <c r="I64" s="468"/>
      <c r="J64" s="651" t="e" cm="1">
        <f t="array" aca="1" ref="J64" ca="1">IF(OR(B64&lt;&gt;"S",CÁLCULO.FrentesPreenchidas=0),"",IF(AND(ACOMPANHAMENTO="PLE",AUTOEVENTO="Manual",OR(H64&gt;0,ORÇAMENTO!AC64="QUANT."),OR(K64="",M64=0,N64="")),"►E",IF(AND(ACOMPANHAMENTO="PLE",ORÇAMENTO!AC64="QUANT."),"►Q",IF(AND(ACOMPANHAMENTO="PLE",H64&lt;&gt;SUMPRODUCT(($Q$1:$AI$1=1)*ROUND(Q64:AI64,15))),"►S",IF(AND(COUNTIF($P$11:$AI$11,"▼")=0,H64&gt;0,I64=""),"◄M","")))))</f>
        <v>#NAME?</v>
      </c>
      <c r="K64" s="652"/>
      <c r="L64" s="165" t="s">
        <v>764</v>
      </c>
      <c r="M64" s="166">
        <f ca="1">IF($D64&lt;&gt;"Serviço","",
          IF(AUTOEVENTO="manual",$A64,
                IF(ISERROR(MATCH($A64,$A$15:OFFSET($A64,-1,0),0)),MAX($M$15:OFFSET(M64,-1,0))+1,
                      INDEX($M$15:OFFSET(M64,-1,0),MATCH($A64,$A$15:OFFSET($A64,-1,0),0)))))</f>
        <v>9</v>
      </c>
      <c r="N64" s="167" t="str">
        <f ca="1">IF($D64&lt;&gt;"Serviço","",
         IF(AUTOEVENTO="Manual",
                IF($A64=0,"&lt;-- defina o número do agrupador",
                       OFFSET(EVENTOS!$D$15,$A64-$A$15,0)),
                OFFSET($F$15,$A64,0)))</f>
        <v>DRENAGEM</v>
      </c>
      <c r="O64" s="168"/>
      <c r="Q64" s="168"/>
      <c r="R64" s="169"/>
      <c r="S64" s="169"/>
      <c r="T64" s="169">
        <f>TRUNC(((T63*1500)/1000)*21,2)</f>
        <v>700.56</v>
      </c>
      <c r="U64" s="169"/>
      <c r="V64" s="169"/>
      <c r="W64" s="169"/>
      <c r="X64" s="169"/>
      <c r="Y64" s="169"/>
      <c r="Z64" s="170"/>
      <c r="AA64" s="169"/>
      <c r="AB64" s="169"/>
      <c r="AC64" s="169"/>
      <c r="AD64" s="169"/>
      <c r="AE64" s="169"/>
      <c r="AF64" s="169"/>
      <c r="AG64" s="169"/>
      <c r="AH64" s="170"/>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L64" s="453">
        <f ca="1">IF(AND($D64="Serviço",AL$12&lt;&gt;0,$H64&gt;0,OR(AUTOEVENTO&lt;&gt;"manual",$M64&lt;&gt;$A$15)),
        IF(Import.TipoArredondamento&lt;&gt;"TransfereGOV",
              ROUND(OFFSET($P64,0,AL$13),15-13*ORÇAMENTO!$AF$7)/$H64*OFFSET(ORÇAMENTO!$X$15,ROW(AL64)-ROW(AL$15),0),
              ROUND(ROUND(OFFSET($P64,0,AL$13),15-13*ORÇAMENTO!$AF$7)*OFFSET(ORÇAMENTO!$W$15,ROW(AL64)-ROW(AL$15),0),15-13*ORÇAMENTO!$AF$11)),
         0)</f>
        <v>0</v>
      </c>
      <c r="AM64" s="453">
        <f ca="1">IF(AND($D64="Serviço",AM$12&lt;&gt;0,$H64&gt;0,OR(AUTOEVENTO&lt;&gt;"manual",$M64&lt;&gt;$A$15)),
        IF(Import.TipoArredondamento&lt;&gt;"TransfereGOV",
              ROUND(OFFSET($P64,0,AM$13),15-13*ORÇAMENTO!$AF$7)/$H64*OFFSET(ORÇAMENTO!$X$15,ROW(AM64)-ROW(AM$15),0),
              ROUND(ROUND(OFFSET($P64,0,AM$13),15-13*ORÇAMENTO!$AF$7)*OFFSET(ORÇAMENTO!$W$15,ROW(AM64)-ROW(AM$15),0),15-13*ORÇAMENTO!$AF$11)),
         0)</f>
        <v>707.57</v>
      </c>
      <c r="AN64" s="453">
        <f ca="1">IF(AND($D64="Serviço",AN$12&lt;&gt;0,$H64&gt;0,OR(AUTOEVENTO&lt;&gt;"manual",$M64&lt;&gt;$A$15)),
        IF(Import.TipoArredondamento&lt;&gt;"TransfereGOV",
              ROUND(OFFSET($P64,0,AN$13),15-13*ORÇAMENTO!$AF$7)/$H64*OFFSET(ORÇAMENTO!$X$15,ROW(AN64)-ROW(AN$15),0),
              ROUND(ROUND(OFFSET($P64,0,AN$13),15-13*ORÇAMENTO!$AF$7)*OFFSET(ORÇAMENTO!$W$15,ROW(AN64)-ROW(AN$15),0),15-13*ORÇAMENTO!$AF$11)),
         0)</f>
        <v>0</v>
      </c>
      <c r="AO64" s="453">
        <f ca="1">IF(AND($D64="Serviço",AO$12&lt;&gt;0,$H64&gt;0,OR(AUTOEVENTO&lt;&gt;"manual",$M64&lt;&gt;$A$15)),
        IF(Import.TipoArredondamento&lt;&gt;"TransfereGOV",
              ROUND(OFFSET($P64,0,AO$13),15-13*ORÇAMENTO!$AF$7)/$H64*OFFSET(ORÇAMENTO!$X$15,ROW(AO64)-ROW(AO$15),0),
              ROUND(ROUND(OFFSET($P64,0,AO$13),15-13*ORÇAMENTO!$AF$7)*OFFSET(ORÇAMENTO!$W$15,ROW(AO64)-ROW(AO$15),0),15-13*ORÇAMENTO!$AF$11)),
         0)</f>
        <v>0</v>
      </c>
      <c r="AP64" s="453">
        <f ca="1">IF(AND($D64="Serviço",AP$12&lt;&gt;0,$H64&gt;0,OR(AUTOEVENTO&lt;&gt;"manual",$M64&lt;&gt;$A$15)),
        IF(Import.TipoArredondamento&lt;&gt;"TransfereGOV",
              ROUND(OFFSET($P64,0,AP$13),15-13*ORÇAMENTO!$AF$7)/$H64*OFFSET(ORÇAMENTO!$X$15,ROW(AP64)-ROW(AP$15),0),
              ROUND(ROUND(OFFSET($P64,0,AP$13),15-13*ORÇAMENTO!$AF$7)*OFFSET(ORÇAMENTO!$W$15,ROW(AP64)-ROW(AP$15),0),15-13*ORÇAMENTO!$AF$11)),
         0)</f>
        <v>0</v>
      </c>
      <c r="AQ64" s="453">
        <f ca="1">IF(AND($D64="Serviço",AQ$12&lt;&gt;0,$H64&gt;0,OR(AUTOEVENTO&lt;&gt;"manual",$M64&lt;&gt;$A$15)),
        IF(Import.TipoArredondamento&lt;&gt;"TransfereGOV",
              ROUND(OFFSET($P64,0,AQ$13),15-13*ORÇAMENTO!$AF$7)/$H64*OFFSET(ORÇAMENTO!$X$15,ROW(AQ64)-ROW(AQ$15),0),
              ROUND(ROUND(OFFSET($P64,0,AQ$13),15-13*ORÇAMENTO!$AF$7)*OFFSET(ORÇAMENTO!$W$15,ROW(AQ64)-ROW(AQ$15),0),15-13*ORÇAMENTO!$AF$11)),
         0)</f>
        <v>0</v>
      </c>
      <c r="AR64" s="453">
        <f ca="1">IF(AND($D64="Serviço",AR$12&lt;&gt;0,$H64&gt;0,OR(AUTOEVENTO&lt;&gt;"manual",$M64&lt;&gt;$A$15)),
        IF(Import.TipoArredondamento&lt;&gt;"TransfereGOV",
              ROUND(OFFSET($P64,0,AR$13),15-13*ORÇAMENTO!$AF$7)/$H64*OFFSET(ORÇAMENTO!$X$15,ROW(AR64)-ROW(AR$15),0),
              ROUND(ROUND(OFFSET($P64,0,AR$13),15-13*ORÇAMENTO!$AF$7)*OFFSET(ORÇAMENTO!$W$15,ROW(AR64)-ROW(AR$15),0),15-13*ORÇAMENTO!$AF$11)),
         0)</f>
        <v>0</v>
      </c>
      <c r="AS64" s="453">
        <f ca="1">IF(AND($D64="Serviço",AS$12&lt;&gt;0,$H64&gt;0,OR(AUTOEVENTO&lt;&gt;"manual",$M64&lt;&gt;$A$15)),
        IF(Import.TipoArredondamento&lt;&gt;"TransfereGOV",
              ROUND(OFFSET($P64,0,AS$13),15-13*ORÇAMENTO!$AF$7)/$H64*OFFSET(ORÇAMENTO!$X$15,ROW(AS64)-ROW(AS$15),0),
              ROUND(ROUND(OFFSET($P64,0,AS$13),15-13*ORÇAMENTO!$AF$7)*OFFSET(ORÇAMENTO!$W$15,ROW(AS64)-ROW(AS$15),0),15-13*ORÇAMENTO!$AF$11)),
         0)</f>
        <v>0</v>
      </c>
      <c r="AT64" s="453">
        <f ca="1">IF(AND($D64="Serviço",AT$12&lt;&gt;0,$H64&gt;0,OR(AUTOEVENTO&lt;&gt;"manual",$M64&lt;&gt;$A$15)),
        IF(Import.TipoArredondamento&lt;&gt;"TransfereGOV",
              ROUND(OFFSET($P64,0,AT$13),15-13*ORÇAMENTO!$AF$7)/$H64*OFFSET(ORÇAMENTO!$X$15,ROW(AT64)-ROW(AT$15),0),
              ROUND(ROUND(OFFSET($P64,0,AT$13),15-13*ORÇAMENTO!$AF$7)*OFFSET(ORÇAMENTO!$W$15,ROW(AT64)-ROW(AT$15),0),15-13*ORÇAMENTO!$AF$11)),
         0)</f>
        <v>0</v>
      </c>
      <c r="AU64" s="453">
        <f ca="1">IF(AND($D64="Serviço",AU$12&lt;&gt;0,$H64&gt;0,OR(AUTOEVENTO&lt;&gt;"manual",$M64&lt;&gt;$A$15)),
        IF(Import.TipoArredondamento&lt;&gt;"TransfereGOV",
              ROUND(OFFSET($P64,0,AU$13),15-13*ORÇAMENTO!$AF$7)/$H64*OFFSET(ORÇAMENTO!$X$15,ROW(AU64)-ROW(AU$15),0),
              ROUND(ROUND(OFFSET($P64,0,AU$13),15-13*ORÇAMENTO!$AF$7)*OFFSET(ORÇAMENTO!$W$15,ROW(AU64)-ROW(AU$15),0),15-13*ORÇAMENTO!$AF$11)),
         0)</f>
        <v>0</v>
      </c>
      <c r="AV64" s="453">
        <f ca="1">IF(AND($D64="Serviço",AV$12&lt;&gt;0,$H64&gt;0,OR(AUTOEVENTO&lt;&gt;"manual",$M64&lt;&gt;$A$15)),
        IF(Import.TipoArredondamento&lt;&gt;"TransfereGOV",
              ROUND(OFFSET($P64,0,AV$13),15-13*ORÇAMENTO!$AF$7)/$H64*OFFSET(ORÇAMENTO!$X$15,ROW(AV64)-ROW(AV$15),0),
              ROUND(ROUND(OFFSET($P64,0,AV$13),15-13*ORÇAMENTO!$AF$7)*OFFSET(ORÇAMENTO!$W$15,ROW(AV64)-ROW(AV$15),0),15-13*ORÇAMENTO!$AF$11)),
         0)</f>
        <v>0</v>
      </c>
      <c r="AW64" s="453">
        <f ca="1">IF(AND($D64="Serviço",AW$12&lt;&gt;0,$H64&gt;0,OR(AUTOEVENTO&lt;&gt;"manual",$M64&lt;&gt;$A$15)),
        IF(Import.TipoArredondamento&lt;&gt;"TransfereGOV",
              ROUND(OFFSET($P64,0,AW$13),15-13*ORÇAMENTO!$AF$7)/$H64*OFFSET(ORÇAMENTO!$X$15,ROW(AW64)-ROW(AW$15),0),
              ROUND(ROUND(OFFSET($P64,0,AW$13),15-13*ORÇAMENTO!$AF$7)*OFFSET(ORÇAMENTO!$W$15,ROW(AW64)-ROW(AW$15),0),15-13*ORÇAMENTO!$AF$11)),
         0)</f>
        <v>0</v>
      </c>
      <c r="AX64" s="453">
        <f ca="1">IF(AND($D64="Serviço",AX$12&lt;&gt;0,$H64&gt;0,OR(AUTOEVENTO&lt;&gt;"manual",$M64&lt;&gt;$A$15)),
        IF(Import.TipoArredondamento&lt;&gt;"TransfereGOV",
              ROUND(OFFSET($P64,0,AX$13),15-13*ORÇAMENTO!$AF$7)/$H64*OFFSET(ORÇAMENTO!$X$15,ROW(AX64)-ROW(AX$15),0),
              ROUND(ROUND(OFFSET($P64,0,AX$13),15-13*ORÇAMENTO!$AF$7)*OFFSET(ORÇAMENTO!$W$15,ROW(AX64)-ROW(AX$15),0),15-13*ORÇAMENTO!$AF$11)),
         0)</f>
        <v>0</v>
      </c>
      <c r="AY64" s="453">
        <f ca="1">IF(AND($D64="Serviço",AY$12&lt;&gt;0,$H64&gt;0,OR(AUTOEVENTO&lt;&gt;"manual",$M64&lt;&gt;$A$15)),
        IF(Import.TipoArredondamento&lt;&gt;"TransfereGOV",
              ROUND(OFFSET($P64,0,AY$13),15-13*ORÇAMENTO!$AF$7)/$H64*OFFSET(ORÇAMENTO!$X$15,ROW(AY64)-ROW(AY$15),0),
              ROUND(ROUND(OFFSET($P64,0,AY$13),15-13*ORÇAMENTO!$AF$7)*OFFSET(ORÇAMENTO!$W$15,ROW(AY64)-ROW(AY$15),0),15-13*ORÇAMENTO!$AF$11)),
         0)</f>
        <v>0</v>
      </c>
      <c r="AZ64" s="453">
        <f ca="1">IF(AND($D64="Serviço",AZ$12&lt;&gt;0,$H64&gt;0,OR(AUTOEVENTO&lt;&gt;"manual",$M64&lt;&gt;$A$15)),
        IF(Import.TipoArredondamento&lt;&gt;"TransfereGOV",
              ROUND(OFFSET($P64,0,AZ$13),15-13*ORÇAMENTO!$AF$7)/$H64*OFFSET(ORÇAMENTO!$X$15,ROW(AZ64)-ROW(AZ$15),0),
              ROUND(ROUND(OFFSET($P64,0,AZ$13),15-13*ORÇAMENTO!$AF$7)*OFFSET(ORÇAMENTO!$W$15,ROW(AZ64)-ROW(AZ$15),0),15-13*ORÇAMENTO!$AF$11)),
         0)</f>
        <v>0</v>
      </c>
      <c r="BA64" s="453">
        <f ca="1">IF(AND($D64="Serviço",BA$12&lt;&gt;0,$H64&gt;0,OR(AUTOEVENTO&lt;&gt;"manual",$M64&lt;&gt;$A$15)),
        IF(Import.TipoArredondamento&lt;&gt;"TransfereGOV",
              ROUND(OFFSET($P64,0,BA$13),15-13*ORÇAMENTO!$AF$7)/$H64*OFFSET(ORÇAMENTO!$X$15,ROW(BA64)-ROW(BA$15),0),
              ROUND(ROUND(OFFSET($P64,0,BA$13),15-13*ORÇAMENTO!$AF$7)*OFFSET(ORÇAMENTO!$W$15,ROW(BA64)-ROW(BA$15),0),15-13*ORÇAMENTO!$AF$11)),
         0)</f>
        <v>0</v>
      </c>
      <c r="BC64" s="171">
        <f ca="1">IF(OR($D64&lt;&gt;"Serviço",AND(AUTOEVENTO="Manual",$M64=$A$15)),0,
         IF(OFFSET(CRONOPLE!$F$15,$M64-$A$15,BC$13)=0,10^12,OFFSET(CRONOPLE!$F$15,$M64-$A$15,BC$13)))</f>
        <v>1000000000000</v>
      </c>
      <c r="BD64" s="171">
        <f ca="1">IF(OR($D64&lt;&gt;"Serviço",AND(AUTOEVENTO="Manual",$M64=$A$15)),0,
         IF(OFFSET(CRONOPLE!$F$15,$M64-$A$15,BD$13)=0,10^12,OFFSET(CRONOPLE!$F$15,$M64-$A$15,BD$13)))</f>
        <v>1000000000000</v>
      </c>
      <c r="BE64" s="171">
        <f ca="1">IF(OR($D64&lt;&gt;"Serviço",AND(AUTOEVENTO="Manual",$M64=$A$15)),0,
         IF(OFFSET(CRONOPLE!$F$15,$M64-$A$15,BE$13)=0,10^12,OFFSET(CRONOPLE!$F$15,$M64-$A$15,BE$13)))</f>
        <v>1000000000000</v>
      </c>
      <c r="BF64" s="171">
        <f ca="1">IF(OR($D64&lt;&gt;"Serviço",AND(AUTOEVENTO="Manual",$M64=$A$15)),0,
         IF(OFFSET(CRONOPLE!$F$15,$M64-$A$15,BF$13)=0,10^12,OFFSET(CRONOPLE!$F$15,$M64-$A$15,BF$13)))</f>
        <v>1</v>
      </c>
      <c r="BG64" s="171">
        <f ca="1">IF(OR($D64&lt;&gt;"Serviço",AND(AUTOEVENTO="Manual",$M64=$A$15)),0,
         IF(OFFSET(CRONOPLE!$F$15,$M64-$A$15,BG$13)=0,10^12,OFFSET(CRONOPLE!$F$15,$M64-$A$15,BG$13)))</f>
        <v>1000000000000</v>
      </c>
      <c r="BH64" s="171">
        <f ca="1">IF(OR($D64&lt;&gt;"Serviço",AND(AUTOEVENTO="Manual",$M64=$A$15)),0,
         IF(OFFSET(CRONOPLE!$F$15,$M64-$A$15,BH$13)=0,10^12,OFFSET(CRONOPLE!$F$15,$M64-$A$15,BH$13)))</f>
        <v>1000000000000</v>
      </c>
      <c r="BI64" s="171">
        <f ca="1">IF(OR($D64&lt;&gt;"Serviço",AND(AUTOEVENTO="Manual",$M64=$A$15)),0,
         IF(OFFSET(CRONOPLE!$F$15,$M64-$A$15,BI$13)=0,10^12,OFFSET(CRONOPLE!$F$15,$M64-$A$15,BI$13)))</f>
        <v>1000000000000</v>
      </c>
      <c r="BJ64" s="171">
        <f ca="1">IF(OR($D64&lt;&gt;"Serviço",AND(AUTOEVENTO="Manual",$M64=$A$15)),0,
         IF(OFFSET(CRONOPLE!$F$15,$M64-$A$15,BJ$13)=0,10^12,OFFSET(CRONOPLE!$F$15,$M64-$A$15,BJ$13)))</f>
        <v>1000000000000</v>
      </c>
      <c r="BK64" s="171">
        <f ca="1">IF(OR($D64&lt;&gt;"Serviço",AND(AUTOEVENTO="Manual",$M64=$A$15)),0,
         IF(OFFSET(CRONOPLE!$F$15,$M64-$A$15,BK$13)=0,10^12,OFFSET(CRONOPLE!$F$15,$M64-$A$15,BK$13)))</f>
        <v>1000000000000</v>
      </c>
      <c r="BL64" s="171">
        <f ca="1">IF(OR($D64&lt;&gt;"Serviço",AND(AUTOEVENTO="Manual",$M64=$A$15)),0,
         IF(OFFSET(CRONOPLE!$F$15,$M64-$A$15,BL$13)=0,10^12,OFFSET(CRONOPLE!$F$15,$M64-$A$15,BL$13)))</f>
        <v>1000000000000</v>
      </c>
      <c r="BM64" s="171">
        <f ca="1">IF(OR($D64&lt;&gt;"Serviço",AND(AUTOEVENTO="Manual",$M64=$A$15)),0,
         IF(OFFSET(CRONOPLE!$F$15,$M64-$A$15,BM$13)=0,10^12,OFFSET(CRONOPLE!$F$15,$M64-$A$15,BM$13)))</f>
        <v>1000000000000</v>
      </c>
      <c r="BN64" s="171">
        <f ca="1">IF(OR($D64&lt;&gt;"Serviço",AND(AUTOEVENTO="Manual",$M64=$A$15)),0,
         IF(OFFSET(CRONOPLE!$F$15,$M64-$A$15,BN$13)=0,10^12,OFFSET(CRONOPLE!$F$15,$M64-$A$15,BN$13)))</f>
        <v>1000000000000</v>
      </c>
      <c r="BO64" s="171">
        <f ca="1">IF(OR($D64&lt;&gt;"Serviço",AND(AUTOEVENTO="Manual",$M64=$A$15)),0,
         IF(OFFSET(CRONOPLE!$F$15,$M64-$A$15,BO$13)=0,10^12,OFFSET(CRONOPLE!$F$15,$M64-$A$15,BO$13)))</f>
        <v>1000000000000</v>
      </c>
      <c r="BP64" s="171">
        <f ca="1">IF(OR($D64&lt;&gt;"Serviço",AND(AUTOEVENTO="Manual",$M64=$A$15)),0,
         IF(OFFSET(CRONOPLE!$F$15,$M64-$A$15,BP$13)=0,10^12,OFFSET(CRONOPLE!$F$15,$M64-$A$15,BP$13)))</f>
        <v>1000000000000</v>
      </c>
      <c r="BQ64" s="171">
        <f ca="1">IF(OR($D64&lt;&gt;"Serviço",AND(AUTOEVENTO="Manual",$M64=$A$15)),0,
         IF(OFFSET(CRONOPLE!$F$15,$M64-$A$15,BQ$13)=0,10^12,OFFSET(CRONOPLE!$F$15,$M64-$A$15,BQ$13)))</f>
        <v>1000000000000</v>
      </c>
      <c r="BR64" s="171">
        <f ca="1">IF(OR($D64&lt;&gt;"Serviço",AND(AUTOEVENTO="Manual",$M64=$A$15)),0,
         IF(OFFSET(CRONOPLE!$F$15,$M64-$A$15,BR$13)=0,10^12,OFFSET(CRONOPLE!$F$15,$M64-$A$15,BR$13)))</f>
        <v>1000000000000</v>
      </c>
      <c r="BS64" s="171">
        <f ca="1">IF(OR($D64&lt;&gt;"Serviço",AND(AUTOEVENTO="Manual",$M64=$A$15)),0,
         IF(OFFSET(CRONOPLE!$F$15,$M64-$A$15,BS$13)=0,10^12,OFFSET(CRONOPLE!$F$15,$M64-$A$15,BS$13)))</f>
        <v>1000000000000</v>
      </c>
      <c r="BT64" s="171">
        <f ca="1">IF(OR($D64&lt;&gt;"Serviço",AND(AUTOEVENTO="Manual",$M64=$A$15)),0,
         IF(OFFSET(CRONOPLE!$F$15,$M64-$A$15,BT$13)=0,10^12,OFFSET(CRONOPLE!$F$15,$M64-$A$15,BT$13)))</f>
        <v>1000000000000</v>
      </c>
      <c r="BV64" s="172">
        <f ca="1">IF(OR($D64&lt;&gt;"Serviço",AND(AUTOEVENTO="Manual",$M64=$A$15),$M64&gt;(ROW(PLE.lastrow)-ROW(PLE.firstrow))),0,
           IF(OFFSET(PLE!$G$15,$M64-$A$15,BV$13)="",10^12,OFFSET(PLE!$G$15,$M64-$A$15,BV$13)))</f>
        <v>1000000000000</v>
      </c>
      <c r="BW64" s="172">
        <f ca="1">IF(OR($D64&lt;&gt;"Serviço",AND(AUTOEVENTO="Manual",$M64=$A$15),$M64&gt;(ROW(PLE.lastrow)-ROW(PLE.firstrow))),0,
           IF(OFFSET(PLE!$G$15,$M64-$A$15,BW$13)="",10^12,OFFSET(PLE!$G$15,$M64-$A$15,BW$13)))</f>
        <v>1000000000000</v>
      </c>
      <c r="BX64" s="172">
        <f ca="1">IF(OR($D64&lt;&gt;"Serviço",AND(AUTOEVENTO="Manual",$M64=$A$15),$M64&gt;(ROW(PLE.lastrow)-ROW(PLE.firstrow))),0,
           IF(OFFSET(PLE!$G$15,$M64-$A$15,BX$13)="",10^12,OFFSET(PLE!$G$15,$M64-$A$15,BX$13)))</f>
        <v>1000000000000</v>
      </c>
      <c r="BY64" s="172">
        <f ca="1">IF(OR($D64&lt;&gt;"Serviço",AND(AUTOEVENTO="Manual",$M64=$A$15),$M64&gt;(ROW(PLE.lastrow)-ROW(PLE.firstrow))),0,
           IF(OFFSET(PLE!$G$15,$M64-$A$15,BY$13)="",10^12,OFFSET(PLE!$G$15,$M64-$A$15,BY$13)))</f>
        <v>1000000000000</v>
      </c>
      <c r="BZ64" s="172">
        <f ca="1">IF(OR($D64&lt;&gt;"Serviço",AND(AUTOEVENTO="Manual",$M64=$A$15),$M64&gt;(ROW(PLE.lastrow)-ROW(PLE.firstrow))),0,
           IF(OFFSET(PLE!$G$15,$M64-$A$15,BZ$13)="",10^12,OFFSET(PLE!$G$15,$M64-$A$15,BZ$13)))</f>
        <v>1000000000000</v>
      </c>
      <c r="CA64" s="172">
        <f ca="1">IF(OR($D64&lt;&gt;"Serviço",AND(AUTOEVENTO="Manual",$M64=$A$15),$M64&gt;(ROW(PLE.lastrow)-ROW(PLE.firstrow))),0,
           IF(OFFSET(PLE!$G$15,$M64-$A$15,CA$13)="",10^12,OFFSET(PLE!$G$15,$M64-$A$15,CA$13)))</f>
        <v>1000000000000</v>
      </c>
      <c r="CB64" s="172">
        <f ca="1">IF(OR($D64&lt;&gt;"Serviço",AND(AUTOEVENTO="Manual",$M64=$A$15),$M64&gt;(ROW(PLE.lastrow)-ROW(PLE.firstrow))),0,
           IF(OFFSET(PLE!$G$15,$M64-$A$15,CB$13)="",10^12,OFFSET(PLE!$G$15,$M64-$A$15,CB$13)))</f>
        <v>1000000000000</v>
      </c>
      <c r="CC64" s="172">
        <f ca="1">IF(OR($D64&lt;&gt;"Serviço",AND(AUTOEVENTO="Manual",$M64=$A$15),$M64&gt;(ROW(PLE.lastrow)-ROW(PLE.firstrow))),0,
           IF(OFFSET(PLE!$G$15,$M64-$A$15,CC$13)="",10^12,OFFSET(PLE!$G$15,$M64-$A$15,CC$13)))</f>
        <v>1000000000000</v>
      </c>
      <c r="CD64" s="172">
        <f ca="1">IF(OR($D64&lt;&gt;"Serviço",AND(AUTOEVENTO="Manual",$M64=$A$15),$M64&gt;(ROW(PLE.lastrow)-ROW(PLE.firstrow))),0,
           IF(OFFSET(PLE!$G$15,$M64-$A$15,CD$13)="",10^12,OFFSET(PLE!$G$15,$M64-$A$15,CD$13)))</f>
        <v>1000000000000</v>
      </c>
      <c r="CE64" s="172">
        <f ca="1">IF(OR($D64&lt;&gt;"Serviço",AND(AUTOEVENTO="Manual",$M64=$A$15),$M64&gt;(ROW(PLE.lastrow)-ROW(PLE.firstrow))),0,
           IF(OFFSET(PLE!$G$15,$M64-$A$15,CE$13)="",10^12,OFFSET(PLE!$G$15,$M64-$A$15,CE$13)))</f>
        <v>1000000000000</v>
      </c>
      <c r="CF64" s="172">
        <f ca="1">IF(OR($D64&lt;&gt;"Serviço",AND(AUTOEVENTO="Manual",$M64=$A$15),$M64&gt;(ROW(PLE.lastrow)-ROW(PLE.firstrow))),0,
           IF(OFFSET(PLE!$G$15,$M64-$A$15,CF$13)="",10^12,OFFSET(PLE!$G$15,$M64-$A$15,CF$13)))</f>
        <v>1000000000000</v>
      </c>
      <c r="CG64" s="172">
        <f ca="1">IF(OR($D64&lt;&gt;"Serviço",AND(AUTOEVENTO="Manual",$M64=$A$15),$M64&gt;(ROW(PLE.lastrow)-ROW(PLE.firstrow))),0,
           IF(OFFSET(PLE!$G$15,$M64-$A$15,CG$13)="",10^12,OFFSET(PLE!$G$15,$M64-$A$15,CG$13)))</f>
        <v>1000000000000</v>
      </c>
      <c r="CH64" s="172">
        <f ca="1">IF(OR($D64&lt;&gt;"Serviço",AND(AUTOEVENTO="Manual",$M64=$A$15),$M64&gt;(ROW(PLE.lastrow)-ROW(PLE.firstrow))),0,
           IF(OFFSET(PLE!$G$15,$M64-$A$15,CH$13)="",10^12,OFFSET(PLE!$G$15,$M64-$A$15,CH$13)))</f>
        <v>1000000000000</v>
      </c>
      <c r="CI64" s="172">
        <f ca="1">IF(OR($D64&lt;&gt;"Serviço",AND(AUTOEVENTO="Manual",$M64=$A$15),$M64&gt;(ROW(PLE.lastrow)-ROW(PLE.firstrow))),0,
           IF(OFFSET(PLE!$G$15,$M64-$A$15,CI$13)="",10^12,OFFSET(PLE!$G$15,$M64-$A$15,CI$13)))</f>
        <v>1000000000000</v>
      </c>
      <c r="CJ64" s="172">
        <f ca="1">IF(OR($D64&lt;&gt;"Serviço",AND(AUTOEVENTO="Manual",$M64=$A$15),$M64&gt;(ROW(PLE.lastrow)-ROW(PLE.firstrow))),0,
           IF(OFFSET(PLE!$G$15,$M64-$A$15,CJ$13)="",10^12,OFFSET(PLE!$G$15,$M64-$A$15,CJ$13)))</f>
        <v>1000000000000</v>
      </c>
      <c r="CK64" s="172">
        <f ca="1">IF(OR($D64&lt;&gt;"Serviço",AND(AUTOEVENTO="Manual",$M64=$A$15),$M64&gt;(ROW(PLE.lastrow)-ROW(PLE.firstrow))),0,
           IF(OFFSET(PLE!$G$15,$M64-$A$15,CK$13)="",10^12,OFFSET(PLE!$G$15,$M64-$A$15,CK$13)))</f>
        <v>1000000000000</v>
      </c>
      <c r="CL64" s="172">
        <f ca="1">IF(OR($D64&lt;&gt;"Serviço",AND(AUTOEVENTO="Manual",$M64=$A$15),$M64&gt;(ROW(PLE.lastrow)-ROW(PLE.firstrow))),0,
           IF(OFFSET(PLE!$G$15,$M64-$A$15,CL$13)="",10^12,OFFSET(PLE!$G$15,$M64-$A$15,CL$13)))</f>
        <v>1000000000000</v>
      </c>
      <c r="CM64" s="172">
        <f ca="1">IF(OR($D64&lt;&gt;"Serviço",AND(AUTOEVENTO="Manual",$M64=$A$15),$M64&gt;(ROW(PLE.lastrow)-ROW(PLE.firstrow))),0,
           IF(OFFSET(PLE!$G$15,$M64-$A$15,CM$13)="",10^12,OFFSET(PLE!$G$15,$M64-$A$15,CM$13)))</f>
        <v>1000000000000</v>
      </c>
    </row>
    <row r="65" spans="1:91" ht="26.4" x14ac:dyDescent="0.25">
      <c r="A65" s="7" t="str">
        <f t="shared" ca="1" si="11"/>
        <v>45</v>
      </c>
      <c r="B65" s="7" t="str">
        <f ca="1">OFFSET(ORÇAMENTO!C$15,ROW(B65)-ROW(B$15),0)</f>
        <v>S</v>
      </c>
      <c r="C65" s="7" t="str">
        <f ca="1">OFFSET(ORÇAMENTO!L$15,ROW(C65)-ROW(C$15),0)</f>
        <v>F</v>
      </c>
      <c r="D65" s="116" t="str">
        <f ca="1">OFFSET(ORÇAMENTO!N$15,ROW(D65)-ROW(D$15),0)</f>
        <v>Serviço</v>
      </c>
      <c r="E65" s="117" t="str">
        <f ca="1">OFFSET(ORÇAMENTO!O$15,ROW(E65)-ROW(E$15),0)</f>
        <v>2.2.5.</v>
      </c>
      <c r="F65" s="163" t="str">
        <f ca="1">OFFSET(ORÇAMENTO!R$15,ROW(F65)-ROW(F$15),0)</f>
        <v>Boca de lobo combinada - chapéu e grelha simples - BLC 01 - areia e brita comerciais</v>
      </c>
      <c r="G65" s="164" t="str">
        <f ca="1">IF($D65&lt;&gt;"Serviço","",OFFSET(ORÇAMENTO!S$15,ROW(G65)-ROW(G$15),0))</f>
        <v>un</v>
      </c>
      <c r="H65" s="122" cm="1">
        <f t="array" aca="1" ref="H65" ca="1">IF($D65&lt;&gt;"Serviço",0,IF(ACOMPANHAMENTO="BM",ROUND(OFFSET(ORÇAMENTO!AJ$15,ROW(H65)-ROW(H$15),0),15-13*ORÇAMENTO!$AF$7),SUMPRODUCT(($Q$1:$AI$1=1)*ROUND($Q65:$AI65,15-13*ORÇAMENTO!$AF$7))))</f>
        <v>2</v>
      </c>
      <c r="I65" s="468"/>
      <c r="J65" s="651" t="e" cm="1">
        <f t="array" aca="1" ref="J65" ca="1">IF(OR(B65&lt;&gt;"S",CÁLCULO.FrentesPreenchidas=0),"",IF(AND(ACOMPANHAMENTO="PLE",AUTOEVENTO="Manual",OR(H65&gt;0,ORÇAMENTO!AC65="QUANT."),OR(K65="",M65=0,N65="")),"►E",IF(AND(ACOMPANHAMENTO="PLE",ORÇAMENTO!AC65="QUANT."),"►Q",IF(AND(ACOMPANHAMENTO="PLE",H65&lt;&gt;SUMPRODUCT(($Q$1:$AI$1=1)*ROUND(Q65:AI65,15))),"►S",IF(AND(COUNTIF($P$11:$AI$11,"▼")=0,H65&gt;0,I65=""),"◄M","")))))</f>
        <v>#NAME?</v>
      </c>
      <c r="K65" s="652"/>
      <c r="L65" s="165" t="s">
        <v>764</v>
      </c>
      <c r="M65" s="166">
        <f ca="1">IF($D65&lt;&gt;"Serviço","",
          IF(AUTOEVENTO="manual",$A65,
                IF(ISERROR(MATCH($A65,$A$15:OFFSET($A65,-1,0),0)),MAX($M$15:OFFSET(M65,-1,0))+1,
                      INDEX($M$15:OFFSET(M65,-1,0),MATCH($A65,$A$15:OFFSET($A65,-1,0),0)))))</f>
        <v>9</v>
      </c>
      <c r="N65" s="167" t="str">
        <f ca="1">IF($D65&lt;&gt;"Serviço","",
         IF(AUTOEVENTO="Manual",
                IF($A65=0,"&lt;-- defina o número do agrupador",
                       OFFSET(EVENTOS!$D$15,$A65-$A$15,0)),
                OFFSET($F$15,$A65,0)))</f>
        <v>DRENAGEM</v>
      </c>
      <c r="O65" s="168"/>
      <c r="Q65" s="168"/>
      <c r="R65" s="169"/>
      <c r="S65" s="169"/>
      <c r="T65" s="169">
        <v>2</v>
      </c>
      <c r="U65" s="169"/>
      <c r="V65" s="169"/>
      <c r="W65" s="169"/>
      <c r="X65" s="169"/>
      <c r="Y65" s="169"/>
      <c r="Z65" s="170"/>
      <c r="AA65" s="169"/>
      <c r="AB65" s="169"/>
      <c r="AC65" s="169"/>
      <c r="AD65" s="169"/>
      <c r="AE65" s="169"/>
      <c r="AF65" s="169"/>
      <c r="AG65" s="169"/>
      <c r="AH65" s="170"/>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L65" s="453">
        <f ca="1">IF(AND($D65="Serviço",AL$12&lt;&gt;0,$H65&gt;0,OR(AUTOEVENTO&lt;&gt;"manual",$M65&lt;&gt;$A$15)),
        IF(Import.TipoArredondamento&lt;&gt;"TransfereGOV",
              ROUND(OFFSET($P65,0,AL$13),15-13*ORÇAMENTO!$AF$7)/$H65*OFFSET(ORÇAMENTO!$X$15,ROW(AL65)-ROW(AL$15),0),
              ROUND(ROUND(OFFSET($P65,0,AL$13),15-13*ORÇAMENTO!$AF$7)*OFFSET(ORÇAMENTO!$W$15,ROW(AL65)-ROW(AL$15),0),15-13*ORÇAMENTO!$AF$11)),
         0)</f>
        <v>0</v>
      </c>
      <c r="AM65" s="453">
        <f ca="1">IF(AND($D65="Serviço",AM$12&lt;&gt;0,$H65&gt;0,OR(AUTOEVENTO&lt;&gt;"manual",$M65&lt;&gt;$A$15)),
        IF(Import.TipoArredondamento&lt;&gt;"TransfereGOV",
              ROUND(OFFSET($P65,0,AM$13),15-13*ORÇAMENTO!$AF$7)/$H65*OFFSET(ORÇAMENTO!$X$15,ROW(AM65)-ROW(AM$15),0),
              ROUND(ROUND(OFFSET($P65,0,AM$13),15-13*ORÇAMENTO!$AF$7)*OFFSET(ORÇAMENTO!$W$15,ROW(AM65)-ROW(AM$15),0),15-13*ORÇAMENTO!$AF$11)),
         0)</f>
        <v>5964.6</v>
      </c>
      <c r="AN65" s="453">
        <f ca="1">IF(AND($D65="Serviço",AN$12&lt;&gt;0,$H65&gt;0,OR(AUTOEVENTO&lt;&gt;"manual",$M65&lt;&gt;$A$15)),
        IF(Import.TipoArredondamento&lt;&gt;"TransfereGOV",
              ROUND(OFFSET($P65,0,AN$13),15-13*ORÇAMENTO!$AF$7)/$H65*OFFSET(ORÇAMENTO!$X$15,ROW(AN65)-ROW(AN$15),0),
              ROUND(ROUND(OFFSET($P65,0,AN$13),15-13*ORÇAMENTO!$AF$7)*OFFSET(ORÇAMENTO!$W$15,ROW(AN65)-ROW(AN$15),0),15-13*ORÇAMENTO!$AF$11)),
         0)</f>
        <v>0</v>
      </c>
      <c r="AO65" s="453">
        <f ca="1">IF(AND($D65="Serviço",AO$12&lt;&gt;0,$H65&gt;0,OR(AUTOEVENTO&lt;&gt;"manual",$M65&lt;&gt;$A$15)),
        IF(Import.TipoArredondamento&lt;&gt;"TransfereGOV",
              ROUND(OFFSET($P65,0,AO$13),15-13*ORÇAMENTO!$AF$7)/$H65*OFFSET(ORÇAMENTO!$X$15,ROW(AO65)-ROW(AO$15),0),
              ROUND(ROUND(OFFSET($P65,0,AO$13),15-13*ORÇAMENTO!$AF$7)*OFFSET(ORÇAMENTO!$W$15,ROW(AO65)-ROW(AO$15),0),15-13*ORÇAMENTO!$AF$11)),
         0)</f>
        <v>0</v>
      </c>
      <c r="AP65" s="453">
        <f ca="1">IF(AND($D65="Serviço",AP$12&lt;&gt;0,$H65&gt;0,OR(AUTOEVENTO&lt;&gt;"manual",$M65&lt;&gt;$A$15)),
        IF(Import.TipoArredondamento&lt;&gt;"TransfereGOV",
              ROUND(OFFSET($P65,0,AP$13),15-13*ORÇAMENTO!$AF$7)/$H65*OFFSET(ORÇAMENTO!$X$15,ROW(AP65)-ROW(AP$15),0),
              ROUND(ROUND(OFFSET($P65,0,AP$13),15-13*ORÇAMENTO!$AF$7)*OFFSET(ORÇAMENTO!$W$15,ROW(AP65)-ROW(AP$15),0),15-13*ORÇAMENTO!$AF$11)),
         0)</f>
        <v>0</v>
      </c>
      <c r="AQ65" s="453">
        <f ca="1">IF(AND($D65="Serviço",AQ$12&lt;&gt;0,$H65&gt;0,OR(AUTOEVENTO&lt;&gt;"manual",$M65&lt;&gt;$A$15)),
        IF(Import.TipoArredondamento&lt;&gt;"TransfereGOV",
              ROUND(OFFSET($P65,0,AQ$13),15-13*ORÇAMENTO!$AF$7)/$H65*OFFSET(ORÇAMENTO!$X$15,ROW(AQ65)-ROW(AQ$15),0),
              ROUND(ROUND(OFFSET($P65,0,AQ$13),15-13*ORÇAMENTO!$AF$7)*OFFSET(ORÇAMENTO!$W$15,ROW(AQ65)-ROW(AQ$15),0),15-13*ORÇAMENTO!$AF$11)),
         0)</f>
        <v>0</v>
      </c>
      <c r="AR65" s="453">
        <f ca="1">IF(AND($D65="Serviço",AR$12&lt;&gt;0,$H65&gt;0,OR(AUTOEVENTO&lt;&gt;"manual",$M65&lt;&gt;$A$15)),
        IF(Import.TipoArredondamento&lt;&gt;"TransfereGOV",
              ROUND(OFFSET($P65,0,AR$13),15-13*ORÇAMENTO!$AF$7)/$H65*OFFSET(ORÇAMENTO!$X$15,ROW(AR65)-ROW(AR$15),0),
              ROUND(ROUND(OFFSET($P65,0,AR$13),15-13*ORÇAMENTO!$AF$7)*OFFSET(ORÇAMENTO!$W$15,ROW(AR65)-ROW(AR$15),0),15-13*ORÇAMENTO!$AF$11)),
         0)</f>
        <v>0</v>
      </c>
      <c r="AS65" s="453">
        <f ca="1">IF(AND($D65="Serviço",AS$12&lt;&gt;0,$H65&gt;0,OR(AUTOEVENTO&lt;&gt;"manual",$M65&lt;&gt;$A$15)),
        IF(Import.TipoArredondamento&lt;&gt;"TransfereGOV",
              ROUND(OFFSET($P65,0,AS$13),15-13*ORÇAMENTO!$AF$7)/$H65*OFFSET(ORÇAMENTO!$X$15,ROW(AS65)-ROW(AS$15),0),
              ROUND(ROUND(OFFSET($P65,0,AS$13),15-13*ORÇAMENTO!$AF$7)*OFFSET(ORÇAMENTO!$W$15,ROW(AS65)-ROW(AS$15),0),15-13*ORÇAMENTO!$AF$11)),
         0)</f>
        <v>0</v>
      </c>
      <c r="AT65" s="453">
        <f ca="1">IF(AND($D65="Serviço",AT$12&lt;&gt;0,$H65&gt;0,OR(AUTOEVENTO&lt;&gt;"manual",$M65&lt;&gt;$A$15)),
        IF(Import.TipoArredondamento&lt;&gt;"TransfereGOV",
              ROUND(OFFSET($P65,0,AT$13),15-13*ORÇAMENTO!$AF$7)/$H65*OFFSET(ORÇAMENTO!$X$15,ROW(AT65)-ROW(AT$15),0),
              ROUND(ROUND(OFFSET($P65,0,AT$13),15-13*ORÇAMENTO!$AF$7)*OFFSET(ORÇAMENTO!$W$15,ROW(AT65)-ROW(AT$15),0),15-13*ORÇAMENTO!$AF$11)),
         0)</f>
        <v>0</v>
      </c>
      <c r="AU65" s="453">
        <f ca="1">IF(AND($D65="Serviço",AU$12&lt;&gt;0,$H65&gt;0,OR(AUTOEVENTO&lt;&gt;"manual",$M65&lt;&gt;$A$15)),
        IF(Import.TipoArredondamento&lt;&gt;"TransfereGOV",
              ROUND(OFFSET($P65,0,AU$13),15-13*ORÇAMENTO!$AF$7)/$H65*OFFSET(ORÇAMENTO!$X$15,ROW(AU65)-ROW(AU$15),0),
              ROUND(ROUND(OFFSET($P65,0,AU$13),15-13*ORÇAMENTO!$AF$7)*OFFSET(ORÇAMENTO!$W$15,ROW(AU65)-ROW(AU$15),0),15-13*ORÇAMENTO!$AF$11)),
         0)</f>
        <v>0</v>
      </c>
      <c r="AV65" s="453">
        <f ca="1">IF(AND($D65="Serviço",AV$12&lt;&gt;0,$H65&gt;0,OR(AUTOEVENTO&lt;&gt;"manual",$M65&lt;&gt;$A$15)),
        IF(Import.TipoArredondamento&lt;&gt;"TransfereGOV",
              ROUND(OFFSET($P65,0,AV$13),15-13*ORÇAMENTO!$AF$7)/$H65*OFFSET(ORÇAMENTO!$X$15,ROW(AV65)-ROW(AV$15),0),
              ROUND(ROUND(OFFSET($P65,0,AV$13),15-13*ORÇAMENTO!$AF$7)*OFFSET(ORÇAMENTO!$W$15,ROW(AV65)-ROW(AV$15),0),15-13*ORÇAMENTO!$AF$11)),
         0)</f>
        <v>0</v>
      </c>
      <c r="AW65" s="453">
        <f ca="1">IF(AND($D65="Serviço",AW$12&lt;&gt;0,$H65&gt;0,OR(AUTOEVENTO&lt;&gt;"manual",$M65&lt;&gt;$A$15)),
        IF(Import.TipoArredondamento&lt;&gt;"TransfereGOV",
              ROUND(OFFSET($P65,0,AW$13),15-13*ORÇAMENTO!$AF$7)/$H65*OFFSET(ORÇAMENTO!$X$15,ROW(AW65)-ROW(AW$15),0),
              ROUND(ROUND(OFFSET($P65,0,AW$13),15-13*ORÇAMENTO!$AF$7)*OFFSET(ORÇAMENTO!$W$15,ROW(AW65)-ROW(AW$15),0),15-13*ORÇAMENTO!$AF$11)),
         0)</f>
        <v>0</v>
      </c>
      <c r="AX65" s="453">
        <f ca="1">IF(AND($D65="Serviço",AX$12&lt;&gt;0,$H65&gt;0,OR(AUTOEVENTO&lt;&gt;"manual",$M65&lt;&gt;$A$15)),
        IF(Import.TipoArredondamento&lt;&gt;"TransfereGOV",
              ROUND(OFFSET($P65,0,AX$13),15-13*ORÇAMENTO!$AF$7)/$H65*OFFSET(ORÇAMENTO!$X$15,ROW(AX65)-ROW(AX$15),0),
              ROUND(ROUND(OFFSET($P65,0,AX$13),15-13*ORÇAMENTO!$AF$7)*OFFSET(ORÇAMENTO!$W$15,ROW(AX65)-ROW(AX$15),0),15-13*ORÇAMENTO!$AF$11)),
         0)</f>
        <v>0</v>
      </c>
      <c r="AY65" s="453">
        <f ca="1">IF(AND($D65="Serviço",AY$12&lt;&gt;0,$H65&gt;0,OR(AUTOEVENTO&lt;&gt;"manual",$M65&lt;&gt;$A$15)),
        IF(Import.TipoArredondamento&lt;&gt;"TransfereGOV",
              ROUND(OFFSET($P65,0,AY$13),15-13*ORÇAMENTO!$AF$7)/$H65*OFFSET(ORÇAMENTO!$X$15,ROW(AY65)-ROW(AY$15),0),
              ROUND(ROUND(OFFSET($P65,0,AY$13),15-13*ORÇAMENTO!$AF$7)*OFFSET(ORÇAMENTO!$W$15,ROW(AY65)-ROW(AY$15),0),15-13*ORÇAMENTO!$AF$11)),
         0)</f>
        <v>0</v>
      </c>
      <c r="AZ65" s="453">
        <f ca="1">IF(AND($D65="Serviço",AZ$12&lt;&gt;0,$H65&gt;0,OR(AUTOEVENTO&lt;&gt;"manual",$M65&lt;&gt;$A$15)),
        IF(Import.TipoArredondamento&lt;&gt;"TransfereGOV",
              ROUND(OFFSET($P65,0,AZ$13),15-13*ORÇAMENTO!$AF$7)/$H65*OFFSET(ORÇAMENTO!$X$15,ROW(AZ65)-ROW(AZ$15),0),
              ROUND(ROUND(OFFSET($P65,0,AZ$13),15-13*ORÇAMENTO!$AF$7)*OFFSET(ORÇAMENTO!$W$15,ROW(AZ65)-ROW(AZ$15),0),15-13*ORÇAMENTO!$AF$11)),
         0)</f>
        <v>0</v>
      </c>
      <c r="BA65" s="453">
        <f ca="1">IF(AND($D65="Serviço",BA$12&lt;&gt;0,$H65&gt;0,OR(AUTOEVENTO&lt;&gt;"manual",$M65&lt;&gt;$A$15)),
        IF(Import.TipoArredondamento&lt;&gt;"TransfereGOV",
              ROUND(OFFSET($P65,0,BA$13),15-13*ORÇAMENTO!$AF$7)/$H65*OFFSET(ORÇAMENTO!$X$15,ROW(BA65)-ROW(BA$15),0),
              ROUND(ROUND(OFFSET($P65,0,BA$13),15-13*ORÇAMENTO!$AF$7)*OFFSET(ORÇAMENTO!$W$15,ROW(BA65)-ROW(BA$15),0),15-13*ORÇAMENTO!$AF$11)),
         0)</f>
        <v>0</v>
      </c>
      <c r="BC65" s="171">
        <f ca="1">IF(OR($D65&lt;&gt;"Serviço",AND(AUTOEVENTO="Manual",$M65=$A$15)),0,
         IF(OFFSET(CRONOPLE!$F$15,$M65-$A$15,BC$13)=0,10^12,OFFSET(CRONOPLE!$F$15,$M65-$A$15,BC$13)))</f>
        <v>1000000000000</v>
      </c>
      <c r="BD65" s="171">
        <f ca="1">IF(OR($D65&lt;&gt;"Serviço",AND(AUTOEVENTO="Manual",$M65=$A$15)),0,
         IF(OFFSET(CRONOPLE!$F$15,$M65-$A$15,BD$13)=0,10^12,OFFSET(CRONOPLE!$F$15,$M65-$A$15,BD$13)))</f>
        <v>1000000000000</v>
      </c>
      <c r="BE65" s="171">
        <f ca="1">IF(OR($D65&lt;&gt;"Serviço",AND(AUTOEVENTO="Manual",$M65=$A$15)),0,
         IF(OFFSET(CRONOPLE!$F$15,$M65-$A$15,BE$13)=0,10^12,OFFSET(CRONOPLE!$F$15,$M65-$A$15,BE$13)))</f>
        <v>1000000000000</v>
      </c>
      <c r="BF65" s="171">
        <f ca="1">IF(OR($D65&lt;&gt;"Serviço",AND(AUTOEVENTO="Manual",$M65=$A$15)),0,
         IF(OFFSET(CRONOPLE!$F$15,$M65-$A$15,BF$13)=0,10^12,OFFSET(CRONOPLE!$F$15,$M65-$A$15,BF$13)))</f>
        <v>1</v>
      </c>
      <c r="BG65" s="171">
        <f ca="1">IF(OR($D65&lt;&gt;"Serviço",AND(AUTOEVENTO="Manual",$M65=$A$15)),0,
         IF(OFFSET(CRONOPLE!$F$15,$M65-$A$15,BG$13)=0,10^12,OFFSET(CRONOPLE!$F$15,$M65-$A$15,BG$13)))</f>
        <v>1000000000000</v>
      </c>
      <c r="BH65" s="171">
        <f ca="1">IF(OR($D65&lt;&gt;"Serviço",AND(AUTOEVENTO="Manual",$M65=$A$15)),0,
         IF(OFFSET(CRONOPLE!$F$15,$M65-$A$15,BH$13)=0,10^12,OFFSET(CRONOPLE!$F$15,$M65-$A$15,BH$13)))</f>
        <v>1000000000000</v>
      </c>
      <c r="BI65" s="171">
        <f ca="1">IF(OR($D65&lt;&gt;"Serviço",AND(AUTOEVENTO="Manual",$M65=$A$15)),0,
         IF(OFFSET(CRONOPLE!$F$15,$M65-$A$15,BI$13)=0,10^12,OFFSET(CRONOPLE!$F$15,$M65-$A$15,BI$13)))</f>
        <v>1000000000000</v>
      </c>
      <c r="BJ65" s="171">
        <f ca="1">IF(OR($D65&lt;&gt;"Serviço",AND(AUTOEVENTO="Manual",$M65=$A$15)),0,
         IF(OFFSET(CRONOPLE!$F$15,$M65-$A$15,BJ$13)=0,10^12,OFFSET(CRONOPLE!$F$15,$M65-$A$15,BJ$13)))</f>
        <v>1000000000000</v>
      </c>
      <c r="BK65" s="171">
        <f ca="1">IF(OR($D65&lt;&gt;"Serviço",AND(AUTOEVENTO="Manual",$M65=$A$15)),0,
         IF(OFFSET(CRONOPLE!$F$15,$M65-$A$15,BK$13)=0,10^12,OFFSET(CRONOPLE!$F$15,$M65-$A$15,BK$13)))</f>
        <v>1000000000000</v>
      </c>
      <c r="BL65" s="171">
        <f ca="1">IF(OR($D65&lt;&gt;"Serviço",AND(AUTOEVENTO="Manual",$M65=$A$15)),0,
         IF(OFFSET(CRONOPLE!$F$15,$M65-$A$15,BL$13)=0,10^12,OFFSET(CRONOPLE!$F$15,$M65-$A$15,BL$13)))</f>
        <v>1000000000000</v>
      </c>
      <c r="BM65" s="171">
        <f ca="1">IF(OR($D65&lt;&gt;"Serviço",AND(AUTOEVENTO="Manual",$M65=$A$15)),0,
         IF(OFFSET(CRONOPLE!$F$15,$M65-$A$15,BM$13)=0,10^12,OFFSET(CRONOPLE!$F$15,$M65-$A$15,BM$13)))</f>
        <v>1000000000000</v>
      </c>
      <c r="BN65" s="171">
        <f ca="1">IF(OR($D65&lt;&gt;"Serviço",AND(AUTOEVENTO="Manual",$M65=$A$15)),0,
         IF(OFFSET(CRONOPLE!$F$15,$M65-$A$15,BN$13)=0,10^12,OFFSET(CRONOPLE!$F$15,$M65-$A$15,BN$13)))</f>
        <v>1000000000000</v>
      </c>
      <c r="BO65" s="171">
        <f ca="1">IF(OR($D65&lt;&gt;"Serviço",AND(AUTOEVENTO="Manual",$M65=$A$15)),0,
         IF(OFFSET(CRONOPLE!$F$15,$M65-$A$15,BO$13)=0,10^12,OFFSET(CRONOPLE!$F$15,$M65-$A$15,BO$13)))</f>
        <v>1000000000000</v>
      </c>
      <c r="BP65" s="171">
        <f ca="1">IF(OR($D65&lt;&gt;"Serviço",AND(AUTOEVENTO="Manual",$M65=$A$15)),0,
         IF(OFFSET(CRONOPLE!$F$15,$M65-$A$15,BP$13)=0,10^12,OFFSET(CRONOPLE!$F$15,$M65-$A$15,BP$13)))</f>
        <v>1000000000000</v>
      </c>
      <c r="BQ65" s="171">
        <f ca="1">IF(OR($D65&lt;&gt;"Serviço",AND(AUTOEVENTO="Manual",$M65=$A$15)),0,
         IF(OFFSET(CRONOPLE!$F$15,$M65-$A$15,BQ$13)=0,10^12,OFFSET(CRONOPLE!$F$15,$M65-$A$15,BQ$13)))</f>
        <v>1000000000000</v>
      </c>
      <c r="BR65" s="171">
        <f ca="1">IF(OR($D65&lt;&gt;"Serviço",AND(AUTOEVENTO="Manual",$M65=$A$15)),0,
         IF(OFFSET(CRONOPLE!$F$15,$M65-$A$15,BR$13)=0,10^12,OFFSET(CRONOPLE!$F$15,$M65-$A$15,BR$13)))</f>
        <v>1000000000000</v>
      </c>
      <c r="BS65" s="171">
        <f ca="1">IF(OR($D65&lt;&gt;"Serviço",AND(AUTOEVENTO="Manual",$M65=$A$15)),0,
         IF(OFFSET(CRONOPLE!$F$15,$M65-$A$15,BS$13)=0,10^12,OFFSET(CRONOPLE!$F$15,$M65-$A$15,BS$13)))</f>
        <v>1000000000000</v>
      </c>
      <c r="BT65" s="171">
        <f ca="1">IF(OR($D65&lt;&gt;"Serviço",AND(AUTOEVENTO="Manual",$M65=$A$15)),0,
         IF(OFFSET(CRONOPLE!$F$15,$M65-$A$15,BT$13)=0,10^12,OFFSET(CRONOPLE!$F$15,$M65-$A$15,BT$13)))</f>
        <v>1000000000000</v>
      </c>
      <c r="BV65" s="172">
        <f ca="1">IF(OR($D65&lt;&gt;"Serviço",AND(AUTOEVENTO="Manual",$M65=$A$15),$M65&gt;(ROW(PLE.lastrow)-ROW(PLE.firstrow))),0,
           IF(OFFSET(PLE!$G$15,$M65-$A$15,BV$13)="",10^12,OFFSET(PLE!$G$15,$M65-$A$15,BV$13)))</f>
        <v>1000000000000</v>
      </c>
      <c r="BW65" s="172">
        <f ca="1">IF(OR($D65&lt;&gt;"Serviço",AND(AUTOEVENTO="Manual",$M65=$A$15),$M65&gt;(ROW(PLE.lastrow)-ROW(PLE.firstrow))),0,
           IF(OFFSET(PLE!$G$15,$M65-$A$15,BW$13)="",10^12,OFFSET(PLE!$G$15,$M65-$A$15,BW$13)))</f>
        <v>1000000000000</v>
      </c>
      <c r="BX65" s="172">
        <f ca="1">IF(OR($D65&lt;&gt;"Serviço",AND(AUTOEVENTO="Manual",$M65=$A$15),$M65&gt;(ROW(PLE.lastrow)-ROW(PLE.firstrow))),0,
           IF(OFFSET(PLE!$G$15,$M65-$A$15,BX$13)="",10^12,OFFSET(PLE!$G$15,$M65-$A$15,BX$13)))</f>
        <v>1000000000000</v>
      </c>
      <c r="BY65" s="172">
        <f ca="1">IF(OR($D65&lt;&gt;"Serviço",AND(AUTOEVENTO="Manual",$M65=$A$15),$M65&gt;(ROW(PLE.lastrow)-ROW(PLE.firstrow))),0,
           IF(OFFSET(PLE!$G$15,$M65-$A$15,BY$13)="",10^12,OFFSET(PLE!$G$15,$M65-$A$15,BY$13)))</f>
        <v>1000000000000</v>
      </c>
      <c r="BZ65" s="172">
        <f ca="1">IF(OR($D65&lt;&gt;"Serviço",AND(AUTOEVENTO="Manual",$M65=$A$15),$M65&gt;(ROW(PLE.lastrow)-ROW(PLE.firstrow))),0,
           IF(OFFSET(PLE!$G$15,$M65-$A$15,BZ$13)="",10^12,OFFSET(PLE!$G$15,$M65-$A$15,BZ$13)))</f>
        <v>1000000000000</v>
      </c>
      <c r="CA65" s="172">
        <f ca="1">IF(OR($D65&lt;&gt;"Serviço",AND(AUTOEVENTO="Manual",$M65=$A$15),$M65&gt;(ROW(PLE.lastrow)-ROW(PLE.firstrow))),0,
           IF(OFFSET(PLE!$G$15,$M65-$A$15,CA$13)="",10^12,OFFSET(PLE!$G$15,$M65-$A$15,CA$13)))</f>
        <v>1000000000000</v>
      </c>
      <c r="CB65" s="172">
        <f ca="1">IF(OR($D65&lt;&gt;"Serviço",AND(AUTOEVENTO="Manual",$M65=$A$15),$M65&gt;(ROW(PLE.lastrow)-ROW(PLE.firstrow))),0,
           IF(OFFSET(PLE!$G$15,$M65-$A$15,CB$13)="",10^12,OFFSET(PLE!$G$15,$M65-$A$15,CB$13)))</f>
        <v>1000000000000</v>
      </c>
      <c r="CC65" s="172">
        <f ca="1">IF(OR($D65&lt;&gt;"Serviço",AND(AUTOEVENTO="Manual",$M65=$A$15),$M65&gt;(ROW(PLE.lastrow)-ROW(PLE.firstrow))),0,
           IF(OFFSET(PLE!$G$15,$M65-$A$15,CC$13)="",10^12,OFFSET(PLE!$G$15,$M65-$A$15,CC$13)))</f>
        <v>1000000000000</v>
      </c>
      <c r="CD65" s="172">
        <f ca="1">IF(OR($D65&lt;&gt;"Serviço",AND(AUTOEVENTO="Manual",$M65=$A$15),$M65&gt;(ROW(PLE.lastrow)-ROW(PLE.firstrow))),0,
           IF(OFFSET(PLE!$G$15,$M65-$A$15,CD$13)="",10^12,OFFSET(PLE!$G$15,$M65-$A$15,CD$13)))</f>
        <v>1000000000000</v>
      </c>
      <c r="CE65" s="172">
        <f ca="1">IF(OR($D65&lt;&gt;"Serviço",AND(AUTOEVENTO="Manual",$M65=$A$15),$M65&gt;(ROW(PLE.lastrow)-ROW(PLE.firstrow))),0,
           IF(OFFSET(PLE!$G$15,$M65-$A$15,CE$13)="",10^12,OFFSET(PLE!$G$15,$M65-$A$15,CE$13)))</f>
        <v>1000000000000</v>
      </c>
      <c r="CF65" s="172">
        <f ca="1">IF(OR($D65&lt;&gt;"Serviço",AND(AUTOEVENTO="Manual",$M65=$A$15),$M65&gt;(ROW(PLE.lastrow)-ROW(PLE.firstrow))),0,
           IF(OFFSET(PLE!$G$15,$M65-$A$15,CF$13)="",10^12,OFFSET(PLE!$G$15,$M65-$A$15,CF$13)))</f>
        <v>1000000000000</v>
      </c>
      <c r="CG65" s="172">
        <f ca="1">IF(OR($D65&lt;&gt;"Serviço",AND(AUTOEVENTO="Manual",$M65=$A$15),$M65&gt;(ROW(PLE.lastrow)-ROW(PLE.firstrow))),0,
           IF(OFFSET(PLE!$G$15,$M65-$A$15,CG$13)="",10^12,OFFSET(PLE!$G$15,$M65-$A$15,CG$13)))</f>
        <v>1000000000000</v>
      </c>
      <c r="CH65" s="172">
        <f ca="1">IF(OR($D65&lt;&gt;"Serviço",AND(AUTOEVENTO="Manual",$M65=$A$15),$M65&gt;(ROW(PLE.lastrow)-ROW(PLE.firstrow))),0,
           IF(OFFSET(PLE!$G$15,$M65-$A$15,CH$13)="",10^12,OFFSET(PLE!$G$15,$M65-$A$15,CH$13)))</f>
        <v>1000000000000</v>
      </c>
      <c r="CI65" s="172">
        <f ca="1">IF(OR($D65&lt;&gt;"Serviço",AND(AUTOEVENTO="Manual",$M65=$A$15),$M65&gt;(ROW(PLE.lastrow)-ROW(PLE.firstrow))),0,
           IF(OFFSET(PLE!$G$15,$M65-$A$15,CI$13)="",10^12,OFFSET(PLE!$G$15,$M65-$A$15,CI$13)))</f>
        <v>1000000000000</v>
      </c>
      <c r="CJ65" s="172">
        <f ca="1">IF(OR($D65&lt;&gt;"Serviço",AND(AUTOEVENTO="Manual",$M65=$A$15),$M65&gt;(ROW(PLE.lastrow)-ROW(PLE.firstrow))),0,
           IF(OFFSET(PLE!$G$15,$M65-$A$15,CJ$13)="",10^12,OFFSET(PLE!$G$15,$M65-$A$15,CJ$13)))</f>
        <v>1000000000000</v>
      </c>
      <c r="CK65" s="172">
        <f ca="1">IF(OR($D65&lt;&gt;"Serviço",AND(AUTOEVENTO="Manual",$M65=$A$15),$M65&gt;(ROW(PLE.lastrow)-ROW(PLE.firstrow))),0,
           IF(OFFSET(PLE!$G$15,$M65-$A$15,CK$13)="",10^12,OFFSET(PLE!$G$15,$M65-$A$15,CK$13)))</f>
        <v>1000000000000</v>
      </c>
      <c r="CL65" s="172">
        <f ca="1">IF(OR($D65&lt;&gt;"Serviço",AND(AUTOEVENTO="Manual",$M65=$A$15),$M65&gt;(ROW(PLE.lastrow)-ROW(PLE.firstrow))),0,
           IF(OFFSET(PLE!$G$15,$M65-$A$15,CL$13)="",10^12,OFFSET(PLE!$G$15,$M65-$A$15,CL$13)))</f>
        <v>1000000000000</v>
      </c>
      <c r="CM65" s="172">
        <f ca="1">IF(OR($D65&lt;&gt;"Serviço",AND(AUTOEVENTO="Manual",$M65=$A$15),$M65&gt;(ROW(PLE.lastrow)-ROW(PLE.firstrow))),0,
           IF(OFFSET(PLE!$G$15,$M65-$A$15,CM$13)="",10^12,OFFSET(PLE!$G$15,$M65-$A$15,CM$13)))</f>
        <v>1000000000000</v>
      </c>
    </row>
    <row r="66" spans="1:91" ht="13.2" x14ac:dyDescent="0.25">
      <c r="A66" s="7" t="str">
        <f t="shared" ca="1" si="11"/>
        <v>51.</v>
      </c>
      <c r="B66" s="7">
        <f ca="1">OFFSET(ORÇAMENTO!C$15,ROW(B66)-ROW(B$15),0)</f>
        <v>2</v>
      </c>
      <c r="C66" s="7" t="str">
        <f ca="1">OFFSET(ORÇAMENTO!L$15,ROW(C66)-ROW(C$15),0)</f>
        <v>F</v>
      </c>
      <c r="D66" s="116" t="str">
        <f ca="1">OFFSET(ORÇAMENTO!N$15,ROW(D66)-ROW(D$15),0)</f>
        <v>Nível 2</v>
      </c>
      <c r="E66" s="117" t="str">
        <f ca="1">OFFSET(ORÇAMENTO!O$15,ROW(E66)-ROW(E$15),0)</f>
        <v>2.3.</v>
      </c>
      <c r="F66" s="163" t="str">
        <f ca="1">OFFSET(ORÇAMENTO!R$15,ROW(F66)-ROW(F$15),0)</f>
        <v>CAMADA DE REPERFILAMENTO</v>
      </c>
      <c r="G66" s="164" t="str">
        <f ca="1">IF($D66&lt;&gt;"Serviço","",OFFSET(ORÇAMENTO!S$15,ROW(G66)-ROW(G$15),0))</f>
        <v/>
      </c>
      <c r="H66" s="122" cm="1">
        <f t="array" aca="1" ref="H66" ca="1">IF($D66&lt;&gt;"Serviço",0,IF(ACOMPANHAMENTO="BM",ROUND(OFFSET(ORÇAMENTO!AJ$15,ROW(H66)-ROW(H$15),0),15-13*ORÇAMENTO!$AF$7),SUMPRODUCT(($Q$1:$AI$1=1)*ROUND($Q66:$AI66,15-13*ORÇAMENTO!$AF$7))))</f>
        <v>0</v>
      </c>
      <c r="I66" s="468"/>
      <c r="J66" s="651" t="str" cm="1">
        <f t="array" aca="1" ref="J66" ca="1">IF(OR(B66&lt;&gt;"S",CÁLCULO.FrentesPreenchidas=0),"",IF(AND(ACOMPANHAMENTO="PLE",AUTOEVENTO="Manual",OR(H66&gt;0,ORÇAMENTO!AC66="QUANT."),OR(K66="",M66=0,N66="")),"►E",IF(AND(ACOMPANHAMENTO="PLE",ORÇAMENTO!AC66="QUANT."),"►Q",IF(AND(ACOMPANHAMENTO="PLE",H66&lt;&gt;SUMPRODUCT(($Q$1:$AI$1=1)*ROUND(Q66:AI66,15))),"►S",IF(AND(COUNTIF($P$11:$AI$11,"▼")=0,H66&gt;0,I66=""),"◄M","")))))</f>
        <v/>
      </c>
      <c r="K66" s="652"/>
      <c r="L66" s="165" t="s">
        <v>764</v>
      </c>
      <c r="M66" s="166" t="str">
        <f ca="1">IF($D66&lt;&gt;"Serviço","",
          IF(AUTOEVENTO="manual",$A66,
                IF(ISERROR(MATCH($A66,$A$15:OFFSET($A66,-1,0),0)),MAX($M$15:OFFSET(M66,-1,0))+1,
                      INDEX($M$15:OFFSET(M66,-1,0),MATCH($A66,$A$15:OFFSET($A66,-1,0),0)))))</f>
        <v/>
      </c>
      <c r="N66" s="167" t="str">
        <f ca="1">IF($D66&lt;&gt;"Serviço","",
         IF(AUTOEVENTO="Manual",
                IF($A66=0,"&lt;-- defina o número do agrupador",
                       OFFSET(EVENTOS!$D$15,$A66-$A$15,0)),
                OFFSET($F$15,$A66,0)))</f>
        <v/>
      </c>
      <c r="O66" s="168"/>
      <c r="Q66" s="168"/>
      <c r="R66" s="169"/>
      <c r="S66" s="169"/>
      <c r="T66" s="169"/>
      <c r="U66" s="169"/>
      <c r="V66" s="169"/>
      <c r="W66" s="169"/>
      <c r="X66" s="169"/>
      <c r="Y66" s="169"/>
      <c r="Z66" s="170"/>
      <c r="AA66" s="169"/>
      <c r="AB66" s="169"/>
      <c r="AC66" s="169"/>
      <c r="AD66" s="169"/>
      <c r="AE66" s="169"/>
      <c r="AF66" s="169"/>
      <c r="AG66" s="169"/>
      <c r="AH66" s="170"/>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L66" s="453">
        <f ca="1">IF(AND($D66="Serviço",AL$12&lt;&gt;0,$H66&gt;0,OR(AUTOEVENTO&lt;&gt;"manual",$M66&lt;&gt;$A$15)),
        IF(Import.TipoArredondamento&lt;&gt;"TransfereGOV",
              ROUND(OFFSET($P66,0,AL$13),15-13*ORÇAMENTO!$AF$7)/$H66*OFFSET(ORÇAMENTO!$X$15,ROW(AL66)-ROW(AL$15),0),
              ROUND(ROUND(OFFSET($P66,0,AL$13),15-13*ORÇAMENTO!$AF$7)*OFFSET(ORÇAMENTO!$W$15,ROW(AL66)-ROW(AL$15),0),15-13*ORÇAMENTO!$AF$11)),
         0)</f>
        <v>0</v>
      </c>
      <c r="AM66" s="453">
        <f ca="1">IF(AND($D66="Serviço",AM$12&lt;&gt;0,$H66&gt;0,OR(AUTOEVENTO&lt;&gt;"manual",$M66&lt;&gt;$A$15)),
        IF(Import.TipoArredondamento&lt;&gt;"TransfereGOV",
              ROUND(OFFSET($P66,0,AM$13),15-13*ORÇAMENTO!$AF$7)/$H66*OFFSET(ORÇAMENTO!$X$15,ROW(AM66)-ROW(AM$15),0),
              ROUND(ROUND(OFFSET($P66,0,AM$13),15-13*ORÇAMENTO!$AF$7)*OFFSET(ORÇAMENTO!$W$15,ROW(AM66)-ROW(AM$15),0),15-13*ORÇAMENTO!$AF$11)),
         0)</f>
        <v>0</v>
      </c>
      <c r="AN66" s="453">
        <f ca="1">IF(AND($D66="Serviço",AN$12&lt;&gt;0,$H66&gt;0,OR(AUTOEVENTO&lt;&gt;"manual",$M66&lt;&gt;$A$15)),
        IF(Import.TipoArredondamento&lt;&gt;"TransfereGOV",
              ROUND(OFFSET($P66,0,AN$13),15-13*ORÇAMENTO!$AF$7)/$H66*OFFSET(ORÇAMENTO!$X$15,ROW(AN66)-ROW(AN$15),0),
              ROUND(ROUND(OFFSET($P66,0,AN$13),15-13*ORÇAMENTO!$AF$7)*OFFSET(ORÇAMENTO!$W$15,ROW(AN66)-ROW(AN$15),0),15-13*ORÇAMENTO!$AF$11)),
         0)</f>
        <v>0</v>
      </c>
      <c r="AO66" s="453">
        <f ca="1">IF(AND($D66="Serviço",AO$12&lt;&gt;0,$H66&gt;0,OR(AUTOEVENTO&lt;&gt;"manual",$M66&lt;&gt;$A$15)),
        IF(Import.TipoArredondamento&lt;&gt;"TransfereGOV",
              ROUND(OFFSET($P66,0,AO$13),15-13*ORÇAMENTO!$AF$7)/$H66*OFFSET(ORÇAMENTO!$X$15,ROW(AO66)-ROW(AO$15),0),
              ROUND(ROUND(OFFSET($P66,0,AO$13),15-13*ORÇAMENTO!$AF$7)*OFFSET(ORÇAMENTO!$W$15,ROW(AO66)-ROW(AO$15),0),15-13*ORÇAMENTO!$AF$11)),
         0)</f>
        <v>0</v>
      </c>
      <c r="AP66" s="453">
        <f ca="1">IF(AND($D66="Serviço",AP$12&lt;&gt;0,$H66&gt;0,OR(AUTOEVENTO&lt;&gt;"manual",$M66&lt;&gt;$A$15)),
        IF(Import.TipoArredondamento&lt;&gt;"TransfereGOV",
              ROUND(OFFSET($P66,0,AP$13),15-13*ORÇAMENTO!$AF$7)/$H66*OFFSET(ORÇAMENTO!$X$15,ROW(AP66)-ROW(AP$15),0),
              ROUND(ROUND(OFFSET($P66,0,AP$13),15-13*ORÇAMENTO!$AF$7)*OFFSET(ORÇAMENTO!$W$15,ROW(AP66)-ROW(AP$15),0),15-13*ORÇAMENTO!$AF$11)),
         0)</f>
        <v>0</v>
      </c>
      <c r="AQ66" s="453">
        <f ca="1">IF(AND($D66="Serviço",AQ$12&lt;&gt;0,$H66&gt;0,OR(AUTOEVENTO&lt;&gt;"manual",$M66&lt;&gt;$A$15)),
        IF(Import.TipoArredondamento&lt;&gt;"TransfereGOV",
              ROUND(OFFSET($P66,0,AQ$13),15-13*ORÇAMENTO!$AF$7)/$H66*OFFSET(ORÇAMENTO!$X$15,ROW(AQ66)-ROW(AQ$15),0),
              ROUND(ROUND(OFFSET($P66,0,AQ$13),15-13*ORÇAMENTO!$AF$7)*OFFSET(ORÇAMENTO!$W$15,ROW(AQ66)-ROW(AQ$15),0),15-13*ORÇAMENTO!$AF$11)),
         0)</f>
        <v>0</v>
      </c>
      <c r="AR66" s="453">
        <f ca="1">IF(AND($D66="Serviço",AR$12&lt;&gt;0,$H66&gt;0,OR(AUTOEVENTO&lt;&gt;"manual",$M66&lt;&gt;$A$15)),
        IF(Import.TipoArredondamento&lt;&gt;"TransfereGOV",
              ROUND(OFFSET($P66,0,AR$13),15-13*ORÇAMENTO!$AF$7)/$H66*OFFSET(ORÇAMENTO!$X$15,ROW(AR66)-ROW(AR$15),0),
              ROUND(ROUND(OFFSET($P66,0,AR$13),15-13*ORÇAMENTO!$AF$7)*OFFSET(ORÇAMENTO!$W$15,ROW(AR66)-ROW(AR$15),0),15-13*ORÇAMENTO!$AF$11)),
         0)</f>
        <v>0</v>
      </c>
      <c r="AS66" s="453">
        <f ca="1">IF(AND($D66="Serviço",AS$12&lt;&gt;0,$H66&gt;0,OR(AUTOEVENTO&lt;&gt;"manual",$M66&lt;&gt;$A$15)),
        IF(Import.TipoArredondamento&lt;&gt;"TransfereGOV",
              ROUND(OFFSET($P66,0,AS$13),15-13*ORÇAMENTO!$AF$7)/$H66*OFFSET(ORÇAMENTO!$X$15,ROW(AS66)-ROW(AS$15),0),
              ROUND(ROUND(OFFSET($P66,0,AS$13),15-13*ORÇAMENTO!$AF$7)*OFFSET(ORÇAMENTO!$W$15,ROW(AS66)-ROW(AS$15),0),15-13*ORÇAMENTO!$AF$11)),
         0)</f>
        <v>0</v>
      </c>
      <c r="AT66" s="453">
        <f ca="1">IF(AND($D66="Serviço",AT$12&lt;&gt;0,$H66&gt;0,OR(AUTOEVENTO&lt;&gt;"manual",$M66&lt;&gt;$A$15)),
        IF(Import.TipoArredondamento&lt;&gt;"TransfereGOV",
              ROUND(OFFSET($P66,0,AT$13),15-13*ORÇAMENTO!$AF$7)/$H66*OFFSET(ORÇAMENTO!$X$15,ROW(AT66)-ROW(AT$15),0),
              ROUND(ROUND(OFFSET($P66,0,AT$13),15-13*ORÇAMENTO!$AF$7)*OFFSET(ORÇAMENTO!$W$15,ROW(AT66)-ROW(AT$15),0),15-13*ORÇAMENTO!$AF$11)),
         0)</f>
        <v>0</v>
      </c>
      <c r="AU66" s="453">
        <f ca="1">IF(AND($D66="Serviço",AU$12&lt;&gt;0,$H66&gt;0,OR(AUTOEVENTO&lt;&gt;"manual",$M66&lt;&gt;$A$15)),
        IF(Import.TipoArredondamento&lt;&gt;"TransfereGOV",
              ROUND(OFFSET($P66,0,AU$13),15-13*ORÇAMENTO!$AF$7)/$H66*OFFSET(ORÇAMENTO!$X$15,ROW(AU66)-ROW(AU$15),0),
              ROUND(ROUND(OFFSET($P66,0,AU$13),15-13*ORÇAMENTO!$AF$7)*OFFSET(ORÇAMENTO!$W$15,ROW(AU66)-ROW(AU$15),0),15-13*ORÇAMENTO!$AF$11)),
         0)</f>
        <v>0</v>
      </c>
      <c r="AV66" s="453">
        <f ca="1">IF(AND($D66="Serviço",AV$12&lt;&gt;0,$H66&gt;0,OR(AUTOEVENTO&lt;&gt;"manual",$M66&lt;&gt;$A$15)),
        IF(Import.TipoArredondamento&lt;&gt;"TransfereGOV",
              ROUND(OFFSET($P66,0,AV$13),15-13*ORÇAMENTO!$AF$7)/$H66*OFFSET(ORÇAMENTO!$X$15,ROW(AV66)-ROW(AV$15),0),
              ROUND(ROUND(OFFSET($P66,0,AV$13),15-13*ORÇAMENTO!$AF$7)*OFFSET(ORÇAMENTO!$W$15,ROW(AV66)-ROW(AV$15),0),15-13*ORÇAMENTO!$AF$11)),
         0)</f>
        <v>0</v>
      </c>
      <c r="AW66" s="453">
        <f ca="1">IF(AND($D66="Serviço",AW$12&lt;&gt;0,$H66&gt;0,OR(AUTOEVENTO&lt;&gt;"manual",$M66&lt;&gt;$A$15)),
        IF(Import.TipoArredondamento&lt;&gt;"TransfereGOV",
              ROUND(OFFSET($P66,0,AW$13),15-13*ORÇAMENTO!$AF$7)/$H66*OFFSET(ORÇAMENTO!$X$15,ROW(AW66)-ROW(AW$15),0),
              ROUND(ROUND(OFFSET($P66,0,AW$13),15-13*ORÇAMENTO!$AF$7)*OFFSET(ORÇAMENTO!$W$15,ROW(AW66)-ROW(AW$15),0),15-13*ORÇAMENTO!$AF$11)),
         0)</f>
        <v>0</v>
      </c>
      <c r="AX66" s="453">
        <f ca="1">IF(AND($D66="Serviço",AX$12&lt;&gt;0,$H66&gt;0,OR(AUTOEVENTO&lt;&gt;"manual",$M66&lt;&gt;$A$15)),
        IF(Import.TipoArredondamento&lt;&gt;"TransfereGOV",
              ROUND(OFFSET($P66,0,AX$13),15-13*ORÇAMENTO!$AF$7)/$H66*OFFSET(ORÇAMENTO!$X$15,ROW(AX66)-ROW(AX$15),0),
              ROUND(ROUND(OFFSET($P66,0,AX$13),15-13*ORÇAMENTO!$AF$7)*OFFSET(ORÇAMENTO!$W$15,ROW(AX66)-ROW(AX$15),0),15-13*ORÇAMENTO!$AF$11)),
         0)</f>
        <v>0</v>
      </c>
      <c r="AY66" s="453">
        <f ca="1">IF(AND($D66="Serviço",AY$12&lt;&gt;0,$H66&gt;0,OR(AUTOEVENTO&lt;&gt;"manual",$M66&lt;&gt;$A$15)),
        IF(Import.TipoArredondamento&lt;&gt;"TransfereGOV",
              ROUND(OFFSET($P66,0,AY$13),15-13*ORÇAMENTO!$AF$7)/$H66*OFFSET(ORÇAMENTO!$X$15,ROW(AY66)-ROW(AY$15),0),
              ROUND(ROUND(OFFSET($P66,0,AY$13),15-13*ORÇAMENTO!$AF$7)*OFFSET(ORÇAMENTO!$W$15,ROW(AY66)-ROW(AY$15),0),15-13*ORÇAMENTO!$AF$11)),
         0)</f>
        <v>0</v>
      </c>
      <c r="AZ66" s="453">
        <f ca="1">IF(AND($D66="Serviço",AZ$12&lt;&gt;0,$H66&gt;0,OR(AUTOEVENTO&lt;&gt;"manual",$M66&lt;&gt;$A$15)),
        IF(Import.TipoArredondamento&lt;&gt;"TransfereGOV",
              ROUND(OFFSET($P66,0,AZ$13),15-13*ORÇAMENTO!$AF$7)/$H66*OFFSET(ORÇAMENTO!$X$15,ROW(AZ66)-ROW(AZ$15),0),
              ROUND(ROUND(OFFSET($P66,0,AZ$13),15-13*ORÇAMENTO!$AF$7)*OFFSET(ORÇAMENTO!$W$15,ROW(AZ66)-ROW(AZ$15),0),15-13*ORÇAMENTO!$AF$11)),
         0)</f>
        <v>0</v>
      </c>
      <c r="BA66" s="453">
        <f ca="1">IF(AND($D66="Serviço",BA$12&lt;&gt;0,$H66&gt;0,OR(AUTOEVENTO&lt;&gt;"manual",$M66&lt;&gt;$A$15)),
        IF(Import.TipoArredondamento&lt;&gt;"TransfereGOV",
              ROUND(OFFSET($P66,0,BA$13),15-13*ORÇAMENTO!$AF$7)/$H66*OFFSET(ORÇAMENTO!$X$15,ROW(BA66)-ROW(BA$15),0),
              ROUND(ROUND(OFFSET($P66,0,BA$13),15-13*ORÇAMENTO!$AF$7)*OFFSET(ORÇAMENTO!$W$15,ROW(BA66)-ROW(BA$15),0),15-13*ORÇAMENTO!$AF$11)),
         0)</f>
        <v>0</v>
      </c>
      <c r="BC66" s="171">
        <f ca="1">IF(OR($D66&lt;&gt;"Serviço",AND(AUTOEVENTO="Manual",$M66=$A$15)),0,
         IF(OFFSET(CRONOPLE!$F$15,$M66-$A$15,BC$13)=0,10^12,OFFSET(CRONOPLE!$F$15,$M66-$A$15,BC$13)))</f>
        <v>0</v>
      </c>
      <c r="BD66" s="171">
        <f ca="1">IF(OR($D66&lt;&gt;"Serviço",AND(AUTOEVENTO="Manual",$M66=$A$15)),0,
         IF(OFFSET(CRONOPLE!$F$15,$M66-$A$15,BD$13)=0,10^12,OFFSET(CRONOPLE!$F$15,$M66-$A$15,BD$13)))</f>
        <v>0</v>
      </c>
      <c r="BE66" s="171">
        <f ca="1">IF(OR($D66&lt;&gt;"Serviço",AND(AUTOEVENTO="Manual",$M66=$A$15)),0,
         IF(OFFSET(CRONOPLE!$F$15,$M66-$A$15,BE$13)=0,10^12,OFFSET(CRONOPLE!$F$15,$M66-$A$15,BE$13)))</f>
        <v>0</v>
      </c>
      <c r="BF66" s="171">
        <f ca="1">IF(OR($D66&lt;&gt;"Serviço",AND(AUTOEVENTO="Manual",$M66=$A$15)),0,
         IF(OFFSET(CRONOPLE!$F$15,$M66-$A$15,BF$13)=0,10^12,OFFSET(CRONOPLE!$F$15,$M66-$A$15,BF$13)))</f>
        <v>0</v>
      </c>
      <c r="BG66" s="171">
        <f ca="1">IF(OR($D66&lt;&gt;"Serviço",AND(AUTOEVENTO="Manual",$M66=$A$15)),0,
         IF(OFFSET(CRONOPLE!$F$15,$M66-$A$15,BG$13)=0,10^12,OFFSET(CRONOPLE!$F$15,$M66-$A$15,BG$13)))</f>
        <v>0</v>
      </c>
      <c r="BH66" s="171">
        <f ca="1">IF(OR($D66&lt;&gt;"Serviço",AND(AUTOEVENTO="Manual",$M66=$A$15)),0,
         IF(OFFSET(CRONOPLE!$F$15,$M66-$A$15,BH$13)=0,10^12,OFFSET(CRONOPLE!$F$15,$M66-$A$15,BH$13)))</f>
        <v>0</v>
      </c>
      <c r="BI66" s="171">
        <f ca="1">IF(OR($D66&lt;&gt;"Serviço",AND(AUTOEVENTO="Manual",$M66=$A$15)),0,
         IF(OFFSET(CRONOPLE!$F$15,$M66-$A$15,BI$13)=0,10^12,OFFSET(CRONOPLE!$F$15,$M66-$A$15,BI$13)))</f>
        <v>0</v>
      </c>
      <c r="BJ66" s="171">
        <f ca="1">IF(OR($D66&lt;&gt;"Serviço",AND(AUTOEVENTO="Manual",$M66=$A$15)),0,
         IF(OFFSET(CRONOPLE!$F$15,$M66-$A$15,BJ$13)=0,10^12,OFFSET(CRONOPLE!$F$15,$M66-$A$15,BJ$13)))</f>
        <v>0</v>
      </c>
      <c r="BK66" s="171">
        <f ca="1">IF(OR($D66&lt;&gt;"Serviço",AND(AUTOEVENTO="Manual",$M66=$A$15)),0,
         IF(OFFSET(CRONOPLE!$F$15,$M66-$A$15,BK$13)=0,10^12,OFFSET(CRONOPLE!$F$15,$M66-$A$15,BK$13)))</f>
        <v>0</v>
      </c>
      <c r="BL66" s="171">
        <f ca="1">IF(OR($D66&lt;&gt;"Serviço",AND(AUTOEVENTO="Manual",$M66=$A$15)),0,
         IF(OFFSET(CRONOPLE!$F$15,$M66-$A$15,BL$13)=0,10^12,OFFSET(CRONOPLE!$F$15,$M66-$A$15,BL$13)))</f>
        <v>0</v>
      </c>
      <c r="BM66" s="171">
        <f ca="1">IF(OR($D66&lt;&gt;"Serviço",AND(AUTOEVENTO="Manual",$M66=$A$15)),0,
         IF(OFFSET(CRONOPLE!$F$15,$M66-$A$15,BM$13)=0,10^12,OFFSET(CRONOPLE!$F$15,$M66-$A$15,BM$13)))</f>
        <v>0</v>
      </c>
      <c r="BN66" s="171">
        <f ca="1">IF(OR($D66&lt;&gt;"Serviço",AND(AUTOEVENTO="Manual",$M66=$A$15)),0,
         IF(OFFSET(CRONOPLE!$F$15,$M66-$A$15,BN$13)=0,10^12,OFFSET(CRONOPLE!$F$15,$M66-$A$15,BN$13)))</f>
        <v>0</v>
      </c>
      <c r="BO66" s="171">
        <f ca="1">IF(OR($D66&lt;&gt;"Serviço",AND(AUTOEVENTO="Manual",$M66=$A$15)),0,
         IF(OFFSET(CRONOPLE!$F$15,$M66-$A$15,BO$13)=0,10^12,OFFSET(CRONOPLE!$F$15,$M66-$A$15,BO$13)))</f>
        <v>0</v>
      </c>
      <c r="BP66" s="171">
        <f ca="1">IF(OR($D66&lt;&gt;"Serviço",AND(AUTOEVENTO="Manual",$M66=$A$15)),0,
         IF(OFFSET(CRONOPLE!$F$15,$M66-$A$15,BP$13)=0,10^12,OFFSET(CRONOPLE!$F$15,$M66-$A$15,BP$13)))</f>
        <v>0</v>
      </c>
      <c r="BQ66" s="171">
        <f ca="1">IF(OR($D66&lt;&gt;"Serviço",AND(AUTOEVENTO="Manual",$M66=$A$15)),0,
         IF(OFFSET(CRONOPLE!$F$15,$M66-$A$15,BQ$13)=0,10^12,OFFSET(CRONOPLE!$F$15,$M66-$A$15,BQ$13)))</f>
        <v>0</v>
      </c>
      <c r="BR66" s="171">
        <f ca="1">IF(OR($D66&lt;&gt;"Serviço",AND(AUTOEVENTO="Manual",$M66=$A$15)),0,
         IF(OFFSET(CRONOPLE!$F$15,$M66-$A$15,BR$13)=0,10^12,OFFSET(CRONOPLE!$F$15,$M66-$A$15,BR$13)))</f>
        <v>0</v>
      </c>
      <c r="BS66" s="171">
        <f ca="1">IF(OR($D66&lt;&gt;"Serviço",AND(AUTOEVENTO="Manual",$M66=$A$15)),0,
         IF(OFFSET(CRONOPLE!$F$15,$M66-$A$15,BS$13)=0,10^12,OFFSET(CRONOPLE!$F$15,$M66-$A$15,BS$13)))</f>
        <v>0</v>
      </c>
      <c r="BT66" s="171">
        <f ca="1">IF(OR($D66&lt;&gt;"Serviço",AND(AUTOEVENTO="Manual",$M66=$A$15)),0,
         IF(OFFSET(CRONOPLE!$F$15,$M66-$A$15,BT$13)=0,10^12,OFFSET(CRONOPLE!$F$15,$M66-$A$15,BT$13)))</f>
        <v>0</v>
      </c>
      <c r="BV66" s="172">
        <f ca="1">IF(OR($D66&lt;&gt;"Serviço",AND(AUTOEVENTO="Manual",$M66=$A$15),$M66&gt;(ROW(PLE.lastrow)-ROW(PLE.firstrow))),0,
           IF(OFFSET(PLE!$G$15,$M66-$A$15,BV$13)="",10^12,OFFSET(PLE!$G$15,$M66-$A$15,BV$13)))</f>
        <v>0</v>
      </c>
      <c r="BW66" s="172">
        <f ca="1">IF(OR($D66&lt;&gt;"Serviço",AND(AUTOEVENTO="Manual",$M66=$A$15),$M66&gt;(ROW(PLE.lastrow)-ROW(PLE.firstrow))),0,
           IF(OFFSET(PLE!$G$15,$M66-$A$15,BW$13)="",10^12,OFFSET(PLE!$G$15,$M66-$A$15,BW$13)))</f>
        <v>0</v>
      </c>
      <c r="BX66" s="172">
        <f ca="1">IF(OR($D66&lt;&gt;"Serviço",AND(AUTOEVENTO="Manual",$M66=$A$15),$M66&gt;(ROW(PLE.lastrow)-ROW(PLE.firstrow))),0,
           IF(OFFSET(PLE!$G$15,$M66-$A$15,BX$13)="",10^12,OFFSET(PLE!$G$15,$M66-$A$15,BX$13)))</f>
        <v>0</v>
      </c>
      <c r="BY66" s="172">
        <f ca="1">IF(OR($D66&lt;&gt;"Serviço",AND(AUTOEVENTO="Manual",$M66=$A$15),$M66&gt;(ROW(PLE.lastrow)-ROW(PLE.firstrow))),0,
           IF(OFFSET(PLE!$G$15,$M66-$A$15,BY$13)="",10^12,OFFSET(PLE!$G$15,$M66-$A$15,BY$13)))</f>
        <v>0</v>
      </c>
      <c r="BZ66" s="172">
        <f ca="1">IF(OR($D66&lt;&gt;"Serviço",AND(AUTOEVENTO="Manual",$M66=$A$15),$M66&gt;(ROW(PLE.lastrow)-ROW(PLE.firstrow))),0,
           IF(OFFSET(PLE!$G$15,$M66-$A$15,BZ$13)="",10^12,OFFSET(PLE!$G$15,$M66-$A$15,BZ$13)))</f>
        <v>0</v>
      </c>
      <c r="CA66" s="172">
        <f ca="1">IF(OR($D66&lt;&gt;"Serviço",AND(AUTOEVENTO="Manual",$M66=$A$15),$M66&gt;(ROW(PLE.lastrow)-ROW(PLE.firstrow))),0,
           IF(OFFSET(PLE!$G$15,$M66-$A$15,CA$13)="",10^12,OFFSET(PLE!$G$15,$M66-$A$15,CA$13)))</f>
        <v>0</v>
      </c>
      <c r="CB66" s="172">
        <f ca="1">IF(OR($D66&lt;&gt;"Serviço",AND(AUTOEVENTO="Manual",$M66=$A$15),$M66&gt;(ROW(PLE.lastrow)-ROW(PLE.firstrow))),0,
           IF(OFFSET(PLE!$G$15,$M66-$A$15,CB$13)="",10^12,OFFSET(PLE!$G$15,$M66-$A$15,CB$13)))</f>
        <v>0</v>
      </c>
      <c r="CC66" s="172">
        <f ca="1">IF(OR($D66&lt;&gt;"Serviço",AND(AUTOEVENTO="Manual",$M66=$A$15),$M66&gt;(ROW(PLE.lastrow)-ROW(PLE.firstrow))),0,
           IF(OFFSET(PLE!$G$15,$M66-$A$15,CC$13)="",10^12,OFFSET(PLE!$G$15,$M66-$A$15,CC$13)))</f>
        <v>0</v>
      </c>
      <c r="CD66" s="172">
        <f ca="1">IF(OR($D66&lt;&gt;"Serviço",AND(AUTOEVENTO="Manual",$M66=$A$15),$M66&gt;(ROW(PLE.lastrow)-ROW(PLE.firstrow))),0,
           IF(OFFSET(PLE!$G$15,$M66-$A$15,CD$13)="",10^12,OFFSET(PLE!$G$15,$M66-$A$15,CD$13)))</f>
        <v>0</v>
      </c>
      <c r="CE66" s="172">
        <f ca="1">IF(OR($D66&lt;&gt;"Serviço",AND(AUTOEVENTO="Manual",$M66=$A$15),$M66&gt;(ROW(PLE.lastrow)-ROW(PLE.firstrow))),0,
           IF(OFFSET(PLE!$G$15,$M66-$A$15,CE$13)="",10^12,OFFSET(PLE!$G$15,$M66-$A$15,CE$13)))</f>
        <v>0</v>
      </c>
      <c r="CF66" s="172">
        <f ca="1">IF(OR($D66&lt;&gt;"Serviço",AND(AUTOEVENTO="Manual",$M66=$A$15),$M66&gt;(ROW(PLE.lastrow)-ROW(PLE.firstrow))),0,
           IF(OFFSET(PLE!$G$15,$M66-$A$15,CF$13)="",10^12,OFFSET(PLE!$G$15,$M66-$A$15,CF$13)))</f>
        <v>0</v>
      </c>
      <c r="CG66" s="172">
        <f ca="1">IF(OR($D66&lt;&gt;"Serviço",AND(AUTOEVENTO="Manual",$M66=$A$15),$M66&gt;(ROW(PLE.lastrow)-ROW(PLE.firstrow))),0,
           IF(OFFSET(PLE!$G$15,$M66-$A$15,CG$13)="",10^12,OFFSET(PLE!$G$15,$M66-$A$15,CG$13)))</f>
        <v>0</v>
      </c>
      <c r="CH66" s="172">
        <f ca="1">IF(OR($D66&lt;&gt;"Serviço",AND(AUTOEVENTO="Manual",$M66=$A$15),$M66&gt;(ROW(PLE.lastrow)-ROW(PLE.firstrow))),0,
           IF(OFFSET(PLE!$G$15,$M66-$A$15,CH$13)="",10^12,OFFSET(PLE!$G$15,$M66-$A$15,CH$13)))</f>
        <v>0</v>
      </c>
      <c r="CI66" s="172">
        <f ca="1">IF(OR($D66&lt;&gt;"Serviço",AND(AUTOEVENTO="Manual",$M66=$A$15),$M66&gt;(ROW(PLE.lastrow)-ROW(PLE.firstrow))),0,
           IF(OFFSET(PLE!$G$15,$M66-$A$15,CI$13)="",10^12,OFFSET(PLE!$G$15,$M66-$A$15,CI$13)))</f>
        <v>0</v>
      </c>
      <c r="CJ66" s="172">
        <f ca="1">IF(OR($D66&lt;&gt;"Serviço",AND(AUTOEVENTO="Manual",$M66=$A$15),$M66&gt;(ROW(PLE.lastrow)-ROW(PLE.firstrow))),0,
           IF(OFFSET(PLE!$G$15,$M66-$A$15,CJ$13)="",10^12,OFFSET(PLE!$G$15,$M66-$A$15,CJ$13)))</f>
        <v>0</v>
      </c>
      <c r="CK66" s="172">
        <f ca="1">IF(OR($D66&lt;&gt;"Serviço",AND(AUTOEVENTO="Manual",$M66=$A$15),$M66&gt;(ROW(PLE.lastrow)-ROW(PLE.firstrow))),0,
           IF(OFFSET(PLE!$G$15,$M66-$A$15,CK$13)="",10^12,OFFSET(PLE!$G$15,$M66-$A$15,CK$13)))</f>
        <v>0</v>
      </c>
      <c r="CL66" s="172">
        <f ca="1">IF(OR($D66&lt;&gt;"Serviço",AND(AUTOEVENTO="Manual",$M66=$A$15),$M66&gt;(ROW(PLE.lastrow)-ROW(PLE.firstrow))),0,
           IF(OFFSET(PLE!$G$15,$M66-$A$15,CL$13)="",10^12,OFFSET(PLE!$G$15,$M66-$A$15,CL$13)))</f>
        <v>0</v>
      </c>
      <c r="CM66" s="172">
        <f ca="1">IF(OR($D66&lt;&gt;"Serviço",AND(AUTOEVENTO="Manual",$M66=$A$15),$M66&gt;(ROW(PLE.lastrow)-ROW(PLE.firstrow))),0,
           IF(OFFSET(PLE!$G$15,$M66-$A$15,CM$13)="",10^12,OFFSET(PLE!$G$15,$M66-$A$15,CM$13)))</f>
        <v>0</v>
      </c>
    </row>
    <row r="67" spans="1:91" ht="13.2" x14ac:dyDescent="0.25">
      <c r="A67" s="7" t="str">
        <f t="shared" ca="1" si="11"/>
        <v>51</v>
      </c>
      <c r="B67" s="7" t="str">
        <f ca="1">OFFSET(ORÇAMENTO!C$15,ROW(B67)-ROW(B$15),0)</f>
        <v>S</v>
      </c>
      <c r="C67" s="7" t="str">
        <f ca="1">OFFSET(ORÇAMENTO!L$15,ROW(C67)-ROW(C$15),0)</f>
        <v>F</v>
      </c>
      <c r="D67" s="116" t="str">
        <f ca="1">OFFSET(ORÇAMENTO!N$15,ROW(D67)-ROW(D$15),0)</f>
        <v>Serviço</v>
      </c>
      <c r="E67" s="117" t="str">
        <f ca="1">OFFSET(ORÇAMENTO!O$15,ROW(E67)-ROW(E$15),0)</f>
        <v>2.3.1.</v>
      </c>
      <c r="F67" s="163" t="str">
        <f ca="1">OFFSET(ORÇAMENTO!R$15,ROW(F67)-ROW(F$15),0)</f>
        <v>Pintura de ligação</v>
      </c>
      <c r="G67" s="164" t="str">
        <f ca="1">IF($D67&lt;&gt;"Serviço","",OFFSET(ORÇAMENTO!S$15,ROW(G67)-ROW(G$15),0))</f>
        <v>m²</v>
      </c>
      <c r="H67" s="122" cm="1">
        <f t="array" aca="1" ref="H67" ca="1">IF($D67&lt;&gt;"Serviço",0,IF(ACOMPANHAMENTO="BM",ROUND(OFFSET(ORÇAMENTO!AJ$15,ROW(H67)-ROW(H$15),0),15-13*ORÇAMENTO!$AF$7),SUMPRODUCT(($Q$1:$AI$1=1)*ROUND($Q67:$AI67,15-13*ORÇAMENTO!$AF$7))))</f>
        <v>1265.08</v>
      </c>
      <c r="I67" s="468"/>
      <c r="J67" s="651" t="e" cm="1">
        <f t="array" aca="1" ref="J67" ca="1">IF(OR(B67&lt;&gt;"S",CÁLCULO.FrentesPreenchidas=0),"",IF(AND(ACOMPANHAMENTO="PLE",AUTOEVENTO="Manual",OR(H67&gt;0,ORÇAMENTO!AC67="QUANT."),OR(K67="",M67=0,N67="")),"►E",IF(AND(ACOMPANHAMENTO="PLE",ORÇAMENTO!AC67="QUANT."),"►Q",IF(AND(ACOMPANHAMENTO="PLE",H67&lt;&gt;SUMPRODUCT(($Q$1:$AI$1=1)*ROUND(Q67:AI67,15))),"►S",IF(AND(COUNTIF($P$11:$AI$11,"▼")=0,H67&gt;0,I67=""),"◄M","")))))</f>
        <v>#NAME?</v>
      </c>
      <c r="K67" s="652"/>
      <c r="L67" s="165" t="s">
        <v>764</v>
      </c>
      <c r="M67" s="166">
        <f ca="1">IF($D67&lt;&gt;"Serviço","",
          IF(AUTOEVENTO="manual",$A67,
                IF(ISERROR(MATCH($A67,$A$15:OFFSET($A67,-1,0),0)),MAX($M$15:OFFSET(M67,-1,0))+1,
                      INDEX($M$15:OFFSET(M67,-1,0),MATCH($A67,$A$15:OFFSET($A67,-1,0),0)))))</f>
        <v>10</v>
      </c>
      <c r="N67" s="167" t="str">
        <f ca="1">IF($D67&lt;&gt;"Serviço","",
         IF(AUTOEVENTO="Manual",
                IF($A67=0,"&lt;-- defina o número do agrupador",
                       OFFSET(EVENTOS!$D$15,$A67-$A$15,0)),
                OFFSET($F$15,$A67,0)))</f>
        <v>CAMADA DE REPERFILAMENTO</v>
      </c>
      <c r="O67" s="168"/>
      <c r="Q67" s="168"/>
      <c r="R67" s="169"/>
      <c r="S67" s="169"/>
      <c r="T67" s="169">
        <v>1265.08</v>
      </c>
      <c r="U67" s="169"/>
      <c r="V67" s="169"/>
      <c r="W67" s="169"/>
      <c r="X67" s="169"/>
      <c r="Y67" s="169"/>
      <c r="Z67" s="170"/>
      <c r="AA67" s="169"/>
      <c r="AB67" s="169"/>
      <c r="AC67" s="169"/>
      <c r="AD67" s="169"/>
      <c r="AE67" s="169"/>
      <c r="AF67" s="169"/>
      <c r="AG67" s="169"/>
      <c r="AH67" s="170"/>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L67" s="453">
        <f ca="1">IF(AND($D67="Serviço",AL$12&lt;&gt;0,$H67&gt;0,OR(AUTOEVENTO&lt;&gt;"manual",$M67&lt;&gt;$A$15)),
        IF(Import.TipoArredondamento&lt;&gt;"TransfereGOV",
              ROUND(OFFSET($P67,0,AL$13),15-13*ORÇAMENTO!$AF$7)/$H67*OFFSET(ORÇAMENTO!$X$15,ROW(AL67)-ROW(AL$15),0),
              ROUND(ROUND(OFFSET($P67,0,AL$13),15-13*ORÇAMENTO!$AF$7)*OFFSET(ORÇAMENTO!$W$15,ROW(AL67)-ROW(AL$15),0),15-13*ORÇAMENTO!$AF$11)),
         0)</f>
        <v>0</v>
      </c>
      <c r="AM67" s="453">
        <f ca="1">IF(AND($D67="Serviço",AM$12&lt;&gt;0,$H67&gt;0,OR(AUTOEVENTO&lt;&gt;"manual",$M67&lt;&gt;$A$15)),
        IF(Import.TipoArredondamento&lt;&gt;"TransfereGOV",
              ROUND(OFFSET($P67,0,AM$13),15-13*ORÇAMENTO!$AF$7)/$H67*OFFSET(ORÇAMENTO!$X$15,ROW(AM67)-ROW(AM$15),0),
              ROUND(ROUND(OFFSET($P67,0,AM$13),15-13*ORÇAMENTO!$AF$7)*OFFSET(ORÇAMENTO!$W$15,ROW(AM67)-ROW(AM$15),0),15-13*ORÇAMENTO!$AF$11)),
         0)</f>
        <v>721.1</v>
      </c>
      <c r="AN67" s="453">
        <f ca="1">IF(AND($D67="Serviço",AN$12&lt;&gt;0,$H67&gt;0,OR(AUTOEVENTO&lt;&gt;"manual",$M67&lt;&gt;$A$15)),
        IF(Import.TipoArredondamento&lt;&gt;"TransfereGOV",
              ROUND(OFFSET($P67,0,AN$13),15-13*ORÇAMENTO!$AF$7)/$H67*OFFSET(ORÇAMENTO!$X$15,ROW(AN67)-ROW(AN$15),0),
              ROUND(ROUND(OFFSET($P67,0,AN$13),15-13*ORÇAMENTO!$AF$7)*OFFSET(ORÇAMENTO!$W$15,ROW(AN67)-ROW(AN$15),0),15-13*ORÇAMENTO!$AF$11)),
         0)</f>
        <v>0</v>
      </c>
      <c r="AO67" s="453">
        <f ca="1">IF(AND($D67="Serviço",AO$12&lt;&gt;0,$H67&gt;0,OR(AUTOEVENTO&lt;&gt;"manual",$M67&lt;&gt;$A$15)),
        IF(Import.TipoArredondamento&lt;&gt;"TransfereGOV",
              ROUND(OFFSET($P67,0,AO$13),15-13*ORÇAMENTO!$AF$7)/$H67*OFFSET(ORÇAMENTO!$X$15,ROW(AO67)-ROW(AO$15),0),
              ROUND(ROUND(OFFSET($P67,0,AO$13),15-13*ORÇAMENTO!$AF$7)*OFFSET(ORÇAMENTO!$W$15,ROW(AO67)-ROW(AO$15),0),15-13*ORÇAMENTO!$AF$11)),
         0)</f>
        <v>0</v>
      </c>
      <c r="AP67" s="453">
        <f ca="1">IF(AND($D67="Serviço",AP$12&lt;&gt;0,$H67&gt;0,OR(AUTOEVENTO&lt;&gt;"manual",$M67&lt;&gt;$A$15)),
        IF(Import.TipoArredondamento&lt;&gt;"TransfereGOV",
              ROUND(OFFSET($P67,0,AP$13),15-13*ORÇAMENTO!$AF$7)/$H67*OFFSET(ORÇAMENTO!$X$15,ROW(AP67)-ROW(AP$15),0),
              ROUND(ROUND(OFFSET($P67,0,AP$13),15-13*ORÇAMENTO!$AF$7)*OFFSET(ORÇAMENTO!$W$15,ROW(AP67)-ROW(AP$15),0),15-13*ORÇAMENTO!$AF$11)),
         0)</f>
        <v>0</v>
      </c>
      <c r="AQ67" s="453">
        <f ca="1">IF(AND($D67="Serviço",AQ$12&lt;&gt;0,$H67&gt;0,OR(AUTOEVENTO&lt;&gt;"manual",$M67&lt;&gt;$A$15)),
        IF(Import.TipoArredondamento&lt;&gt;"TransfereGOV",
              ROUND(OFFSET($P67,0,AQ$13),15-13*ORÇAMENTO!$AF$7)/$H67*OFFSET(ORÇAMENTO!$X$15,ROW(AQ67)-ROW(AQ$15),0),
              ROUND(ROUND(OFFSET($P67,0,AQ$13),15-13*ORÇAMENTO!$AF$7)*OFFSET(ORÇAMENTO!$W$15,ROW(AQ67)-ROW(AQ$15),0),15-13*ORÇAMENTO!$AF$11)),
         0)</f>
        <v>0</v>
      </c>
      <c r="AR67" s="453">
        <f ca="1">IF(AND($D67="Serviço",AR$12&lt;&gt;0,$H67&gt;0,OR(AUTOEVENTO&lt;&gt;"manual",$M67&lt;&gt;$A$15)),
        IF(Import.TipoArredondamento&lt;&gt;"TransfereGOV",
              ROUND(OFFSET($P67,0,AR$13),15-13*ORÇAMENTO!$AF$7)/$H67*OFFSET(ORÇAMENTO!$X$15,ROW(AR67)-ROW(AR$15),0),
              ROUND(ROUND(OFFSET($P67,0,AR$13),15-13*ORÇAMENTO!$AF$7)*OFFSET(ORÇAMENTO!$W$15,ROW(AR67)-ROW(AR$15),0),15-13*ORÇAMENTO!$AF$11)),
         0)</f>
        <v>0</v>
      </c>
      <c r="AS67" s="453">
        <f ca="1">IF(AND($D67="Serviço",AS$12&lt;&gt;0,$H67&gt;0,OR(AUTOEVENTO&lt;&gt;"manual",$M67&lt;&gt;$A$15)),
        IF(Import.TipoArredondamento&lt;&gt;"TransfereGOV",
              ROUND(OFFSET($P67,0,AS$13),15-13*ORÇAMENTO!$AF$7)/$H67*OFFSET(ORÇAMENTO!$X$15,ROW(AS67)-ROW(AS$15),0),
              ROUND(ROUND(OFFSET($P67,0,AS$13),15-13*ORÇAMENTO!$AF$7)*OFFSET(ORÇAMENTO!$W$15,ROW(AS67)-ROW(AS$15),0),15-13*ORÇAMENTO!$AF$11)),
         0)</f>
        <v>0</v>
      </c>
      <c r="AT67" s="453">
        <f ca="1">IF(AND($D67="Serviço",AT$12&lt;&gt;0,$H67&gt;0,OR(AUTOEVENTO&lt;&gt;"manual",$M67&lt;&gt;$A$15)),
        IF(Import.TipoArredondamento&lt;&gt;"TransfereGOV",
              ROUND(OFFSET($P67,0,AT$13),15-13*ORÇAMENTO!$AF$7)/$H67*OFFSET(ORÇAMENTO!$X$15,ROW(AT67)-ROW(AT$15),0),
              ROUND(ROUND(OFFSET($P67,0,AT$13),15-13*ORÇAMENTO!$AF$7)*OFFSET(ORÇAMENTO!$W$15,ROW(AT67)-ROW(AT$15),0),15-13*ORÇAMENTO!$AF$11)),
         0)</f>
        <v>0</v>
      </c>
      <c r="AU67" s="453">
        <f ca="1">IF(AND($D67="Serviço",AU$12&lt;&gt;0,$H67&gt;0,OR(AUTOEVENTO&lt;&gt;"manual",$M67&lt;&gt;$A$15)),
        IF(Import.TipoArredondamento&lt;&gt;"TransfereGOV",
              ROUND(OFFSET($P67,0,AU$13),15-13*ORÇAMENTO!$AF$7)/$H67*OFFSET(ORÇAMENTO!$X$15,ROW(AU67)-ROW(AU$15),0),
              ROUND(ROUND(OFFSET($P67,0,AU$13),15-13*ORÇAMENTO!$AF$7)*OFFSET(ORÇAMENTO!$W$15,ROW(AU67)-ROW(AU$15),0),15-13*ORÇAMENTO!$AF$11)),
         0)</f>
        <v>0</v>
      </c>
      <c r="AV67" s="453">
        <f ca="1">IF(AND($D67="Serviço",AV$12&lt;&gt;0,$H67&gt;0,OR(AUTOEVENTO&lt;&gt;"manual",$M67&lt;&gt;$A$15)),
        IF(Import.TipoArredondamento&lt;&gt;"TransfereGOV",
              ROUND(OFFSET($P67,0,AV$13),15-13*ORÇAMENTO!$AF$7)/$H67*OFFSET(ORÇAMENTO!$X$15,ROW(AV67)-ROW(AV$15),0),
              ROUND(ROUND(OFFSET($P67,0,AV$13),15-13*ORÇAMENTO!$AF$7)*OFFSET(ORÇAMENTO!$W$15,ROW(AV67)-ROW(AV$15),0),15-13*ORÇAMENTO!$AF$11)),
         0)</f>
        <v>0</v>
      </c>
      <c r="AW67" s="453">
        <f ca="1">IF(AND($D67="Serviço",AW$12&lt;&gt;0,$H67&gt;0,OR(AUTOEVENTO&lt;&gt;"manual",$M67&lt;&gt;$A$15)),
        IF(Import.TipoArredondamento&lt;&gt;"TransfereGOV",
              ROUND(OFFSET($P67,0,AW$13),15-13*ORÇAMENTO!$AF$7)/$H67*OFFSET(ORÇAMENTO!$X$15,ROW(AW67)-ROW(AW$15),0),
              ROUND(ROUND(OFFSET($P67,0,AW$13),15-13*ORÇAMENTO!$AF$7)*OFFSET(ORÇAMENTO!$W$15,ROW(AW67)-ROW(AW$15),0),15-13*ORÇAMENTO!$AF$11)),
         0)</f>
        <v>0</v>
      </c>
      <c r="AX67" s="453">
        <f ca="1">IF(AND($D67="Serviço",AX$12&lt;&gt;0,$H67&gt;0,OR(AUTOEVENTO&lt;&gt;"manual",$M67&lt;&gt;$A$15)),
        IF(Import.TipoArredondamento&lt;&gt;"TransfereGOV",
              ROUND(OFFSET($P67,0,AX$13),15-13*ORÇAMENTO!$AF$7)/$H67*OFFSET(ORÇAMENTO!$X$15,ROW(AX67)-ROW(AX$15),0),
              ROUND(ROUND(OFFSET($P67,0,AX$13),15-13*ORÇAMENTO!$AF$7)*OFFSET(ORÇAMENTO!$W$15,ROW(AX67)-ROW(AX$15),0),15-13*ORÇAMENTO!$AF$11)),
         0)</f>
        <v>0</v>
      </c>
      <c r="AY67" s="453">
        <f ca="1">IF(AND($D67="Serviço",AY$12&lt;&gt;0,$H67&gt;0,OR(AUTOEVENTO&lt;&gt;"manual",$M67&lt;&gt;$A$15)),
        IF(Import.TipoArredondamento&lt;&gt;"TransfereGOV",
              ROUND(OFFSET($P67,0,AY$13),15-13*ORÇAMENTO!$AF$7)/$H67*OFFSET(ORÇAMENTO!$X$15,ROW(AY67)-ROW(AY$15),0),
              ROUND(ROUND(OFFSET($P67,0,AY$13),15-13*ORÇAMENTO!$AF$7)*OFFSET(ORÇAMENTO!$W$15,ROW(AY67)-ROW(AY$15),0),15-13*ORÇAMENTO!$AF$11)),
         0)</f>
        <v>0</v>
      </c>
      <c r="AZ67" s="453">
        <f ca="1">IF(AND($D67="Serviço",AZ$12&lt;&gt;0,$H67&gt;0,OR(AUTOEVENTO&lt;&gt;"manual",$M67&lt;&gt;$A$15)),
        IF(Import.TipoArredondamento&lt;&gt;"TransfereGOV",
              ROUND(OFFSET($P67,0,AZ$13),15-13*ORÇAMENTO!$AF$7)/$H67*OFFSET(ORÇAMENTO!$X$15,ROW(AZ67)-ROW(AZ$15),0),
              ROUND(ROUND(OFFSET($P67,0,AZ$13),15-13*ORÇAMENTO!$AF$7)*OFFSET(ORÇAMENTO!$W$15,ROW(AZ67)-ROW(AZ$15),0),15-13*ORÇAMENTO!$AF$11)),
         0)</f>
        <v>0</v>
      </c>
      <c r="BA67" s="453">
        <f ca="1">IF(AND($D67="Serviço",BA$12&lt;&gt;0,$H67&gt;0,OR(AUTOEVENTO&lt;&gt;"manual",$M67&lt;&gt;$A$15)),
        IF(Import.TipoArredondamento&lt;&gt;"TransfereGOV",
              ROUND(OFFSET($P67,0,BA$13),15-13*ORÇAMENTO!$AF$7)/$H67*OFFSET(ORÇAMENTO!$X$15,ROW(BA67)-ROW(BA$15),0),
              ROUND(ROUND(OFFSET($P67,0,BA$13),15-13*ORÇAMENTO!$AF$7)*OFFSET(ORÇAMENTO!$W$15,ROW(BA67)-ROW(BA$15),0),15-13*ORÇAMENTO!$AF$11)),
         0)</f>
        <v>0</v>
      </c>
      <c r="BC67" s="171">
        <f ca="1">IF(OR($D67&lt;&gt;"Serviço",AND(AUTOEVENTO="Manual",$M67=$A$15)),0,
         IF(OFFSET(CRONOPLE!$F$15,$M67-$A$15,BC$13)=0,10^12,OFFSET(CRONOPLE!$F$15,$M67-$A$15,BC$13)))</f>
        <v>1000000000000</v>
      </c>
      <c r="BD67" s="171">
        <f ca="1">IF(OR($D67&lt;&gt;"Serviço",AND(AUTOEVENTO="Manual",$M67=$A$15)),0,
         IF(OFFSET(CRONOPLE!$F$15,$M67-$A$15,BD$13)=0,10^12,OFFSET(CRONOPLE!$F$15,$M67-$A$15,BD$13)))</f>
        <v>1000000000000</v>
      </c>
      <c r="BE67" s="171">
        <f ca="1">IF(OR($D67&lt;&gt;"Serviço",AND(AUTOEVENTO="Manual",$M67=$A$15)),0,
         IF(OFFSET(CRONOPLE!$F$15,$M67-$A$15,BE$13)=0,10^12,OFFSET(CRONOPLE!$F$15,$M67-$A$15,BE$13)))</f>
        <v>1000000000000</v>
      </c>
      <c r="BF67" s="171">
        <f ca="1">IF(OR($D67&lt;&gt;"Serviço",AND(AUTOEVENTO="Manual",$M67=$A$15)),0,
         IF(OFFSET(CRONOPLE!$F$15,$M67-$A$15,BF$13)=0,10^12,OFFSET(CRONOPLE!$F$15,$M67-$A$15,BF$13)))</f>
        <v>1</v>
      </c>
      <c r="BG67" s="171">
        <f ca="1">IF(OR($D67&lt;&gt;"Serviço",AND(AUTOEVENTO="Manual",$M67=$A$15)),0,
         IF(OFFSET(CRONOPLE!$F$15,$M67-$A$15,BG$13)=0,10^12,OFFSET(CRONOPLE!$F$15,$M67-$A$15,BG$13)))</f>
        <v>1000000000000</v>
      </c>
      <c r="BH67" s="171">
        <f ca="1">IF(OR($D67&lt;&gt;"Serviço",AND(AUTOEVENTO="Manual",$M67=$A$15)),0,
         IF(OFFSET(CRONOPLE!$F$15,$M67-$A$15,BH$13)=0,10^12,OFFSET(CRONOPLE!$F$15,$M67-$A$15,BH$13)))</f>
        <v>1000000000000</v>
      </c>
      <c r="BI67" s="171">
        <f ca="1">IF(OR($D67&lt;&gt;"Serviço",AND(AUTOEVENTO="Manual",$M67=$A$15)),0,
         IF(OFFSET(CRONOPLE!$F$15,$M67-$A$15,BI$13)=0,10^12,OFFSET(CRONOPLE!$F$15,$M67-$A$15,BI$13)))</f>
        <v>1000000000000</v>
      </c>
      <c r="BJ67" s="171">
        <f ca="1">IF(OR($D67&lt;&gt;"Serviço",AND(AUTOEVENTO="Manual",$M67=$A$15)),0,
         IF(OFFSET(CRONOPLE!$F$15,$M67-$A$15,BJ$13)=0,10^12,OFFSET(CRONOPLE!$F$15,$M67-$A$15,BJ$13)))</f>
        <v>1000000000000</v>
      </c>
      <c r="BK67" s="171">
        <f ca="1">IF(OR($D67&lt;&gt;"Serviço",AND(AUTOEVENTO="Manual",$M67=$A$15)),0,
         IF(OFFSET(CRONOPLE!$F$15,$M67-$A$15,BK$13)=0,10^12,OFFSET(CRONOPLE!$F$15,$M67-$A$15,BK$13)))</f>
        <v>1000000000000</v>
      </c>
      <c r="BL67" s="171">
        <f ca="1">IF(OR($D67&lt;&gt;"Serviço",AND(AUTOEVENTO="Manual",$M67=$A$15)),0,
         IF(OFFSET(CRONOPLE!$F$15,$M67-$A$15,BL$13)=0,10^12,OFFSET(CRONOPLE!$F$15,$M67-$A$15,BL$13)))</f>
        <v>1000000000000</v>
      </c>
      <c r="BM67" s="171">
        <f ca="1">IF(OR($D67&lt;&gt;"Serviço",AND(AUTOEVENTO="Manual",$M67=$A$15)),0,
         IF(OFFSET(CRONOPLE!$F$15,$M67-$A$15,BM$13)=0,10^12,OFFSET(CRONOPLE!$F$15,$M67-$A$15,BM$13)))</f>
        <v>1000000000000</v>
      </c>
      <c r="BN67" s="171">
        <f ca="1">IF(OR($D67&lt;&gt;"Serviço",AND(AUTOEVENTO="Manual",$M67=$A$15)),0,
         IF(OFFSET(CRONOPLE!$F$15,$M67-$A$15,BN$13)=0,10^12,OFFSET(CRONOPLE!$F$15,$M67-$A$15,BN$13)))</f>
        <v>1000000000000</v>
      </c>
      <c r="BO67" s="171">
        <f ca="1">IF(OR($D67&lt;&gt;"Serviço",AND(AUTOEVENTO="Manual",$M67=$A$15)),0,
         IF(OFFSET(CRONOPLE!$F$15,$M67-$A$15,BO$13)=0,10^12,OFFSET(CRONOPLE!$F$15,$M67-$A$15,BO$13)))</f>
        <v>1000000000000</v>
      </c>
      <c r="BP67" s="171">
        <f ca="1">IF(OR($D67&lt;&gt;"Serviço",AND(AUTOEVENTO="Manual",$M67=$A$15)),0,
         IF(OFFSET(CRONOPLE!$F$15,$M67-$A$15,BP$13)=0,10^12,OFFSET(CRONOPLE!$F$15,$M67-$A$15,BP$13)))</f>
        <v>1000000000000</v>
      </c>
      <c r="BQ67" s="171">
        <f ca="1">IF(OR($D67&lt;&gt;"Serviço",AND(AUTOEVENTO="Manual",$M67=$A$15)),0,
         IF(OFFSET(CRONOPLE!$F$15,$M67-$A$15,BQ$13)=0,10^12,OFFSET(CRONOPLE!$F$15,$M67-$A$15,BQ$13)))</f>
        <v>1000000000000</v>
      </c>
      <c r="BR67" s="171">
        <f ca="1">IF(OR($D67&lt;&gt;"Serviço",AND(AUTOEVENTO="Manual",$M67=$A$15)),0,
         IF(OFFSET(CRONOPLE!$F$15,$M67-$A$15,BR$13)=0,10^12,OFFSET(CRONOPLE!$F$15,$M67-$A$15,BR$13)))</f>
        <v>1000000000000</v>
      </c>
      <c r="BS67" s="171">
        <f ca="1">IF(OR($D67&lt;&gt;"Serviço",AND(AUTOEVENTO="Manual",$M67=$A$15)),0,
         IF(OFFSET(CRONOPLE!$F$15,$M67-$A$15,BS$13)=0,10^12,OFFSET(CRONOPLE!$F$15,$M67-$A$15,BS$13)))</f>
        <v>1000000000000</v>
      </c>
      <c r="BT67" s="171">
        <f ca="1">IF(OR($D67&lt;&gt;"Serviço",AND(AUTOEVENTO="Manual",$M67=$A$15)),0,
         IF(OFFSET(CRONOPLE!$F$15,$M67-$A$15,BT$13)=0,10^12,OFFSET(CRONOPLE!$F$15,$M67-$A$15,BT$13)))</f>
        <v>1000000000000</v>
      </c>
      <c r="BV67" s="172">
        <f ca="1">IF(OR($D67&lt;&gt;"Serviço",AND(AUTOEVENTO="Manual",$M67=$A$15),$M67&gt;(ROW(PLE.lastrow)-ROW(PLE.firstrow))),0,
           IF(OFFSET(PLE!$G$15,$M67-$A$15,BV$13)="",10^12,OFFSET(PLE!$G$15,$M67-$A$15,BV$13)))</f>
        <v>1000000000000</v>
      </c>
      <c r="BW67" s="172">
        <f ca="1">IF(OR($D67&lt;&gt;"Serviço",AND(AUTOEVENTO="Manual",$M67=$A$15),$M67&gt;(ROW(PLE.lastrow)-ROW(PLE.firstrow))),0,
           IF(OFFSET(PLE!$G$15,$M67-$A$15,BW$13)="",10^12,OFFSET(PLE!$G$15,$M67-$A$15,BW$13)))</f>
        <v>1000000000000</v>
      </c>
      <c r="BX67" s="172">
        <f ca="1">IF(OR($D67&lt;&gt;"Serviço",AND(AUTOEVENTO="Manual",$M67=$A$15),$M67&gt;(ROW(PLE.lastrow)-ROW(PLE.firstrow))),0,
           IF(OFFSET(PLE!$G$15,$M67-$A$15,BX$13)="",10^12,OFFSET(PLE!$G$15,$M67-$A$15,BX$13)))</f>
        <v>1000000000000</v>
      </c>
      <c r="BY67" s="172">
        <f ca="1">IF(OR($D67&lt;&gt;"Serviço",AND(AUTOEVENTO="Manual",$M67=$A$15),$M67&gt;(ROW(PLE.lastrow)-ROW(PLE.firstrow))),0,
           IF(OFFSET(PLE!$G$15,$M67-$A$15,BY$13)="",10^12,OFFSET(PLE!$G$15,$M67-$A$15,BY$13)))</f>
        <v>1000000000000</v>
      </c>
      <c r="BZ67" s="172">
        <f ca="1">IF(OR($D67&lt;&gt;"Serviço",AND(AUTOEVENTO="Manual",$M67=$A$15),$M67&gt;(ROW(PLE.lastrow)-ROW(PLE.firstrow))),0,
           IF(OFFSET(PLE!$G$15,$M67-$A$15,BZ$13)="",10^12,OFFSET(PLE!$G$15,$M67-$A$15,BZ$13)))</f>
        <v>1000000000000</v>
      </c>
      <c r="CA67" s="172">
        <f ca="1">IF(OR($D67&lt;&gt;"Serviço",AND(AUTOEVENTO="Manual",$M67=$A$15),$M67&gt;(ROW(PLE.lastrow)-ROW(PLE.firstrow))),0,
           IF(OFFSET(PLE!$G$15,$M67-$A$15,CA$13)="",10^12,OFFSET(PLE!$G$15,$M67-$A$15,CA$13)))</f>
        <v>1000000000000</v>
      </c>
      <c r="CB67" s="172">
        <f ca="1">IF(OR($D67&lt;&gt;"Serviço",AND(AUTOEVENTO="Manual",$M67=$A$15),$M67&gt;(ROW(PLE.lastrow)-ROW(PLE.firstrow))),0,
           IF(OFFSET(PLE!$G$15,$M67-$A$15,CB$13)="",10^12,OFFSET(PLE!$G$15,$M67-$A$15,CB$13)))</f>
        <v>1000000000000</v>
      </c>
      <c r="CC67" s="172">
        <f ca="1">IF(OR($D67&lt;&gt;"Serviço",AND(AUTOEVENTO="Manual",$M67=$A$15),$M67&gt;(ROW(PLE.lastrow)-ROW(PLE.firstrow))),0,
           IF(OFFSET(PLE!$G$15,$M67-$A$15,CC$13)="",10^12,OFFSET(PLE!$G$15,$M67-$A$15,CC$13)))</f>
        <v>1000000000000</v>
      </c>
      <c r="CD67" s="172">
        <f ca="1">IF(OR($D67&lt;&gt;"Serviço",AND(AUTOEVENTO="Manual",$M67=$A$15),$M67&gt;(ROW(PLE.lastrow)-ROW(PLE.firstrow))),0,
           IF(OFFSET(PLE!$G$15,$M67-$A$15,CD$13)="",10^12,OFFSET(PLE!$G$15,$M67-$A$15,CD$13)))</f>
        <v>1000000000000</v>
      </c>
      <c r="CE67" s="172">
        <f ca="1">IF(OR($D67&lt;&gt;"Serviço",AND(AUTOEVENTO="Manual",$M67=$A$15),$M67&gt;(ROW(PLE.lastrow)-ROW(PLE.firstrow))),0,
           IF(OFFSET(PLE!$G$15,$M67-$A$15,CE$13)="",10^12,OFFSET(PLE!$G$15,$M67-$A$15,CE$13)))</f>
        <v>1000000000000</v>
      </c>
      <c r="CF67" s="172">
        <f ca="1">IF(OR($D67&lt;&gt;"Serviço",AND(AUTOEVENTO="Manual",$M67=$A$15),$M67&gt;(ROW(PLE.lastrow)-ROW(PLE.firstrow))),0,
           IF(OFFSET(PLE!$G$15,$M67-$A$15,CF$13)="",10^12,OFFSET(PLE!$G$15,$M67-$A$15,CF$13)))</f>
        <v>1000000000000</v>
      </c>
      <c r="CG67" s="172">
        <f ca="1">IF(OR($D67&lt;&gt;"Serviço",AND(AUTOEVENTO="Manual",$M67=$A$15),$M67&gt;(ROW(PLE.lastrow)-ROW(PLE.firstrow))),0,
           IF(OFFSET(PLE!$G$15,$M67-$A$15,CG$13)="",10^12,OFFSET(PLE!$G$15,$M67-$A$15,CG$13)))</f>
        <v>1000000000000</v>
      </c>
      <c r="CH67" s="172">
        <f ca="1">IF(OR($D67&lt;&gt;"Serviço",AND(AUTOEVENTO="Manual",$M67=$A$15),$M67&gt;(ROW(PLE.lastrow)-ROW(PLE.firstrow))),0,
           IF(OFFSET(PLE!$G$15,$M67-$A$15,CH$13)="",10^12,OFFSET(PLE!$G$15,$M67-$A$15,CH$13)))</f>
        <v>1000000000000</v>
      </c>
      <c r="CI67" s="172">
        <f ca="1">IF(OR($D67&lt;&gt;"Serviço",AND(AUTOEVENTO="Manual",$M67=$A$15),$M67&gt;(ROW(PLE.lastrow)-ROW(PLE.firstrow))),0,
           IF(OFFSET(PLE!$G$15,$M67-$A$15,CI$13)="",10^12,OFFSET(PLE!$G$15,$M67-$A$15,CI$13)))</f>
        <v>1000000000000</v>
      </c>
      <c r="CJ67" s="172">
        <f ca="1">IF(OR($D67&lt;&gt;"Serviço",AND(AUTOEVENTO="Manual",$M67=$A$15),$M67&gt;(ROW(PLE.lastrow)-ROW(PLE.firstrow))),0,
           IF(OFFSET(PLE!$G$15,$M67-$A$15,CJ$13)="",10^12,OFFSET(PLE!$G$15,$M67-$A$15,CJ$13)))</f>
        <v>1000000000000</v>
      </c>
      <c r="CK67" s="172">
        <f ca="1">IF(OR($D67&lt;&gt;"Serviço",AND(AUTOEVENTO="Manual",$M67=$A$15),$M67&gt;(ROW(PLE.lastrow)-ROW(PLE.firstrow))),0,
           IF(OFFSET(PLE!$G$15,$M67-$A$15,CK$13)="",10^12,OFFSET(PLE!$G$15,$M67-$A$15,CK$13)))</f>
        <v>1000000000000</v>
      </c>
      <c r="CL67" s="172">
        <f ca="1">IF(OR($D67&lt;&gt;"Serviço",AND(AUTOEVENTO="Manual",$M67=$A$15),$M67&gt;(ROW(PLE.lastrow)-ROW(PLE.firstrow))),0,
           IF(OFFSET(PLE!$G$15,$M67-$A$15,CL$13)="",10^12,OFFSET(PLE!$G$15,$M67-$A$15,CL$13)))</f>
        <v>1000000000000</v>
      </c>
      <c r="CM67" s="172">
        <f ca="1">IF(OR($D67&lt;&gt;"Serviço",AND(AUTOEVENTO="Manual",$M67=$A$15),$M67&gt;(ROW(PLE.lastrow)-ROW(PLE.firstrow))),0,
           IF(OFFSET(PLE!$G$15,$M67-$A$15,CM$13)="",10^12,OFFSET(PLE!$G$15,$M67-$A$15,CM$13)))</f>
        <v>1000000000000</v>
      </c>
    </row>
    <row r="68" spans="1:91" ht="26.4" x14ac:dyDescent="0.25">
      <c r="A68" s="7" t="str">
        <f t="shared" ca="1" si="11"/>
        <v>51</v>
      </c>
      <c r="B68" s="7" t="str">
        <f ca="1">OFFSET(ORÇAMENTO!C$15,ROW(B68)-ROW(B$15),0)</f>
        <v>S</v>
      </c>
      <c r="C68" s="7" t="str">
        <f ca="1">OFFSET(ORÇAMENTO!L$15,ROW(C68)-ROW(C$15),0)</f>
        <v>F</v>
      </c>
      <c r="D68" s="116" t="str">
        <f ca="1">OFFSET(ORÇAMENTO!N$15,ROW(D68)-ROW(D$15),0)</f>
        <v>Serviço</v>
      </c>
      <c r="E68" s="117" t="str">
        <f ca="1">OFFSET(ORÇAMENTO!O$15,ROW(E68)-ROW(E$15),0)</f>
        <v>2.3.2.</v>
      </c>
      <c r="F68" s="163" t="str">
        <f ca="1">OFFSET(ORÇAMENTO!R$15,ROW(F68)-ROW(F$15),0)</f>
        <v>EMULSÃO ASFÁLTICA RR-1C COLETADO NA ANP, ACRESCIDO DE IMPOSTOS (ICMS, PIS, COFINS)</v>
      </c>
      <c r="G68" s="164" t="str">
        <f ca="1">IF($D68&lt;&gt;"Serviço","",OFFSET(ORÇAMENTO!S$15,ROW(G68)-ROW(G$15),0))</f>
        <v>KG</v>
      </c>
      <c r="H68" s="122" cm="1">
        <f t="array" aca="1" ref="H68" ca="1">IF($D68&lt;&gt;"Serviço",0,IF(ACOMPANHAMENTO="BM",ROUND(OFFSET(ORÇAMENTO!AJ$15,ROW(H68)-ROW(H$15),0),15-13*ORÇAMENTO!$AF$7),SUMPRODUCT(($Q$1:$AI$1=1)*ROUND($Q68:$AI68,15-13*ORÇAMENTO!$AF$7))))</f>
        <v>569.29</v>
      </c>
      <c r="I68" s="468"/>
      <c r="J68" s="651" t="e" cm="1">
        <f t="array" aca="1" ref="J68" ca="1">IF(OR(B68&lt;&gt;"S",CÁLCULO.FrentesPreenchidas=0),"",IF(AND(ACOMPANHAMENTO="PLE",AUTOEVENTO="Manual",OR(H68&gt;0,ORÇAMENTO!AC68="QUANT."),OR(K68="",M68=0,N68="")),"►E",IF(AND(ACOMPANHAMENTO="PLE",ORÇAMENTO!AC68="QUANT."),"►Q",IF(AND(ACOMPANHAMENTO="PLE",H68&lt;&gt;SUMPRODUCT(($Q$1:$AI$1=1)*ROUND(Q68:AI68,15))),"►S",IF(AND(COUNTIF($P$11:$AI$11,"▼")=0,H68&gt;0,I68=""),"◄M","")))))</f>
        <v>#NAME?</v>
      </c>
      <c r="K68" s="652"/>
      <c r="L68" s="165" t="s">
        <v>764</v>
      </c>
      <c r="M68" s="166">
        <f ca="1">IF($D68&lt;&gt;"Serviço","",
          IF(AUTOEVENTO="manual",$A68,
                IF(ISERROR(MATCH($A68,$A$15:OFFSET($A68,-1,0),0)),MAX($M$15:OFFSET(M68,-1,0))+1,
                      INDEX($M$15:OFFSET(M68,-1,0),MATCH($A68,$A$15:OFFSET($A68,-1,0),0)))))</f>
        <v>10</v>
      </c>
      <c r="N68" s="167" t="str">
        <f ca="1">IF($D68&lt;&gt;"Serviço","",
         IF(AUTOEVENTO="Manual",
                IF($A68=0,"&lt;-- defina o número do agrupador",
                       OFFSET(EVENTOS!$D$15,$A68-$A$15,0)),
                OFFSET($F$15,$A68,0)))</f>
        <v>CAMADA DE REPERFILAMENTO</v>
      </c>
      <c r="O68" s="168"/>
      <c r="Q68" s="168"/>
      <c r="R68" s="169"/>
      <c r="S68" s="169"/>
      <c r="T68" s="169">
        <f>ROUND(T67*0.45,2)</f>
        <v>569.29</v>
      </c>
      <c r="U68" s="169"/>
      <c r="V68" s="169"/>
      <c r="W68" s="169"/>
      <c r="X68" s="169"/>
      <c r="Y68" s="169"/>
      <c r="Z68" s="170"/>
      <c r="AA68" s="169"/>
      <c r="AB68" s="169"/>
      <c r="AC68" s="169"/>
      <c r="AD68" s="169"/>
      <c r="AE68" s="169"/>
      <c r="AF68" s="169"/>
      <c r="AG68" s="169"/>
      <c r="AH68" s="170"/>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L68" s="453">
        <f ca="1">IF(AND($D68="Serviço",AL$12&lt;&gt;0,$H68&gt;0,OR(AUTOEVENTO&lt;&gt;"manual",$M68&lt;&gt;$A$15)),
        IF(Import.TipoArredondamento&lt;&gt;"TransfereGOV",
              ROUND(OFFSET($P68,0,AL$13),15-13*ORÇAMENTO!$AF$7)/$H68*OFFSET(ORÇAMENTO!$X$15,ROW(AL68)-ROW(AL$15),0),
              ROUND(ROUND(OFFSET($P68,0,AL$13),15-13*ORÇAMENTO!$AF$7)*OFFSET(ORÇAMENTO!$W$15,ROW(AL68)-ROW(AL$15),0),15-13*ORÇAMENTO!$AF$11)),
         0)</f>
        <v>0</v>
      </c>
      <c r="AM68" s="453">
        <f ca="1">IF(AND($D68="Serviço",AM$12&lt;&gt;0,$H68&gt;0,OR(AUTOEVENTO&lt;&gt;"manual",$M68&lt;&gt;$A$15)),
        IF(Import.TipoArredondamento&lt;&gt;"TransfereGOV",
              ROUND(OFFSET($P68,0,AM$13),15-13*ORÇAMENTO!$AF$7)/$H68*OFFSET(ORÇAMENTO!$X$15,ROW(AM68)-ROW(AM$15),0),
              ROUND(ROUND(OFFSET($P68,0,AM$13),15-13*ORÇAMENTO!$AF$7)*OFFSET(ORÇAMENTO!$W$15,ROW(AM68)-ROW(AM$15),0),15-13*ORÇAMENTO!$AF$11)),
         0)</f>
        <v>2396.71</v>
      </c>
      <c r="AN68" s="453">
        <f ca="1">IF(AND($D68="Serviço",AN$12&lt;&gt;0,$H68&gt;0,OR(AUTOEVENTO&lt;&gt;"manual",$M68&lt;&gt;$A$15)),
        IF(Import.TipoArredondamento&lt;&gt;"TransfereGOV",
              ROUND(OFFSET($P68,0,AN$13),15-13*ORÇAMENTO!$AF$7)/$H68*OFFSET(ORÇAMENTO!$X$15,ROW(AN68)-ROW(AN$15),0),
              ROUND(ROUND(OFFSET($P68,0,AN$13),15-13*ORÇAMENTO!$AF$7)*OFFSET(ORÇAMENTO!$W$15,ROW(AN68)-ROW(AN$15),0),15-13*ORÇAMENTO!$AF$11)),
         0)</f>
        <v>0</v>
      </c>
      <c r="AO68" s="453">
        <f ca="1">IF(AND($D68="Serviço",AO$12&lt;&gt;0,$H68&gt;0,OR(AUTOEVENTO&lt;&gt;"manual",$M68&lt;&gt;$A$15)),
        IF(Import.TipoArredondamento&lt;&gt;"TransfereGOV",
              ROUND(OFFSET($P68,0,AO$13),15-13*ORÇAMENTO!$AF$7)/$H68*OFFSET(ORÇAMENTO!$X$15,ROW(AO68)-ROW(AO$15),0),
              ROUND(ROUND(OFFSET($P68,0,AO$13),15-13*ORÇAMENTO!$AF$7)*OFFSET(ORÇAMENTO!$W$15,ROW(AO68)-ROW(AO$15),0),15-13*ORÇAMENTO!$AF$11)),
         0)</f>
        <v>0</v>
      </c>
      <c r="AP68" s="453">
        <f ca="1">IF(AND($D68="Serviço",AP$12&lt;&gt;0,$H68&gt;0,OR(AUTOEVENTO&lt;&gt;"manual",$M68&lt;&gt;$A$15)),
        IF(Import.TipoArredondamento&lt;&gt;"TransfereGOV",
              ROUND(OFFSET($P68,0,AP$13),15-13*ORÇAMENTO!$AF$7)/$H68*OFFSET(ORÇAMENTO!$X$15,ROW(AP68)-ROW(AP$15),0),
              ROUND(ROUND(OFFSET($P68,0,AP$13),15-13*ORÇAMENTO!$AF$7)*OFFSET(ORÇAMENTO!$W$15,ROW(AP68)-ROW(AP$15),0),15-13*ORÇAMENTO!$AF$11)),
         0)</f>
        <v>0</v>
      </c>
      <c r="AQ68" s="453">
        <f ca="1">IF(AND($D68="Serviço",AQ$12&lt;&gt;0,$H68&gt;0,OR(AUTOEVENTO&lt;&gt;"manual",$M68&lt;&gt;$A$15)),
        IF(Import.TipoArredondamento&lt;&gt;"TransfereGOV",
              ROUND(OFFSET($P68,0,AQ$13),15-13*ORÇAMENTO!$AF$7)/$H68*OFFSET(ORÇAMENTO!$X$15,ROW(AQ68)-ROW(AQ$15),0),
              ROUND(ROUND(OFFSET($P68,0,AQ$13),15-13*ORÇAMENTO!$AF$7)*OFFSET(ORÇAMENTO!$W$15,ROW(AQ68)-ROW(AQ$15),0),15-13*ORÇAMENTO!$AF$11)),
         0)</f>
        <v>0</v>
      </c>
      <c r="AR68" s="453">
        <f ca="1">IF(AND($D68="Serviço",AR$12&lt;&gt;0,$H68&gt;0,OR(AUTOEVENTO&lt;&gt;"manual",$M68&lt;&gt;$A$15)),
        IF(Import.TipoArredondamento&lt;&gt;"TransfereGOV",
              ROUND(OFFSET($P68,0,AR$13),15-13*ORÇAMENTO!$AF$7)/$H68*OFFSET(ORÇAMENTO!$X$15,ROW(AR68)-ROW(AR$15),0),
              ROUND(ROUND(OFFSET($P68,0,AR$13),15-13*ORÇAMENTO!$AF$7)*OFFSET(ORÇAMENTO!$W$15,ROW(AR68)-ROW(AR$15),0),15-13*ORÇAMENTO!$AF$11)),
         0)</f>
        <v>0</v>
      </c>
      <c r="AS68" s="453">
        <f ca="1">IF(AND($D68="Serviço",AS$12&lt;&gt;0,$H68&gt;0,OR(AUTOEVENTO&lt;&gt;"manual",$M68&lt;&gt;$A$15)),
        IF(Import.TipoArredondamento&lt;&gt;"TransfereGOV",
              ROUND(OFFSET($P68,0,AS$13),15-13*ORÇAMENTO!$AF$7)/$H68*OFFSET(ORÇAMENTO!$X$15,ROW(AS68)-ROW(AS$15),0),
              ROUND(ROUND(OFFSET($P68,0,AS$13),15-13*ORÇAMENTO!$AF$7)*OFFSET(ORÇAMENTO!$W$15,ROW(AS68)-ROW(AS$15),0),15-13*ORÇAMENTO!$AF$11)),
         0)</f>
        <v>0</v>
      </c>
      <c r="AT68" s="453">
        <f ca="1">IF(AND($D68="Serviço",AT$12&lt;&gt;0,$H68&gt;0,OR(AUTOEVENTO&lt;&gt;"manual",$M68&lt;&gt;$A$15)),
        IF(Import.TipoArredondamento&lt;&gt;"TransfereGOV",
              ROUND(OFFSET($P68,0,AT$13),15-13*ORÇAMENTO!$AF$7)/$H68*OFFSET(ORÇAMENTO!$X$15,ROW(AT68)-ROW(AT$15),0),
              ROUND(ROUND(OFFSET($P68,0,AT$13),15-13*ORÇAMENTO!$AF$7)*OFFSET(ORÇAMENTO!$W$15,ROW(AT68)-ROW(AT$15),0),15-13*ORÇAMENTO!$AF$11)),
         0)</f>
        <v>0</v>
      </c>
      <c r="AU68" s="453">
        <f ca="1">IF(AND($D68="Serviço",AU$12&lt;&gt;0,$H68&gt;0,OR(AUTOEVENTO&lt;&gt;"manual",$M68&lt;&gt;$A$15)),
        IF(Import.TipoArredondamento&lt;&gt;"TransfereGOV",
              ROUND(OFFSET($P68,0,AU$13),15-13*ORÇAMENTO!$AF$7)/$H68*OFFSET(ORÇAMENTO!$X$15,ROW(AU68)-ROW(AU$15),0),
              ROUND(ROUND(OFFSET($P68,0,AU$13),15-13*ORÇAMENTO!$AF$7)*OFFSET(ORÇAMENTO!$W$15,ROW(AU68)-ROW(AU$15),0),15-13*ORÇAMENTO!$AF$11)),
         0)</f>
        <v>0</v>
      </c>
      <c r="AV68" s="453">
        <f ca="1">IF(AND($D68="Serviço",AV$12&lt;&gt;0,$H68&gt;0,OR(AUTOEVENTO&lt;&gt;"manual",$M68&lt;&gt;$A$15)),
        IF(Import.TipoArredondamento&lt;&gt;"TransfereGOV",
              ROUND(OFFSET($P68,0,AV$13),15-13*ORÇAMENTO!$AF$7)/$H68*OFFSET(ORÇAMENTO!$X$15,ROW(AV68)-ROW(AV$15),0),
              ROUND(ROUND(OFFSET($P68,0,AV$13),15-13*ORÇAMENTO!$AF$7)*OFFSET(ORÇAMENTO!$W$15,ROW(AV68)-ROW(AV$15),0),15-13*ORÇAMENTO!$AF$11)),
         0)</f>
        <v>0</v>
      </c>
      <c r="AW68" s="453">
        <f ca="1">IF(AND($D68="Serviço",AW$12&lt;&gt;0,$H68&gt;0,OR(AUTOEVENTO&lt;&gt;"manual",$M68&lt;&gt;$A$15)),
        IF(Import.TipoArredondamento&lt;&gt;"TransfereGOV",
              ROUND(OFFSET($P68,0,AW$13),15-13*ORÇAMENTO!$AF$7)/$H68*OFFSET(ORÇAMENTO!$X$15,ROW(AW68)-ROW(AW$15),0),
              ROUND(ROUND(OFFSET($P68,0,AW$13),15-13*ORÇAMENTO!$AF$7)*OFFSET(ORÇAMENTO!$W$15,ROW(AW68)-ROW(AW$15),0),15-13*ORÇAMENTO!$AF$11)),
         0)</f>
        <v>0</v>
      </c>
      <c r="AX68" s="453">
        <f ca="1">IF(AND($D68="Serviço",AX$12&lt;&gt;0,$H68&gt;0,OR(AUTOEVENTO&lt;&gt;"manual",$M68&lt;&gt;$A$15)),
        IF(Import.TipoArredondamento&lt;&gt;"TransfereGOV",
              ROUND(OFFSET($P68,0,AX$13),15-13*ORÇAMENTO!$AF$7)/$H68*OFFSET(ORÇAMENTO!$X$15,ROW(AX68)-ROW(AX$15),0),
              ROUND(ROUND(OFFSET($P68,0,AX$13),15-13*ORÇAMENTO!$AF$7)*OFFSET(ORÇAMENTO!$W$15,ROW(AX68)-ROW(AX$15),0),15-13*ORÇAMENTO!$AF$11)),
         0)</f>
        <v>0</v>
      </c>
      <c r="AY68" s="453">
        <f ca="1">IF(AND($D68="Serviço",AY$12&lt;&gt;0,$H68&gt;0,OR(AUTOEVENTO&lt;&gt;"manual",$M68&lt;&gt;$A$15)),
        IF(Import.TipoArredondamento&lt;&gt;"TransfereGOV",
              ROUND(OFFSET($P68,0,AY$13),15-13*ORÇAMENTO!$AF$7)/$H68*OFFSET(ORÇAMENTO!$X$15,ROW(AY68)-ROW(AY$15),0),
              ROUND(ROUND(OFFSET($P68,0,AY$13),15-13*ORÇAMENTO!$AF$7)*OFFSET(ORÇAMENTO!$W$15,ROW(AY68)-ROW(AY$15),0),15-13*ORÇAMENTO!$AF$11)),
         0)</f>
        <v>0</v>
      </c>
      <c r="AZ68" s="453">
        <f ca="1">IF(AND($D68="Serviço",AZ$12&lt;&gt;0,$H68&gt;0,OR(AUTOEVENTO&lt;&gt;"manual",$M68&lt;&gt;$A$15)),
        IF(Import.TipoArredondamento&lt;&gt;"TransfereGOV",
              ROUND(OFFSET($P68,0,AZ$13),15-13*ORÇAMENTO!$AF$7)/$H68*OFFSET(ORÇAMENTO!$X$15,ROW(AZ68)-ROW(AZ$15),0),
              ROUND(ROUND(OFFSET($P68,0,AZ$13),15-13*ORÇAMENTO!$AF$7)*OFFSET(ORÇAMENTO!$W$15,ROW(AZ68)-ROW(AZ$15),0),15-13*ORÇAMENTO!$AF$11)),
         0)</f>
        <v>0</v>
      </c>
      <c r="BA68" s="453">
        <f ca="1">IF(AND($D68="Serviço",BA$12&lt;&gt;0,$H68&gt;0,OR(AUTOEVENTO&lt;&gt;"manual",$M68&lt;&gt;$A$15)),
        IF(Import.TipoArredondamento&lt;&gt;"TransfereGOV",
              ROUND(OFFSET($P68,0,BA$13),15-13*ORÇAMENTO!$AF$7)/$H68*OFFSET(ORÇAMENTO!$X$15,ROW(BA68)-ROW(BA$15),0),
              ROUND(ROUND(OFFSET($P68,0,BA$13),15-13*ORÇAMENTO!$AF$7)*OFFSET(ORÇAMENTO!$W$15,ROW(BA68)-ROW(BA$15),0),15-13*ORÇAMENTO!$AF$11)),
         0)</f>
        <v>0</v>
      </c>
      <c r="BC68" s="171">
        <f ca="1">IF(OR($D68&lt;&gt;"Serviço",AND(AUTOEVENTO="Manual",$M68=$A$15)),0,
         IF(OFFSET(CRONOPLE!$F$15,$M68-$A$15,BC$13)=0,10^12,OFFSET(CRONOPLE!$F$15,$M68-$A$15,BC$13)))</f>
        <v>1000000000000</v>
      </c>
      <c r="BD68" s="171">
        <f ca="1">IF(OR($D68&lt;&gt;"Serviço",AND(AUTOEVENTO="Manual",$M68=$A$15)),0,
         IF(OFFSET(CRONOPLE!$F$15,$M68-$A$15,BD$13)=0,10^12,OFFSET(CRONOPLE!$F$15,$M68-$A$15,BD$13)))</f>
        <v>1000000000000</v>
      </c>
      <c r="BE68" s="171">
        <f ca="1">IF(OR($D68&lt;&gt;"Serviço",AND(AUTOEVENTO="Manual",$M68=$A$15)),0,
         IF(OFFSET(CRONOPLE!$F$15,$M68-$A$15,BE$13)=0,10^12,OFFSET(CRONOPLE!$F$15,$M68-$A$15,BE$13)))</f>
        <v>1000000000000</v>
      </c>
      <c r="BF68" s="171">
        <f ca="1">IF(OR($D68&lt;&gt;"Serviço",AND(AUTOEVENTO="Manual",$M68=$A$15)),0,
         IF(OFFSET(CRONOPLE!$F$15,$M68-$A$15,BF$13)=0,10^12,OFFSET(CRONOPLE!$F$15,$M68-$A$15,BF$13)))</f>
        <v>1</v>
      </c>
      <c r="BG68" s="171">
        <f ca="1">IF(OR($D68&lt;&gt;"Serviço",AND(AUTOEVENTO="Manual",$M68=$A$15)),0,
         IF(OFFSET(CRONOPLE!$F$15,$M68-$A$15,BG$13)=0,10^12,OFFSET(CRONOPLE!$F$15,$M68-$A$15,BG$13)))</f>
        <v>1000000000000</v>
      </c>
      <c r="BH68" s="171">
        <f ca="1">IF(OR($D68&lt;&gt;"Serviço",AND(AUTOEVENTO="Manual",$M68=$A$15)),0,
         IF(OFFSET(CRONOPLE!$F$15,$M68-$A$15,BH$13)=0,10^12,OFFSET(CRONOPLE!$F$15,$M68-$A$15,BH$13)))</f>
        <v>1000000000000</v>
      </c>
      <c r="BI68" s="171">
        <f ca="1">IF(OR($D68&lt;&gt;"Serviço",AND(AUTOEVENTO="Manual",$M68=$A$15)),0,
         IF(OFFSET(CRONOPLE!$F$15,$M68-$A$15,BI$13)=0,10^12,OFFSET(CRONOPLE!$F$15,$M68-$A$15,BI$13)))</f>
        <v>1000000000000</v>
      </c>
      <c r="BJ68" s="171">
        <f ca="1">IF(OR($D68&lt;&gt;"Serviço",AND(AUTOEVENTO="Manual",$M68=$A$15)),0,
         IF(OFFSET(CRONOPLE!$F$15,$M68-$A$15,BJ$13)=0,10^12,OFFSET(CRONOPLE!$F$15,$M68-$A$15,BJ$13)))</f>
        <v>1000000000000</v>
      </c>
      <c r="BK68" s="171">
        <f ca="1">IF(OR($D68&lt;&gt;"Serviço",AND(AUTOEVENTO="Manual",$M68=$A$15)),0,
         IF(OFFSET(CRONOPLE!$F$15,$M68-$A$15,BK$13)=0,10^12,OFFSET(CRONOPLE!$F$15,$M68-$A$15,BK$13)))</f>
        <v>1000000000000</v>
      </c>
      <c r="BL68" s="171">
        <f ca="1">IF(OR($D68&lt;&gt;"Serviço",AND(AUTOEVENTO="Manual",$M68=$A$15)),0,
         IF(OFFSET(CRONOPLE!$F$15,$M68-$A$15,BL$13)=0,10^12,OFFSET(CRONOPLE!$F$15,$M68-$A$15,BL$13)))</f>
        <v>1000000000000</v>
      </c>
      <c r="BM68" s="171">
        <f ca="1">IF(OR($D68&lt;&gt;"Serviço",AND(AUTOEVENTO="Manual",$M68=$A$15)),0,
         IF(OFFSET(CRONOPLE!$F$15,$M68-$A$15,BM$13)=0,10^12,OFFSET(CRONOPLE!$F$15,$M68-$A$15,BM$13)))</f>
        <v>1000000000000</v>
      </c>
      <c r="BN68" s="171">
        <f ca="1">IF(OR($D68&lt;&gt;"Serviço",AND(AUTOEVENTO="Manual",$M68=$A$15)),0,
         IF(OFFSET(CRONOPLE!$F$15,$M68-$A$15,BN$13)=0,10^12,OFFSET(CRONOPLE!$F$15,$M68-$A$15,BN$13)))</f>
        <v>1000000000000</v>
      </c>
      <c r="BO68" s="171">
        <f ca="1">IF(OR($D68&lt;&gt;"Serviço",AND(AUTOEVENTO="Manual",$M68=$A$15)),0,
         IF(OFFSET(CRONOPLE!$F$15,$M68-$A$15,BO$13)=0,10^12,OFFSET(CRONOPLE!$F$15,$M68-$A$15,BO$13)))</f>
        <v>1000000000000</v>
      </c>
      <c r="BP68" s="171">
        <f ca="1">IF(OR($D68&lt;&gt;"Serviço",AND(AUTOEVENTO="Manual",$M68=$A$15)),0,
         IF(OFFSET(CRONOPLE!$F$15,$M68-$A$15,BP$13)=0,10^12,OFFSET(CRONOPLE!$F$15,$M68-$A$15,BP$13)))</f>
        <v>1000000000000</v>
      </c>
      <c r="BQ68" s="171">
        <f ca="1">IF(OR($D68&lt;&gt;"Serviço",AND(AUTOEVENTO="Manual",$M68=$A$15)),0,
         IF(OFFSET(CRONOPLE!$F$15,$M68-$A$15,BQ$13)=0,10^12,OFFSET(CRONOPLE!$F$15,$M68-$A$15,BQ$13)))</f>
        <v>1000000000000</v>
      </c>
      <c r="BR68" s="171">
        <f ca="1">IF(OR($D68&lt;&gt;"Serviço",AND(AUTOEVENTO="Manual",$M68=$A$15)),0,
         IF(OFFSET(CRONOPLE!$F$15,$M68-$A$15,BR$13)=0,10^12,OFFSET(CRONOPLE!$F$15,$M68-$A$15,BR$13)))</f>
        <v>1000000000000</v>
      </c>
      <c r="BS68" s="171">
        <f ca="1">IF(OR($D68&lt;&gt;"Serviço",AND(AUTOEVENTO="Manual",$M68=$A$15)),0,
         IF(OFFSET(CRONOPLE!$F$15,$M68-$A$15,BS$13)=0,10^12,OFFSET(CRONOPLE!$F$15,$M68-$A$15,BS$13)))</f>
        <v>1000000000000</v>
      </c>
      <c r="BT68" s="171">
        <f ca="1">IF(OR($D68&lt;&gt;"Serviço",AND(AUTOEVENTO="Manual",$M68=$A$15)),0,
         IF(OFFSET(CRONOPLE!$F$15,$M68-$A$15,BT$13)=0,10^12,OFFSET(CRONOPLE!$F$15,$M68-$A$15,BT$13)))</f>
        <v>1000000000000</v>
      </c>
      <c r="BV68" s="172">
        <f ca="1">IF(OR($D68&lt;&gt;"Serviço",AND(AUTOEVENTO="Manual",$M68=$A$15),$M68&gt;(ROW(PLE.lastrow)-ROW(PLE.firstrow))),0,
           IF(OFFSET(PLE!$G$15,$M68-$A$15,BV$13)="",10^12,OFFSET(PLE!$G$15,$M68-$A$15,BV$13)))</f>
        <v>1000000000000</v>
      </c>
      <c r="BW68" s="172">
        <f ca="1">IF(OR($D68&lt;&gt;"Serviço",AND(AUTOEVENTO="Manual",$M68=$A$15),$M68&gt;(ROW(PLE.lastrow)-ROW(PLE.firstrow))),0,
           IF(OFFSET(PLE!$G$15,$M68-$A$15,BW$13)="",10^12,OFFSET(PLE!$G$15,$M68-$A$15,BW$13)))</f>
        <v>1000000000000</v>
      </c>
      <c r="BX68" s="172">
        <f ca="1">IF(OR($D68&lt;&gt;"Serviço",AND(AUTOEVENTO="Manual",$M68=$A$15),$M68&gt;(ROW(PLE.lastrow)-ROW(PLE.firstrow))),0,
           IF(OFFSET(PLE!$G$15,$M68-$A$15,BX$13)="",10^12,OFFSET(PLE!$G$15,$M68-$A$15,BX$13)))</f>
        <v>1000000000000</v>
      </c>
      <c r="BY68" s="172">
        <f ca="1">IF(OR($D68&lt;&gt;"Serviço",AND(AUTOEVENTO="Manual",$M68=$A$15),$M68&gt;(ROW(PLE.lastrow)-ROW(PLE.firstrow))),0,
           IF(OFFSET(PLE!$G$15,$M68-$A$15,BY$13)="",10^12,OFFSET(PLE!$G$15,$M68-$A$15,BY$13)))</f>
        <v>1000000000000</v>
      </c>
      <c r="BZ68" s="172">
        <f ca="1">IF(OR($D68&lt;&gt;"Serviço",AND(AUTOEVENTO="Manual",$M68=$A$15),$M68&gt;(ROW(PLE.lastrow)-ROW(PLE.firstrow))),0,
           IF(OFFSET(PLE!$G$15,$M68-$A$15,BZ$13)="",10^12,OFFSET(PLE!$G$15,$M68-$A$15,BZ$13)))</f>
        <v>1000000000000</v>
      </c>
      <c r="CA68" s="172">
        <f ca="1">IF(OR($D68&lt;&gt;"Serviço",AND(AUTOEVENTO="Manual",$M68=$A$15),$M68&gt;(ROW(PLE.lastrow)-ROW(PLE.firstrow))),0,
           IF(OFFSET(PLE!$G$15,$M68-$A$15,CA$13)="",10^12,OFFSET(PLE!$G$15,$M68-$A$15,CA$13)))</f>
        <v>1000000000000</v>
      </c>
      <c r="CB68" s="172">
        <f ca="1">IF(OR($D68&lt;&gt;"Serviço",AND(AUTOEVENTO="Manual",$M68=$A$15),$M68&gt;(ROW(PLE.lastrow)-ROW(PLE.firstrow))),0,
           IF(OFFSET(PLE!$G$15,$M68-$A$15,CB$13)="",10^12,OFFSET(PLE!$G$15,$M68-$A$15,CB$13)))</f>
        <v>1000000000000</v>
      </c>
      <c r="CC68" s="172">
        <f ca="1">IF(OR($D68&lt;&gt;"Serviço",AND(AUTOEVENTO="Manual",$M68=$A$15),$M68&gt;(ROW(PLE.lastrow)-ROW(PLE.firstrow))),0,
           IF(OFFSET(PLE!$G$15,$M68-$A$15,CC$13)="",10^12,OFFSET(PLE!$G$15,$M68-$A$15,CC$13)))</f>
        <v>1000000000000</v>
      </c>
      <c r="CD68" s="172">
        <f ca="1">IF(OR($D68&lt;&gt;"Serviço",AND(AUTOEVENTO="Manual",$M68=$A$15),$M68&gt;(ROW(PLE.lastrow)-ROW(PLE.firstrow))),0,
           IF(OFFSET(PLE!$G$15,$M68-$A$15,CD$13)="",10^12,OFFSET(PLE!$G$15,$M68-$A$15,CD$13)))</f>
        <v>1000000000000</v>
      </c>
      <c r="CE68" s="172">
        <f ca="1">IF(OR($D68&lt;&gt;"Serviço",AND(AUTOEVENTO="Manual",$M68=$A$15),$M68&gt;(ROW(PLE.lastrow)-ROW(PLE.firstrow))),0,
           IF(OFFSET(PLE!$G$15,$M68-$A$15,CE$13)="",10^12,OFFSET(PLE!$G$15,$M68-$A$15,CE$13)))</f>
        <v>1000000000000</v>
      </c>
      <c r="CF68" s="172">
        <f ca="1">IF(OR($D68&lt;&gt;"Serviço",AND(AUTOEVENTO="Manual",$M68=$A$15),$M68&gt;(ROW(PLE.lastrow)-ROW(PLE.firstrow))),0,
           IF(OFFSET(PLE!$G$15,$M68-$A$15,CF$13)="",10^12,OFFSET(PLE!$G$15,$M68-$A$15,CF$13)))</f>
        <v>1000000000000</v>
      </c>
      <c r="CG68" s="172">
        <f ca="1">IF(OR($D68&lt;&gt;"Serviço",AND(AUTOEVENTO="Manual",$M68=$A$15),$M68&gt;(ROW(PLE.lastrow)-ROW(PLE.firstrow))),0,
           IF(OFFSET(PLE!$G$15,$M68-$A$15,CG$13)="",10^12,OFFSET(PLE!$G$15,$M68-$A$15,CG$13)))</f>
        <v>1000000000000</v>
      </c>
      <c r="CH68" s="172">
        <f ca="1">IF(OR($D68&lt;&gt;"Serviço",AND(AUTOEVENTO="Manual",$M68=$A$15),$M68&gt;(ROW(PLE.lastrow)-ROW(PLE.firstrow))),0,
           IF(OFFSET(PLE!$G$15,$M68-$A$15,CH$13)="",10^12,OFFSET(PLE!$G$15,$M68-$A$15,CH$13)))</f>
        <v>1000000000000</v>
      </c>
      <c r="CI68" s="172">
        <f ca="1">IF(OR($D68&lt;&gt;"Serviço",AND(AUTOEVENTO="Manual",$M68=$A$15),$M68&gt;(ROW(PLE.lastrow)-ROW(PLE.firstrow))),0,
           IF(OFFSET(PLE!$G$15,$M68-$A$15,CI$13)="",10^12,OFFSET(PLE!$G$15,$M68-$A$15,CI$13)))</f>
        <v>1000000000000</v>
      </c>
      <c r="CJ68" s="172">
        <f ca="1">IF(OR($D68&lt;&gt;"Serviço",AND(AUTOEVENTO="Manual",$M68=$A$15),$M68&gt;(ROW(PLE.lastrow)-ROW(PLE.firstrow))),0,
           IF(OFFSET(PLE!$G$15,$M68-$A$15,CJ$13)="",10^12,OFFSET(PLE!$G$15,$M68-$A$15,CJ$13)))</f>
        <v>1000000000000</v>
      </c>
      <c r="CK68" s="172">
        <f ca="1">IF(OR($D68&lt;&gt;"Serviço",AND(AUTOEVENTO="Manual",$M68=$A$15),$M68&gt;(ROW(PLE.lastrow)-ROW(PLE.firstrow))),0,
           IF(OFFSET(PLE!$G$15,$M68-$A$15,CK$13)="",10^12,OFFSET(PLE!$G$15,$M68-$A$15,CK$13)))</f>
        <v>1000000000000</v>
      </c>
      <c r="CL68" s="172">
        <f ca="1">IF(OR($D68&lt;&gt;"Serviço",AND(AUTOEVENTO="Manual",$M68=$A$15),$M68&gt;(ROW(PLE.lastrow)-ROW(PLE.firstrow))),0,
           IF(OFFSET(PLE!$G$15,$M68-$A$15,CL$13)="",10^12,OFFSET(PLE!$G$15,$M68-$A$15,CL$13)))</f>
        <v>1000000000000</v>
      </c>
      <c r="CM68" s="172">
        <f ca="1">IF(OR($D68&lt;&gt;"Serviço",AND(AUTOEVENTO="Manual",$M68=$A$15),$M68&gt;(ROW(PLE.lastrow)-ROW(PLE.firstrow))),0,
           IF(OFFSET(PLE!$G$15,$M68-$A$15,CM$13)="",10^12,OFFSET(PLE!$G$15,$M68-$A$15,CM$13)))</f>
        <v>1000000000000</v>
      </c>
    </row>
    <row r="69" spans="1:91" ht="26.4" x14ac:dyDescent="0.25">
      <c r="A69" s="7" t="str">
        <f t="shared" ca="1" si="11"/>
        <v>51</v>
      </c>
      <c r="B69" s="7" t="str">
        <f ca="1">OFFSET(ORÇAMENTO!C$15,ROW(B69)-ROW(B$15),0)</f>
        <v>S</v>
      </c>
      <c r="C69" s="7" t="str">
        <f ca="1">OFFSET(ORÇAMENTO!L$15,ROW(C69)-ROW(C$15),0)</f>
        <v>F</v>
      </c>
      <c r="D69" s="116" t="str">
        <f ca="1">OFFSET(ORÇAMENTO!N$15,ROW(D69)-ROW(D$15),0)</f>
        <v>Serviço</v>
      </c>
      <c r="E69" s="117" t="str">
        <f ca="1">OFFSET(ORÇAMENTO!O$15,ROW(E69)-ROW(E$15),0)</f>
        <v>2.3.3.</v>
      </c>
      <c r="F69" s="163" t="str">
        <f ca="1">OFFSET(ORÇAMENTO!R$15,ROW(F69)-ROW(F$15),0)</f>
        <v>Transporte de material betuminoso com caminhão tanque distribuidor - rodovia pavimentada</v>
      </c>
      <c r="G69" s="164" t="str">
        <f ca="1">IF($D69&lt;&gt;"Serviço","",OFFSET(ORÇAMENTO!S$15,ROW(G69)-ROW(G$15),0))</f>
        <v>tkm</v>
      </c>
      <c r="H69" s="122" cm="1">
        <f t="array" aca="1" ref="H69" ca="1">IF($D69&lt;&gt;"Serviço",0,IF(ACOMPANHAMENTO="BM",ROUND(OFFSET(ORÇAMENTO!AJ$15,ROW(H69)-ROW(H$15),0),15-13*ORÇAMENTO!$AF$7),SUMPRODUCT(($Q$1:$AI$1=1)*ROUND($Q69:$AI69,15-13*ORÇAMENTO!$AF$7))))</f>
        <v>191.85</v>
      </c>
      <c r="I69" s="468"/>
      <c r="J69" s="651" t="e" cm="1">
        <f t="array" aca="1" ref="J69" ca="1">IF(OR(B69&lt;&gt;"S",CÁLCULO.FrentesPreenchidas=0),"",IF(AND(ACOMPANHAMENTO="PLE",AUTOEVENTO="Manual",OR(H69&gt;0,ORÇAMENTO!AC69="QUANT."),OR(K69="",M69=0,N69="")),"►E",IF(AND(ACOMPANHAMENTO="PLE",ORÇAMENTO!AC69="QUANT."),"►Q",IF(AND(ACOMPANHAMENTO="PLE",H69&lt;&gt;SUMPRODUCT(($Q$1:$AI$1=1)*ROUND(Q69:AI69,15))),"►S",IF(AND(COUNTIF($P$11:$AI$11,"▼")=0,H69&gt;0,I69=""),"◄M","")))))</f>
        <v>#NAME?</v>
      </c>
      <c r="K69" s="652"/>
      <c r="L69" s="165" t="s">
        <v>764</v>
      </c>
      <c r="M69" s="166">
        <f ca="1">IF($D69&lt;&gt;"Serviço","",
          IF(AUTOEVENTO="manual",$A69,
                IF(ISERROR(MATCH($A69,$A$15:OFFSET($A69,-1,0),0)),MAX($M$15:OFFSET(M69,-1,0))+1,
                      INDEX($M$15:OFFSET(M69,-1,0),MATCH($A69,$A$15:OFFSET($A69,-1,0),0)))))</f>
        <v>10</v>
      </c>
      <c r="N69" s="167" t="str">
        <f ca="1">IF($D69&lt;&gt;"Serviço","",
         IF(AUTOEVENTO="Manual",
                IF($A69=0,"&lt;-- defina o número do agrupador",
                       OFFSET(EVENTOS!$D$15,$A69-$A$15,0)),
                OFFSET($F$15,$A69,0)))</f>
        <v>CAMADA DE REPERFILAMENTO</v>
      </c>
      <c r="O69" s="168"/>
      <c r="Q69" s="168"/>
      <c r="R69" s="169"/>
      <c r="S69" s="169"/>
      <c r="T69" s="169">
        <f>TRUNC(T68/1000*337,2)</f>
        <v>191.85</v>
      </c>
      <c r="U69" s="169"/>
      <c r="V69" s="169"/>
      <c r="W69" s="169"/>
      <c r="X69" s="169"/>
      <c r="Y69" s="169"/>
      <c r="Z69" s="170"/>
      <c r="AA69" s="169"/>
      <c r="AB69" s="169"/>
      <c r="AC69" s="169"/>
      <c r="AD69" s="169"/>
      <c r="AE69" s="169"/>
      <c r="AF69" s="169"/>
      <c r="AG69" s="169"/>
      <c r="AH69" s="170"/>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L69" s="453">
        <f ca="1">IF(AND($D69="Serviço",AL$12&lt;&gt;0,$H69&gt;0,OR(AUTOEVENTO&lt;&gt;"manual",$M69&lt;&gt;$A$15)),
        IF(Import.TipoArredondamento&lt;&gt;"TransfereGOV",
              ROUND(OFFSET($P69,0,AL$13),15-13*ORÇAMENTO!$AF$7)/$H69*OFFSET(ORÇAMENTO!$X$15,ROW(AL69)-ROW(AL$15),0),
              ROUND(ROUND(OFFSET($P69,0,AL$13),15-13*ORÇAMENTO!$AF$7)*OFFSET(ORÇAMENTO!$W$15,ROW(AL69)-ROW(AL$15),0),15-13*ORÇAMENTO!$AF$11)),
         0)</f>
        <v>0</v>
      </c>
      <c r="AM69" s="453">
        <f ca="1">IF(AND($D69="Serviço",AM$12&lt;&gt;0,$H69&gt;0,OR(AUTOEVENTO&lt;&gt;"manual",$M69&lt;&gt;$A$15)),
        IF(Import.TipoArredondamento&lt;&gt;"TransfereGOV",
              ROUND(OFFSET($P69,0,AM$13),15-13*ORÇAMENTO!$AF$7)/$H69*OFFSET(ORÇAMENTO!$X$15,ROW(AM69)-ROW(AM$15),0),
              ROUND(ROUND(OFFSET($P69,0,AM$13),15-13*ORÇAMENTO!$AF$7)*OFFSET(ORÇAMENTO!$W$15,ROW(AM69)-ROW(AM$15),0),15-13*ORÇAMENTO!$AF$11)),
         0)</f>
        <v>489.22</v>
      </c>
      <c r="AN69" s="453">
        <f ca="1">IF(AND($D69="Serviço",AN$12&lt;&gt;0,$H69&gt;0,OR(AUTOEVENTO&lt;&gt;"manual",$M69&lt;&gt;$A$15)),
        IF(Import.TipoArredondamento&lt;&gt;"TransfereGOV",
              ROUND(OFFSET($P69,0,AN$13),15-13*ORÇAMENTO!$AF$7)/$H69*OFFSET(ORÇAMENTO!$X$15,ROW(AN69)-ROW(AN$15),0),
              ROUND(ROUND(OFFSET($P69,0,AN$13),15-13*ORÇAMENTO!$AF$7)*OFFSET(ORÇAMENTO!$W$15,ROW(AN69)-ROW(AN$15),0),15-13*ORÇAMENTO!$AF$11)),
         0)</f>
        <v>0</v>
      </c>
      <c r="AO69" s="453">
        <f ca="1">IF(AND($D69="Serviço",AO$12&lt;&gt;0,$H69&gt;0,OR(AUTOEVENTO&lt;&gt;"manual",$M69&lt;&gt;$A$15)),
        IF(Import.TipoArredondamento&lt;&gt;"TransfereGOV",
              ROUND(OFFSET($P69,0,AO$13),15-13*ORÇAMENTO!$AF$7)/$H69*OFFSET(ORÇAMENTO!$X$15,ROW(AO69)-ROW(AO$15),0),
              ROUND(ROUND(OFFSET($P69,0,AO$13),15-13*ORÇAMENTO!$AF$7)*OFFSET(ORÇAMENTO!$W$15,ROW(AO69)-ROW(AO$15),0),15-13*ORÇAMENTO!$AF$11)),
         0)</f>
        <v>0</v>
      </c>
      <c r="AP69" s="453">
        <f ca="1">IF(AND($D69="Serviço",AP$12&lt;&gt;0,$H69&gt;0,OR(AUTOEVENTO&lt;&gt;"manual",$M69&lt;&gt;$A$15)),
        IF(Import.TipoArredondamento&lt;&gt;"TransfereGOV",
              ROUND(OFFSET($P69,0,AP$13),15-13*ORÇAMENTO!$AF$7)/$H69*OFFSET(ORÇAMENTO!$X$15,ROW(AP69)-ROW(AP$15),0),
              ROUND(ROUND(OFFSET($P69,0,AP$13),15-13*ORÇAMENTO!$AF$7)*OFFSET(ORÇAMENTO!$W$15,ROW(AP69)-ROW(AP$15),0),15-13*ORÇAMENTO!$AF$11)),
         0)</f>
        <v>0</v>
      </c>
      <c r="AQ69" s="453">
        <f ca="1">IF(AND($D69="Serviço",AQ$12&lt;&gt;0,$H69&gt;0,OR(AUTOEVENTO&lt;&gt;"manual",$M69&lt;&gt;$A$15)),
        IF(Import.TipoArredondamento&lt;&gt;"TransfereGOV",
              ROUND(OFFSET($P69,0,AQ$13),15-13*ORÇAMENTO!$AF$7)/$H69*OFFSET(ORÇAMENTO!$X$15,ROW(AQ69)-ROW(AQ$15),0),
              ROUND(ROUND(OFFSET($P69,0,AQ$13),15-13*ORÇAMENTO!$AF$7)*OFFSET(ORÇAMENTO!$W$15,ROW(AQ69)-ROW(AQ$15),0),15-13*ORÇAMENTO!$AF$11)),
         0)</f>
        <v>0</v>
      </c>
      <c r="AR69" s="453">
        <f ca="1">IF(AND($D69="Serviço",AR$12&lt;&gt;0,$H69&gt;0,OR(AUTOEVENTO&lt;&gt;"manual",$M69&lt;&gt;$A$15)),
        IF(Import.TipoArredondamento&lt;&gt;"TransfereGOV",
              ROUND(OFFSET($P69,0,AR$13),15-13*ORÇAMENTO!$AF$7)/$H69*OFFSET(ORÇAMENTO!$X$15,ROW(AR69)-ROW(AR$15),0),
              ROUND(ROUND(OFFSET($P69,0,AR$13),15-13*ORÇAMENTO!$AF$7)*OFFSET(ORÇAMENTO!$W$15,ROW(AR69)-ROW(AR$15),0),15-13*ORÇAMENTO!$AF$11)),
         0)</f>
        <v>0</v>
      </c>
      <c r="AS69" s="453">
        <f ca="1">IF(AND($D69="Serviço",AS$12&lt;&gt;0,$H69&gt;0,OR(AUTOEVENTO&lt;&gt;"manual",$M69&lt;&gt;$A$15)),
        IF(Import.TipoArredondamento&lt;&gt;"TransfereGOV",
              ROUND(OFFSET($P69,0,AS$13),15-13*ORÇAMENTO!$AF$7)/$H69*OFFSET(ORÇAMENTO!$X$15,ROW(AS69)-ROW(AS$15),0),
              ROUND(ROUND(OFFSET($P69,0,AS$13),15-13*ORÇAMENTO!$AF$7)*OFFSET(ORÇAMENTO!$W$15,ROW(AS69)-ROW(AS$15),0),15-13*ORÇAMENTO!$AF$11)),
         0)</f>
        <v>0</v>
      </c>
      <c r="AT69" s="453">
        <f ca="1">IF(AND($D69="Serviço",AT$12&lt;&gt;0,$H69&gt;0,OR(AUTOEVENTO&lt;&gt;"manual",$M69&lt;&gt;$A$15)),
        IF(Import.TipoArredondamento&lt;&gt;"TransfereGOV",
              ROUND(OFFSET($P69,0,AT$13),15-13*ORÇAMENTO!$AF$7)/$H69*OFFSET(ORÇAMENTO!$X$15,ROW(AT69)-ROW(AT$15),0),
              ROUND(ROUND(OFFSET($P69,0,AT$13),15-13*ORÇAMENTO!$AF$7)*OFFSET(ORÇAMENTO!$W$15,ROW(AT69)-ROW(AT$15),0),15-13*ORÇAMENTO!$AF$11)),
         0)</f>
        <v>0</v>
      </c>
      <c r="AU69" s="453">
        <f ca="1">IF(AND($D69="Serviço",AU$12&lt;&gt;0,$H69&gt;0,OR(AUTOEVENTO&lt;&gt;"manual",$M69&lt;&gt;$A$15)),
        IF(Import.TipoArredondamento&lt;&gt;"TransfereGOV",
              ROUND(OFFSET($P69,0,AU$13),15-13*ORÇAMENTO!$AF$7)/$H69*OFFSET(ORÇAMENTO!$X$15,ROW(AU69)-ROW(AU$15),0),
              ROUND(ROUND(OFFSET($P69,0,AU$13),15-13*ORÇAMENTO!$AF$7)*OFFSET(ORÇAMENTO!$W$15,ROW(AU69)-ROW(AU$15),0),15-13*ORÇAMENTO!$AF$11)),
         0)</f>
        <v>0</v>
      </c>
      <c r="AV69" s="453">
        <f ca="1">IF(AND($D69="Serviço",AV$12&lt;&gt;0,$H69&gt;0,OR(AUTOEVENTO&lt;&gt;"manual",$M69&lt;&gt;$A$15)),
        IF(Import.TipoArredondamento&lt;&gt;"TransfereGOV",
              ROUND(OFFSET($P69,0,AV$13),15-13*ORÇAMENTO!$AF$7)/$H69*OFFSET(ORÇAMENTO!$X$15,ROW(AV69)-ROW(AV$15),0),
              ROUND(ROUND(OFFSET($P69,0,AV$13),15-13*ORÇAMENTO!$AF$7)*OFFSET(ORÇAMENTO!$W$15,ROW(AV69)-ROW(AV$15),0),15-13*ORÇAMENTO!$AF$11)),
         0)</f>
        <v>0</v>
      </c>
      <c r="AW69" s="453">
        <f ca="1">IF(AND($D69="Serviço",AW$12&lt;&gt;0,$H69&gt;0,OR(AUTOEVENTO&lt;&gt;"manual",$M69&lt;&gt;$A$15)),
        IF(Import.TipoArredondamento&lt;&gt;"TransfereGOV",
              ROUND(OFFSET($P69,0,AW$13),15-13*ORÇAMENTO!$AF$7)/$H69*OFFSET(ORÇAMENTO!$X$15,ROW(AW69)-ROW(AW$15),0),
              ROUND(ROUND(OFFSET($P69,0,AW$13),15-13*ORÇAMENTO!$AF$7)*OFFSET(ORÇAMENTO!$W$15,ROW(AW69)-ROW(AW$15),0),15-13*ORÇAMENTO!$AF$11)),
         0)</f>
        <v>0</v>
      </c>
      <c r="AX69" s="453">
        <f ca="1">IF(AND($D69="Serviço",AX$12&lt;&gt;0,$H69&gt;0,OR(AUTOEVENTO&lt;&gt;"manual",$M69&lt;&gt;$A$15)),
        IF(Import.TipoArredondamento&lt;&gt;"TransfereGOV",
              ROUND(OFFSET($P69,0,AX$13),15-13*ORÇAMENTO!$AF$7)/$H69*OFFSET(ORÇAMENTO!$X$15,ROW(AX69)-ROW(AX$15),0),
              ROUND(ROUND(OFFSET($P69,0,AX$13),15-13*ORÇAMENTO!$AF$7)*OFFSET(ORÇAMENTO!$W$15,ROW(AX69)-ROW(AX$15),0),15-13*ORÇAMENTO!$AF$11)),
         0)</f>
        <v>0</v>
      </c>
      <c r="AY69" s="453">
        <f ca="1">IF(AND($D69="Serviço",AY$12&lt;&gt;0,$H69&gt;0,OR(AUTOEVENTO&lt;&gt;"manual",$M69&lt;&gt;$A$15)),
        IF(Import.TipoArredondamento&lt;&gt;"TransfereGOV",
              ROUND(OFFSET($P69,0,AY$13),15-13*ORÇAMENTO!$AF$7)/$H69*OFFSET(ORÇAMENTO!$X$15,ROW(AY69)-ROW(AY$15),0),
              ROUND(ROUND(OFFSET($P69,0,AY$13),15-13*ORÇAMENTO!$AF$7)*OFFSET(ORÇAMENTO!$W$15,ROW(AY69)-ROW(AY$15),0),15-13*ORÇAMENTO!$AF$11)),
         0)</f>
        <v>0</v>
      </c>
      <c r="AZ69" s="453">
        <f ca="1">IF(AND($D69="Serviço",AZ$12&lt;&gt;0,$H69&gt;0,OR(AUTOEVENTO&lt;&gt;"manual",$M69&lt;&gt;$A$15)),
        IF(Import.TipoArredondamento&lt;&gt;"TransfereGOV",
              ROUND(OFFSET($P69,0,AZ$13),15-13*ORÇAMENTO!$AF$7)/$H69*OFFSET(ORÇAMENTO!$X$15,ROW(AZ69)-ROW(AZ$15),0),
              ROUND(ROUND(OFFSET($P69,0,AZ$13),15-13*ORÇAMENTO!$AF$7)*OFFSET(ORÇAMENTO!$W$15,ROW(AZ69)-ROW(AZ$15),0),15-13*ORÇAMENTO!$AF$11)),
         0)</f>
        <v>0</v>
      </c>
      <c r="BA69" s="453">
        <f ca="1">IF(AND($D69="Serviço",BA$12&lt;&gt;0,$H69&gt;0,OR(AUTOEVENTO&lt;&gt;"manual",$M69&lt;&gt;$A$15)),
        IF(Import.TipoArredondamento&lt;&gt;"TransfereGOV",
              ROUND(OFFSET($P69,0,BA$13),15-13*ORÇAMENTO!$AF$7)/$H69*OFFSET(ORÇAMENTO!$X$15,ROW(BA69)-ROW(BA$15),0),
              ROUND(ROUND(OFFSET($P69,0,BA$13),15-13*ORÇAMENTO!$AF$7)*OFFSET(ORÇAMENTO!$W$15,ROW(BA69)-ROW(BA$15),0),15-13*ORÇAMENTO!$AF$11)),
         0)</f>
        <v>0</v>
      </c>
      <c r="BC69" s="171">
        <f ca="1">IF(OR($D69&lt;&gt;"Serviço",AND(AUTOEVENTO="Manual",$M69=$A$15)),0,
         IF(OFFSET(CRONOPLE!$F$15,$M69-$A$15,BC$13)=0,10^12,OFFSET(CRONOPLE!$F$15,$M69-$A$15,BC$13)))</f>
        <v>1000000000000</v>
      </c>
      <c r="BD69" s="171">
        <f ca="1">IF(OR($D69&lt;&gt;"Serviço",AND(AUTOEVENTO="Manual",$M69=$A$15)),0,
         IF(OFFSET(CRONOPLE!$F$15,$M69-$A$15,BD$13)=0,10^12,OFFSET(CRONOPLE!$F$15,$M69-$A$15,BD$13)))</f>
        <v>1000000000000</v>
      </c>
      <c r="BE69" s="171">
        <f ca="1">IF(OR($D69&lt;&gt;"Serviço",AND(AUTOEVENTO="Manual",$M69=$A$15)),0,
         IF(OFFSET(CRONOPLE!$F$15,$M69-$A$15,BE$13)=0,10^12,OFFSET(CRONOPLE!$F$15,$M69-$A$15,BE$13)))</f>
        <v>1000000000000</v>
      </c>
      <c r="BF69" s="171">
        <f ca="1">IF(OR($D69&lt;&gt;"Serviço",AND(AUTOEVENTO="Manual",$M69=$A$15)),0,
         IF(OFFSET(CRONOPLE!$F$15,$M69-$A$15,BF$13)=0,10^12,OFFSET(CRONOPLE!$F$15,$M69-$A$15,BF$13)))</f>
        <v>1</v>
      </c>
      <c r="BG69" s="171">
        <f ca="1">IF(OR($D69&lt;&gt;"Serviço",AND(AUTOEVENTO="Manual",$M69=$A$15)),0,
         IF(OFFSET(CRONOPLE!$F$15,$M69-$A$15,BG$13)=0,10^12,OFFSET(CRONOPLE!$F$15,$M69-$A$15,BG$13)))</f>
        <v>1000000000000</v>
      </c>
      <c r="BH69" s="171">
        <f ca="1">IF(OR($D69&lt;&gt;"Serviço",AND(AUTOEVENTO="Manual",$M69=$A$15)),0,
         IF(OFFSET(CRONOPLE!$F$15,$M69-$A$15,BH$13)=0,10^12,OFFSET(CRONOPLE!$F$15,$M69-$A$15,BH$13)))</f>
        <v>1000000000000</v>
      </c>
      <c r="BI69" s="171">
        <f ca="1">IF(OR($D69&lt;&gt;"Serviço",AND(AUTOEVENTO="Manual",$M69=$A$15)),0,
         IF(OFFSET(CRONOPLE!$F$15,$M69-$A$15,BI$13)=0,10^12,OFFSET(CRONOPLE!$F$15,$M69-$A$15,BI$13)))</f>
        <v>1000000000000</v>
      </c>
      <c r="BJ69" s="171">
        <f ca="1">IF(OR($D69&lt;&gt;"Serviço",AND(AUTOEVENTO="Manual",$M69=$A$15)),0,
         IF(OFFSET(CRONOPLE!$F$15,$M69-$A$15,BJ$13)=0,10^12,OFFSET(CRONOPLE!$F$15,$M69-$A$15,BJ$13)))</f>
        <v>1000000000000</v>
      </c>
      <c r="BK69" s="171">
        <f ca="1">IF(OR($D69&lt;&gt;"Serviço",AND(AUTOEVENTO="Manual",$M69=$A$15)),0,
         IF(OFFSET(CRONOPLE!$F$15,$M69-$A$15,BK$13)=0,10^12,OFFSET(CRONOPLE!$F$15,$M69-$A$15,BK$13)))</f>
        <v>1000000000000</v>
      </c>
      <c r="BL69" s="171">
        <f ca="1">IF(OR($D69&lt;&gt;"Serviço",AND(AUTOEVENTO="Manual",$M69=$A$15)),0,
         IF(OFFSET(CRONOPLE!$F$15,$M69-$A$15,BL$13)=0,10^12,OFFSET(CRONOPLE!$F$15,$M69-$A$15,BL$13)))</f>
        <v>1000000000000</v>
      </c>
      <c r="BM69" s="171">
        <f ca="1">IF(OR($D69&lt;&gt;"Serviço",AND(AUTOEVENTO="Manual",$M69=$A$15)),0,
         IF(OFFSET(CRONOPLE!$F$15,$M69-$A$15,BM$13)=0,10^12,OFFSET(CRONOPLE!$F$15,$M69-$A$15,BM$13)))</f>
        <v>1000000000000</v>
      </c>
      <c r="BN69" s="171">
        <f ca="1">IF(OR($D69&lt;&gt;"Serviço",AND(AUTOEVENTO="Manual",$M69=$A$15)),0,
         IF(OFFSET(CRONOPLE!$F$15,$M69-$A$15,BN$13)=0,10^12,OFFSET(CRONOPLE!$F$15,$M69-$A$15,BN$13)))</f>
        <v>1000000000000</v>
      </c>
      <c r="BO69" s="171">
        <f ca="1">IF(OR($D69&lt;&gt;"Serviço",AND(AUTOEVENTO="Manual",$M69=$A$15)),0,
         IF(OFFSET(CRONOPLE!$F$15,$M69-$A$15,BO$13)=0,10^12,OFFSET(CRONOPLE!$F$15,$M69-$A$15,BO$13)))</f>
        <v>1000000000000</v>
      </c>
      <c r="BP69" s="171">
        <f ca="1">IF(OR($D69&lt;&gt;"Serviço",AND(AUTOEVENTO="Manual",$M69=$A$15)),0,
         IF(OFFSET(CRONOPLE!$F$15,$M69-$A$15,BP$13)=0,10^12,OFFSET(CRONOPLE!$F$15,$M69-$A$15,BP$13)))</f>
        <v>1000000000000</v>
      </c>
      <c r="BQ69" s="171">
        <f ca="1">IF(OR($D69&lt;&gt;"Serviço",AND(AUTOEVENTO="Manual",$M69=$A$15)),0,
         IF(OFFSET(CRONOPLE!$F$15,$M69-$A$15,BQ$13)=0,10^12,OFFSET(CRONOPLE!$F$15,$M69-$A$15,BQ$13)))</f>
        <v>1000000000000</v>
      </c>
      <c r="BR69" s="171">
        <f ca="1">IF(OR($D69&lt;&gt;"Serviço",AND(AUTOEVENTO="Manual",$M69=$A$15)),0,
         IF(OFFSET(CRONOPLE!$F$15,$M69-$A$15,BR$13)=0,10^12,OFFSET(CRONOPLE!$F$15,$M69-$A$15,BR$13)))</f>
        <v>1000000000000</v>
      </c>
      <c r="BS69" s="171">
        <f ca="1">IF(OR($D69&lt;&gt;"Serviço",AND(AUTOEVENTO="Manual",$M69=$A$15)),0,
         IF(OFFSET(CRONOPLE!$F$15,$M69-$A$15,BS$13)=0,10^12,OFFSET(CRONOPLE!$F$15,$M69-$A$15,BS$13)))</f>
        <v>1000000000000</v>
      </c>
      <c r="BT69" s="171">
        <f ca="1">IF(OR($D69&lt;&gt;"Serviço",AND(AUTOEVENTO="Manual",$M69=$A$15)),0,
         IF(OFFSET(CRONOPLE!$F$15,$M69-$A$15,BT$13)=0,10^12,OFFSET(CRONOPLE!$F$15,$M69-$A$15,BT$13)))</f>
        <v>1000000000000</v>
      </c>
      <c r="BV69" s="172">
        <f ca="1">IF(OR($D69&lt;&gt;"Serviço",AND(AUTOEVENTO="Manual",$M69=$A$15),$M69&gt;(ROW(PLE.lastrow)-ROW(PLE.firstrow))),0,
           IF(OFFSET(PLE!$G$15,$M69-$A$15,BV$13)="",10^12,OFFSET(PLE!$G$15,$M69-$A$15,BV$13)))</f>
        <v>1000000000000</v>
      </c>
      <c r="BW69" s="172">
        <f ca="1">IF(OR($D69&lt;&gt;"Serviço",AND(AUTOEVENTO="Manual",$M69=$A$15),$M69&gt;(ROW(PLE.lastrow)-ROW(PLE.firstrow))),0,
           IF(OFFSET(PLE!$G$15,$M69-$A$15,BW$13)="",10^12,OFFSET(PLE!$G$15,$M69-$A$15,BW$13)))</f>
        <v>1000000000000</v>
      </c>
      <c r="BX69" s="172">
        <f ca="1">IF(OR($D69&lt;&gt;"Serviço",AND(AUTOEVENTO="Manual",$M69=$A$15),$M69&gt;(ROW(PLE.lastrow)-ROW(PLE.firstrow))),0,
           IF(OFFSET(PLE!$G$15,$M69-$A$15,BX$13)="",10^12,OFFSET(PLE!$G$15,$M69-$A$15,BX$13)))</f>
        <v>1000000000000</v>
      </c>
      <c r="BY69" s="172">
        <f ca="1">IF(OR($D69&lt;&gt;"Serviço",AND(AUTOEVENTO="Manual",$M69=$A$15),$M69&gt;(ROW(PLE.lastrow)-ROW(PLE.firstrow))),0,
           IF(OFFSET(PLE!$G$15,$M69-$A$15,BY$13)="",10^12,OFFSET(PLE!$G$15,$M69-$A$15,BY$13)))</f>
        <v>1000000000000</v>
      </c>
      <c r="BZ69" s="172">
        <f ca="1">IF(OR($D69&lt;&gt;"Serviço",AND(AUTOEVENTO="Manual",$M69=$A$15),$M69&gt;(ROW(PLE.lastrow)-ROW(PLE.firstrow))),0,
           IF(OFFSET(PLE!$G$15,$M69-$A$15,BZ$13)="",10^12,OFFSET(PLE!$G$15,$M69-$A$15,BZ$13)))</f>
        <v>1000000000000</v>
      </c>
      <c r="CA69" s="172">
        <f ca="1">IF(OR($D69&lt;&gt;"Serviço",AND(AUTOEVENTO="Manual",$M69=$A$15),$M69&gt;(ROW(PLE.lastrow)-ROW(PLE.firstrow))),0,
           IF(OFFSET(PLE!$G$15,$M69-$A$15,CA$13)="",10^12,OFFSET(PLE!$G$15,$M69-$A$15,CA$13)))</f>
        <v>1000000000000</v>
      </c>
      <c r="CB69" s="172">
        <f ca="1">IF(OR($D69&lt;&gt;"Serviço",AND(AUTOEVENTO="Manual",$M69=$A$15),$M69&gt;(ROW(PLE.lastrow)-ROW(PLE.firstrow))),0,
           IF(OFFSET(PLE!$G$15,$M69-$A$15,CB$13)="",10^12,OFFSET(PLE!$G$15,$M69-$A$15,CB$13)))</f>
        <v>1000000000000</v>
      </c>
      <c r="CC69" s="172">
        <f ca="1">IF(OR($D69&lt;&gt;"Serviço",AND(AUTOEVENTO="Manual",$M69=$A$15),$M69&gt;(ROW(PLE.lastrow)-ROW(PLE.firstrow))),0,
           IF(OFFSET(PLE!$G$15,$M69-$A$15,CC$13)="",10^12,OFFSET(PLE!$G$15,$M69-$A$15,CC$13)))</f>
        <v>1000000000000</v>
      </c>
      <c r="CD69" s="172">
        <f ca="1">IF(OR($D69&lt;&gt;"Serviço",AND(AUTOEVENTO="Manual",$M69=$A$15),$M69&gt;(ROW(PLE.lastrow)-ROW(PLE.firstrow))),0,
           IF(OFFSET(PLE!$G$15,$M69-$A$15,CD$13)="",10^12,OFFSET(PLE!$G$15,$M69-$A$15,CD$13)))</f>
        <v>1000000000000</v>
      </c>
      <c r="CE69" s="172">
        <f ca="1">IF(OR($D69&lt;&gt;"Serviço",AND(AUTOEVENTO="Manual",$M69=$A$15),$M69&gt;(ROW(PLE.lastrow)-ROW(PLE.firstrow))),0,
           IF(OFFSET(PLE!$G$15,$M69-$A$15,CE$13)="",10^12,OFFSET(PLE!$G$15,$M69-$A$15,CE$13)))</f>
        <v>1000000000000</v>
      </c>
      <c r="CF69" s="172">
        <f ca="1">IF(OR($D69&lt;&gt;"Serviço",AND(AUTOEVENTO="Manual",$M69=$A$15),$M69&gt;(ROW(PLE.lastrow)-ROW(PLE.firstrow))),0,
           IF(OFFSET(PLE!$G$15,$M69-$A$15,CF$13)="",10^12,OFFSET(PLE!$G$15,$M69-$A$15,CF$13)))</f>
        <v>1000000000000</v>
      </c>
      <c r="CG69" s="172">
        <f ca="1">IF(OR($D69&lt;&gt;"Serviço",AND(AUTOEVENTO="Manual",$M69=$A$15),$M69&gt;(ROW(PLE.lastrow)-ROW(PLE.firstrow))),0,
           IF(OFFSET(PLE!$G$15,$M69-$A$15,CG$13)="",10^12,OFFSET(PLE!$G$15,$M69-$A$15,CG$13)))</f>
        <v>1000000000000</v>
      </c>
      <c r="CH69" s="172">
        <f ca="1">IF(OR($D69&lt;&gt;"Serviço",AND(AUTOEVENTO="Manual",$M69=$A$15),$M69&gt;(ROW(PLE.lastrow)-ROW(PLE.firstrow))),0,
           IF(OFFSET(PLE!$G$15,$M69-$A$15,CH$13)="",10^12,OFFSET(PLE!$G$15,$M69-$A$15,CH$13)))</f>
        <v>1000000000000</v>
      </c>
      <c r="CI69" s="172">
        <f ca="1">IF(OR($D69&lt;&gt;"Serviço",AND(AUTOEVENTO="Manual",$M69=$A$15),$M69&gt;(ROW(PLE.lastrow)-ROW(PLE.firstrow))),0,
           IF(OFFSET(PLE!$G$15,$M69-$A$15,CI$13)="",10^12,OFFSET(PLE!$G$15,$M69-$A$15,CI$13)))</f>
        <v>1000000000000</v>
      </c>
      <c r="CJ69" s="172">
        <f ca="1">IF(OR($D69&lt;&gt;"Serviço",AND(AUTOEVENTO="Manual",$M69=$A$15),$M69&gt;(ROW(PLE.lastrow)-ROW(PLE.firstrow))),0,
           IF(OFFSET(PLE!$G$15,$M69-$A$15,CJ$13)="",10^12,OFFSET(PLE!$G$15,$M69-$A$15,CJ$13)))</f>
        <v>1000000000000</v>
      </c>
      <c r="CK69" s="172">
        <f ca="1">IF(OR($D69&lt;&gt;"Serviço",AND(AUTOEVENTO="Manual",$M69=$A$15),$M69&gt;(ROW(PLE.lastrow)-ROW(PLE.firstrow))),0,
           IF(OFFSET(PLE!$G$15,$M69-$A$15,CK$13)="",10^12,OFFSET(PLE!$G$15,$M69-$A$15,CK$13)))</f>
        <v>1000000000000</v>
      </c>
      <c r="CL69" s="172">
        <f ca="1">IF(OR($D69&lt;&gt;"Serviço",AND(AUTOEVENTO="Manual",$M69=$A$15),$M69&gt;(ROW(PLE.lastrow)-ROW(PLE.firstrow))),0,
           IF(OFFSET(PLE!$G$15,$M69-$A$15,CL$13)="",10^12,OFFSET(PLE!$G$15,$M69-$A$15,CL$13)))</f>
        <v>1000000000000</v>
      </c>
      <c r="CM69" s="172">
        <f ca="1">IF(OR($D69&lt;&gt;"Serviço",AND(AUTOEVENTO="Manual",$M69=$A$15),$M69&gt;(ROW(PLE.lastrow)-ROW(PLE.firstrow))),0,
           IF(OFFSET(PLE!$G$15,$M69-$A$15,CM$13)="",10^12,OFFSET(PLE!$G$15,$M69-$A$15,CM$13)))</f>
        <v>1000000000000</v>
      </c>
    </row>
    <row r="70" spans="1:91" ht="13.2" x14ac:dyDescent="0.25">
      <c r="A70" s="7" t="str">
        <f t="shared" ca="1" si="11"/>
        <v>51</v>
      </c>
      <c r="B70" s="7" t="str">
        <f ca="1">OFFSET(ORÇAMENTO!C$15,ROW(B70)-ROW(B$15),0)</f>
        <v>S</v>
      </c>
      <c r="C70" s="7" t="str">
        <f ca="1">OFFSET(ORÇAMENTO!L$15,ROW(C70)-ROW(C$15),0)</f>
        <v>F</v>
      </c>
      <c r="D70" s="116" t="str">
        <f ca="1">OFFSET(ORÇAMENTO!N$15,ROW(D70)-ROW(D$15),0)</f>
        <v>Serviço</v>
      </c>
      <c r="E70" s="117" t="str">
        <f ca="1">OFFSET(ORÇAMENTO!O$15,ROW(E70)-ROW(E$15),0)</f>
        <v>2.3.4.</v>
      </c>
      <c r="F70" s="163" t="str">
        <f ca="1">OFFSET(ORÇAMENTO!R$15,ROW(F70)-ROW(F$15),0)</f>
        <v>Concreto asfáltico - faixa C-12,5 - areia extraída e brita produzida</v>
      </c>
      <c r="G70" s="164" t="str">
        <f ca="1">IF($D70&lt;&gt;"Serviço","",OFFSET(ORÇAMENTO!S$15,ROW(G70)-ROW(G$15),0))</f>
        <v>t</v>
      </c>
      <c r="H70" s="122" cm="1">
        <f t="array" aca="1" ref="H70" ca="1">IF($D70&lt;&gt;"Serviço",0,IF(ACOMPANHAMENTO="BM",ROUND(OFFSET(ORÇAMENTO!AJ$15,ROW(H70)-ROW(H$15),0),15-13*ORÇAMENTO!$AF$7),SUMPRODUCT(($Q$1:$AI$1=1)*ROUND($Q70:$AI70,15-13*ORÇAMENTO!$AF$7))))</f>
        <v>158.76</v>
      </c>
      <c r="I70" s="468"/>
      <c r="J70" s="651" t="e" cm="1">
        <f t="array" aca="1" ref="J70" ca="1">IF(OR(B70&lt;&gt;"S",CÁLCULO.FrentesPreenchidas=0),"",IF(AND(ACOMPANHAMENTO="PLE",AUTOEVENTO="Manual",OR(H70&gt;0,ORÇAMENTO!AC70="QUANT."),OR(K70="",M70=0,N70="")),"►E",IF(AND(ACOMPANHAMENTO="PLE",ORÇAMENTO!AC70="QUANT."),"►Q",IF(AND(ACOMPANHAMENTO="PLE",H70&lt;&gt;SUMPRODUCT(($Q$1:$AI$1=1)*ROUND(Q70:AI70,15))),"►S",IF(AND(COUNTIF($P$11:$AI$11,"▼")=0,H70&gt;0,I70=""),"◄M","")))))</f>
        <v>#NAME?</v>
      </c>
      <c r="K70" s="652"/>
      <c r="L70" s="165" t="s">
        <v>764</v>
      </c>
      <c r="M70" s="166">
        <f ca="1">IF($D70&lt;&gt;"Serviço","",
          IF(AUTOEVENTO="manual",$A70,
                IF(ISERROR(MATCH($A70,$A$15:OFFSET($A70,-1,0),0)),MAX($M$15:OFFSET(M70,-1,0))+1,
                      INDEX($M$15:OFFSET(M70,-1,0),MATCH($A70,$A$15:OFFSET($A70,-1,0),0)))))</f>
        <v>10</v>
      </c>
      <c r="N70" s="167" t="str">
        <f ca="1">IF($D70&lt;&gt;"Serviço","",
         IF(AUTOEVENTO="Manual",
                IF($A70=0,"&lt;-- defina o número do agrupador",
                       OFFSET(EVENTOS!$D$15,$A70-$A$15,0)),
                OFFSET($F$15,$A70,0)))</f>
        <v>CAMADA DE REPERFILAMENTO</v>
      </c>
      <c r="O70" s="168"/>
      <c r="Q70" s="168"/>
      <c r="R70" s="169"/>
      <c r="S70" s="169"/>
      <c r="T70" s="169">
        <f>TRUNC(T67*0.05*2.51,2)</f>
        <v>158.76</v>
      </c>
      <c r="U70" s="169"/>
      <c r="V70" s="169"/>
      <c r="W70" s="169"/>
      <c r="X70" s="169"/>
      <c r="Y70" s="169"/>
      <c r="Z70" s="170"/>
      <c r="AA70" s="169"/>
      <c r="AB70" s="169"/>
      <c r="AC70" s="169"/>
      <c r="AD70" s="169"/>
      <c r="AE70" s="169"/>
      <c r="AF70" s="169"/>
      <c r="AG70" s="169"/>
      <c r="AH70" s="170"/>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L70" s="453">
        <f ca="1">IF(AND($D70="Serviço",AL$12&lt;&gt;0,$H70&gt;0,OR(AUTOEVENTO&lt;&gt;"manual",$M70&lt;&gt;$A$15)),
        IF(Import.TipoArredondamento&lt;&gt;"TransfereGOV",
              ROUND(OFFSET($P70,0,AL$13),15-13*ORÇAMENTO!$AF$7)/$H70*OFFSET(ORÇAMENTO!$X$15,ROW(AL70)-ROW(AL$15),0),
              ROUND(ROUND(OFFSET($P70,0,AL$13),15-13*ORÇAMENTO!$AF$7)*OFFSET(ORÇAMENTO!$W$15,ROW(AL70)-ROW(AL$15),0),15-13*ORÇAMENTO!$AF$11)),
         0)</f>
        <v>0</v>
      </c>
      <c r="AM70" s="453">
        <f ca="1">IF(AND($D70="Serviço",AM$12&lt;&gt;0,$H70&gt;0,OR(AUTOEVENTO&lt;&gt;"manual",$M70&lt;&gt;$A$15)),
        IF(Import.TipoArredondamento&lt;&gt;"TransfereGOV",
              ROUND(OFFSET($P70,0,AM$13),15-13*ORÇAMENTO!$AF$7)/$H70*OFFSET(ORÇAMENTO!$X$15,ROW(AM70)-ROW(AM$15),0),
              ROUND(ROUND(OFFSET($P70,0,AM$13),15-13*ORÇAMENTO!$AF$7)*OFFSET(ORÇAMENTO!$W$15,ROW(AM70)-ROW(AM$15),0),15-13*ORÇAMENTO!$AF$11)),
         0)</f>
        <v>27727.43</v>
      </c>
      <c r="AN70" s="453">
        <f ca="1">IF(AND($D70="Serviço",AN$12&lt;&gt;0,$H70&gt;0,OR(AUTOEVENTO&lt;&gt;"manual",$M70&lt;&gt;$A$15)),
        IF(Import.TipoArredondamento&lt;&gt;"TransfereGOV",
              ROUND(OFFSET($P70,0,AN$13),15-13*ORÇAMENTO!$AF$7)/$H70*OFFSET(ORÇAMENTO!$X$15,ROW(AN70)-ROW(AN$15),0),
              ROUND(ROUND(OFFSET($P70,0,AN$13),15-13*ORÇAMENTO!$AF$7)*OFFSET(ORÇAMENTO!$W$15,ROW(AN70)-ROW(AN$15),0),15-13*ORÇAMENTO!$AF$11)),
         0)</f>
        <v>0</v>
      </c>
      <c r="AO70" s="453">
        <f ca="1">IF(AND($D70="Serviço",AO$12&lt;&gt;0,$H70&gt;0,OR(AUTOEVENTO&lt;&gt;"manual",$M70&lt;&gt;$A$15)),
        IF(Import.TipoArredondamento&lt;&gt;"TransfereGOV",
              ROUND(OFFSET($P70,0,AO$13),15-13*ORÇAMENTO!$AF$7)/$H70*OFFSET(ORÇAMENTO!$X$15,ROW(AO70)-ROW(AO$15),0),
              ROUND(ROUND(OFFSET($P70,0,AO$13),15-13*ORÇAMENTO!$AF$7)*OFFSET(ORÇAMENTO!$W$15,ROW(AO70)-ROW(AO$15),0),15-13*ORÇAMENTO!$AF$11)),
         0)</f>
        <v>0</v>
      </c>
      <c r="AP70" s="453">
        <f ca="1">IF(AND($D70="Serviço",AP$12&lt;&gt;0,$H70&gt;0,OR(AUTOEVENTO&lt;&gt;"manual",$M70&lt;&gt;$A$15)),
        IF(Import.TipoArredondamento&lt;&gt;"TransfereGOV",
              ROUND(OFFSET($P70,0,AP$13),15-13*ORÇAMENTO!$AF$7)/$H70*OFFSET(ORÇAMENTO!$X$15,ROW(AP70)-ROW(AP$15),0),
              ROUND(ROUND(OFFSET($P70,0,AP$13),15-13*ORÇAMENTO!$AF$7)*OFFSET(ORÇAMENTO!$W$15,ROW(AP70)-ROW(AP$15),0),15-13*ORÇAMENTO!$AF$11)),
         0)</f>
        <v>0</v>
      </c>
      <c r="AQ70" s="453">
        <f ca="1">IF(AND($D70="Serviço",AQ$12&lt;&gt;0,$H70&gt;0,OR(AUTOEVENTO&lt;&gt;"manual",$M70&lt;&gt;$A$15)),
        IF(Import.TipoArredondamento&lt;&gt;"TransfereGOV",
              ROUND(OFFSET($P70,0,AQ$13),15-13*ORÇAMENTO!$AF$7)/$H70*OFFSET(ORÇAMENTO!$X$15,ROW(AQ70)-ROW(AQ$15),0),
              ROUND(ROUND(OFFSET($P70,0,AQ$13),15-13*ORÇAMENTO!$AF$7)*OFFSET(ORÇAMENTO!$W$15,ROW(AQ70)-ROW(AQ$15),0),15-13*ORÇAMENTO!$AF$11)),
         0)</f>
        <v>0</v>
      </c>
      <c r="AR70" s="453">
        <f ca="1">IF(AND($D70="Serviço",AR$12&lt;&gt;0,$H70&gt;0,OR(AUTOEVENTO&lt;&gt;"manual",$M70&lt;&gt;$A$15)),
        IF(Import.TipoArredondamento&lt;&gt;"TransfereGOV",
              ROUND(OFFSET($P70,0,AR$13),15-13*ORÇAMENTO!$AF$7)/$H70*OFFSET(ORÇAMENTO!$X$15,ROW(AR70)-ROW(AR$15),0),
              ROUND(ROUND(OFFSET($P70,0,AR$13),15-13*ORÇAMENTO!$AF$7)*OFFSET(ORÇAMENTO!$W$15,ROW(AR70)-ROW(AR$15),0),15-13*ORÇAMENTO!$AF$11)),
         0)</f>
        <v>0</v>
      </c>
      <c r="AS70" s="453">
        <f ca="1">IF(AND($D70="Serviço",AS$12&lt;&gt;0,$H70&gt;0,OR(AUTOEVENTO&lt;&gt;"manual",$M70&lt;&gt;$A$15)),
        IF(Import.TipoArredondamento&lt;&gt;"TransfereGOV",
              ROUND(OFFSET($P70,0,AS$13),15-13*ORÇAMENTO!$AF$7)/$H70*OFFSET(ORÇAMENTO!$X$15,ROW(AS70)-ROW(AS$15),0),
              ROUND(ROUND(OFFSET($P70,0,AS$13),15-13*ORÇAMENTO!$AF$7)*OFFSET(ORÇAMENTO!$W$15,ROW(AS70)-ROW(AS$15),0),15-13*ORÇAMENTO!$AF$11)),
         0)</f>
        <v>0</v>
      </c>
      <c r="AT70" s="453">
        <f ca="1">IF(AND($D70="Serviço",AT$12&lt;&gt;0,$H70&gt;0,OR(AUTOEVENTO&lt;&gt;"manual",$M70&lt;&gt;$A$15)),
        IF(Import.TipoArredondamento&lt;&gt;"TransfereGOV",
              ROUND(OFFSET($P70,0,AT$13),15-13*ORÇAMENTO!$AF$7)/$H70*OFFSET(ORÇAMENTO!$X$15,ROW(AT70)-ROW(AT$15),0),
              ROUND(ROUND(OFFSET($P70,0,AT$13),15-13*ORÇAMENTO!$AF$7)*OFFSET(ORÇAMENTO!$W$15,ROW(AT70)-ROW(AT$15),0),15-13*ORÇAMENTO!$AF$11)),
         0)</f>
        <v>0</v>
      </c>
      <c r="AU70" s="453">
        <f ca="1">IF(AND($D70="Serviço",AU$12&lt;&gt;0,$H70&gt;0,OR(AUTOEVENTO&lt;&gt;"manual",$M70&lt;&gt;$A$15)),
        IF(Import.TipoArredondamento&lt;&gt;"TransfereGOV",
              ROUND(OFFSET($P70,0,AU$13),15-13*ORÇAMENTO!$AF$7)/$H70*OFFSET(ORÇAMENTO!$X$15,ROW(AU70)-ROW(AU$15),0),
              ROUND(ROUND(OFFSET($P70,0,AU$13),15-13*ORÇAMENTO!$AF$7)*OFFSET(ORÇAMENTO!$W$15,ROW(AU70)-ROW(AU$15),0),15-13*ORÇAMENTO!$AF$11)),
         0)</f>
        <v>0</v>
      </c>
      <c r="AV70" s="453">
        <f ca="1">IF(AND($D70="Serviço",AV$12&lt;&gt;0,$H70&gt;0,OR(AUTOEVENTO&lt;&gt;"manual",$M70&lt;&gt;$A$15)),
        IF(Import.TipoArredondamento&lt;&gt;"TransfereGOV",
              ROUND(OFFSET($P70,0,AV$13),15-13*ORÇAMENTO!$AF$7)/$H70*OFFSET(ORÇAMENTO!$X$15,ROW(AV70)-ROW(AV$15),0),
              ROUND(ROUND(OFFSET($P70,0,AV$13),15-13*ORÇAMENTO!$AF$7)*OFFSET(ORÇAMENTO!$W$15,ROW(AV70)-ROW(AV$15),0),15-13*ORÇAMENTO!$AF$11)),
         0)</f>
        <v>0</v>
      </c>
      <c r="AW70" s="453">
        <f ca="1">IF(AND($D70="Serviço",AW$12&lt;&gt;0,$H70&gt;0,OR(AUTOEVENTO&lt;&gt;"manual",$M70&lt;&gt;$A$15)),
        IF(Import.TipoArredondamento&lt;&gt;"TransfereGOV",
              ROUND(OFFSET($P70,0,AW$13),15-13*ORÇAMENTO!$AF$7)/$H70*OFFSET(ORÇAMENTO!$X$15,ROW(AW70)-ROW(AW$15),0),
              ROUND(ROUND(OFFSET($P70,0,AW$13),15-13*ORÇAMENTO!$AF$7)*OFFSET(ORÇAMENTO!$W$15,ROW(AW70)-ROW(AW$15),0),15-13*ORÇAMENTO!$AF$11)),
         0)</f>
        <v>0</v>
      </c>
      <c r="AX70" s="453">
        <f ca="1">IF(AND($D70="Serviço",AX$12&lt;&gt;0,$H70&gt;0,OR(AUTOEVENTO&lt;&gt;"manual",$M70&lt;&gt;$A$15)),
        IF(Import.TipoArredondamento&lt;&gt;"TransfereGOV",
              ROUND(OFFSET($P70,0,AX$13),15-13*ORÇAMENTO!$AF$7)/$H70*OFFSET(ORÇAMENTO!$X$15,ROW(AX70)-ROW(AX$15),0),
              ROUND(ROUND(OFFSET($P70,0,AX$13),15-13*ORÇAMENTO!$AF$7)*OFFSET(ORÇAMENTO!$W$15,ROW(AX70)-ROW(AX$15),0),15-13*ORÇAMENTO!$AF$11)),
         0)</f>
        <v>0</v>
      </c>
      <c r="AY70" s="453">
        <f ca="1">IF(AND($D70="Serviço",AY$12&lt;&gt;0,$H70&gt;0,OR(AUTOEVENTO&lt;&gt;"manual",$M70&lt;&gt;$A$15)),
        IF(Import.TipoArredondamento&lt;&gt;"TransfereGOV",
              ROUND(OFFSET($P70,0,AY$13),15-13*ORÇAMENTO!$AF$7)/$H70*OFFSET(ORÇAMENTO!$X$15,ROW(AY70)-ROW(AY$15),0),
              ROUND(ROUND(OFFSET($P70,0,AY$13),15-13*ORÇAMENTO!$AF$7)*OFFSET(ORÇAMENTO!$W$15,ROW(AY70)-ROW(AY$15),0),15-13*ORÇAMENTO!$AF$11)),
         0)</f>
        <v>0</v>
      </c>
      <c r="AZ70" s="453">
        <f ca="1">IF(AND($D70="Serviço",AZ$12&lt;&gt;0,$H70&gt;0,OR(AUTOEVENTO&lt;&gt;"manual",$M70&lt;&gt;$A$15)),
        IF(Import.TipoArredondamento&lt;&gt;"TransfereGOV",
              ROUND(OFFSET($P70,0,AZ$13),15-13*ORÇAMENTO!$AF$7)/$H70*OFFSET(ORÇAMENTO!$X$15,ROW(AZ70)-ROW(AZ$15),0),
              ROUND(ROUND(OFFSET($P70,0,AZ$13),15-13*ORÇAMENTO!$AF$7)*OFFSET(ORÇAMENTO!$W$15,ROW(AZ70)-ROW(AZ$15),0),15-13*ORÇAMENTO!$AF$11)),
         0)</f>
        <v>0</v>
      </c>
      <c r="BA70" s="453">
        <f ca="1">IF(AND($D70="Serviço",BA$12&lt;&gt;0,$H70&gt;0,OR(AUTOEVENTO&lt;&gt;"manual",$M70&lt;&gt;$A$15)),
        IF(Import.TipoArredondamento&lt;&gt;"TransfereGOV",
              ROUND(OFFSET($P70,0,BA$13),15-13*ORÇAMENTO!$AF$7)/$H70*OFFSET(ORÇAMENTO!$X$15,ROW(BA70)-ROW(BA$15),0),
              ROUND(ROUND(OFFSET($P70,0,BA$13),15-13*ORÇAMENTO!$AF$7)*OFFSET(ORÇAMENTO!$W$15,ROW(BA70)-ROW(BA$15),0),15-13*ORÇAMENTO!$AF$11)),
         0)</f>
        <v>0</v>
      </c>
      <c r="BC70" s="171">
        <f ca="1">IF(OR($D70&lt;&gt;"Serviço",AND(AUTOEVENTO="Manual",$M70=$A$15)),0,
         IF(OFFSET(CRONOPLE!$F$15,$M70-$A$15,BC$13)=0,10^12,OFFSET(CRONOPLE!$F$15,$M70-$A$15,BC$13)))</f>
        <v>1000000000000</v>
      </c>
      <c r="BD70" s="171">
        <f ca="1">IF(OR($D70&lt;&gt;"Serviço",AND(AUTOEVENTO="Manual",$M70=$A$15)),0,
         IF(OFFSET(CRONOPLE!$F$15,$M70-$A$15,BD$13)=0,10^12,OFFSET(CRONOPLE!$F$15,$M70-$A$15,BD$13)))</f>
        <v>1000000000000</v>
      </c>
      <c r="BE70" s="171">
        <f ca="1">IF(OR($D70&lt;&gt;"Serviço",AND(AUTOEVENTO="Manual",$M70=$A$15)),0,
         IF(OFFSET(CRONOPLE!$F$15,$M70-$A$15,BE$13)=0,10^12,OFFSET(CRONOPLE!$F$15,$M70-$A$15,BE$13)))</f>
        <v>1000000000000</v>
      </c>
      <c r="BF70" s="171">
        <f ca="1">IF(OR($D70&lt;&gt;"Serviço",AND(AUTOEVENTO="Manual",$M70=$A$15)),0,
         IF(OFFSET(CRONOPLE!$F$15,$M70-$A$15,BF$13)=0,10^12,OFFSET(CRONOPLE!$F$15,$M70-$A$15,BF$13)))</f>
        <v>1</v>
      </c>
      <c r="BG70" s="171">
        <f ca="1">IF(OR($D70&lt;&gt;"Serviço",AND(AUTOEVENTO="Manual",$M70=$A$15)),0,
         IF(OFFSET(CRONOPLE!$F$15,$M70-$A$15,BG$13)=0,10^12,OFFSET(CRONOPLE!$F$15,$M70-$A$15,BG$13)))</f>
        <v>1000000000000</v>
      </c>
      <c r="BH70" s="171">
        <f ca="1">IF(OR($D70&lt;&gt;"Serviço",AND(AUTOEVENTO="Manual",$M70=$A$15)),0,
         IF(OFFSET(CRONOPLE!$F$15,$M70-$A$15,BH$13)=0,10^12,OFFSET(CRONOPLE!$F$15,$M70-$A$15,BH$13)))</f>
        <v>1000000000000</v>
      </c>
      <c r="BI70" s="171">
        <f ca="1">IF(OR($D70&lt;&gt;"Serviço",AND(AUTOEVENTO="Manual",$M70=$A$15)),0,
         IF(OFFSET(CRONOPLE!$F$15,$M70-$A$15,BI$13)=0,10^12,OFFSET(CRONOPLE!$F$15,$M70-$A$15,BI$13)))</f>
        <v>1000000000000</v>
      </c>
      <c r="BJ70" s="171">
        <f ca="1">IF(OR($D70&lt;&gt;"Serviço",AND(AUTOEVENTO="Manual",$M70=$A$15)),0,
         IF(OFFSET(CRONOPLE!$F$15,$M70-$A$15,BJ$13)=0,10^12,OFFSET(CRONOPLE!$F$15,$M70-$A$15,BJ$13)))</f>
        <v>1000000000000</v>
      </c>
      <c r="BK70" s="171">
        <f ca="1">IF(OR($D70&lt;&gt;"Serviço",AND(AUTOEVENTO="Manual",$M70=$A$15)),0,
         IF(OFFSET(CRONOPLE!$F$15,$M70-$A$15,BK$13)=0,10^12,OFFSET(CRONOPLE!$F$15,$M70-$A$15,BK$13)))</f>
        <v>1000000000000</v>
      </c>
      <c r="BL70" s="171">
        <f ca="1">IF(OR($D70&lt;&gt;"Serviço",AND(AUTOEVENTO="Manual",$M70=$A$15)),0,
         IF(OFFSET(CRONOPLE!$F$15,$M70-$A$15,BL$13)=0,10^12,OFFSET(CRONOPLE!$F$15,$M70-$A$15,BL$13)))</f>
        <v>1000000000000</v>
      </c>
      <c r="BM70" s="171">
        <f ca="1">IF(OR($D70&lt;&gt;"Serviço",AND(AUTOEVENTO="Manual",$M70=$A$15)),0,
         IF(OFFSET(CRONOPLE!$F$15,$M70-$A$15,BM$13)=0,10^12,OFFSET(CRONOPLE!$F$15,$M70-$A$15,BM$13)))</f>
        <v>1000000000000</v>
      </c>
      <c r="BN70" s="171">
        <f ca="1">IF(OR($D70&lt;&gt;"Serviço",AND(AUTOEVENTO="Manual",$M70=$A$15)),0,
         IF(OFFSET(CRONOPLE!$F$15,$M70-$A$15,BN$13)=0,10^12,OFFSET(CRONOPLE!$F$15,$M70-$A$15,BN$13)))</f>
        <v>1000000000000</v>
      </c>
      <c r="BO70" s="171">
        <f ca="1">IF(OR($D70&lt;&gt;"Serviço",AND(AUTOEVENTO="Manual",$M70=$A$15)),0,
         IF(OFFSET(CRONOPLE!$F$15,$M70-$A$15,BO$13)=0,10^12,OFFSET(CRONOPLE!$F$15,$M70-$A$15,BO$13)))</f>
        <v>1000000000000</v>
      </c>
      <c r="BP70" s="171">
        <f ca="1">IF(OR($D70&lt;&gt;"Serviço",AND(AUTOEVENTO="Manual",$M70=$A$15)),0,
         IF(OFFSET(CRONOPLE!$F$15,$M70-$A$15,BP$13)=0,10^12,OFFSET(CRONOPLE!$F$15,$M70-$A$15,BP$13)))</f>
        <v>1000000000000</v>
      </c>
      <c r="BQ70" s="171">
        <f ca="1">IF(OR($D70&lt;&gt;"Serviço",AND(AUTOEVENTO="Manual",$M70=$A$15)),0,
         IF(OFFSET(CRONOPLE!$F$15,$M70-$A$15,BQ$13)=0,10^12,OFFSET(CRONOPLE!$F$15,$M70-$A$15,BQ$13)))</f>
        <v>1000000000000</v>
      </c>
      <c r="BR70" s="171">
        <f ca="1">IF(OR($D70&lt;&gt;"Serviço",AND(AUTOEVENTO="Manual",$M70=$A$15)),0,
         IF(OFFSET(CRONOPLE!$F$15,$M70-$A$15,BR$13)=0,10^12,OFFSET(CRONOPLE!$F$15,$M70-$A$15,BR$13)))</f>
        <v>1000000000000</v>
      </c>
      <c r="BS70" s="171">
        <f ca="1">IF(OR($D70&lt;&gt;"Serviço",AND(AUTOEVENTO="Manual",$M70=$A$15)),0,
         IF(OFFSET(CRONOPLE!$F$15,$M70-$A$15,BS$13)=0,10^12,OFFSET(CRONOPLE!$F$15,$M70-$A$15,BS$13)))</f>
        <v>1000000000000</v>
      </c>
      <c r="BT70" s="171">
        <f ca="1">IF(OR($D70&lt;&gt;"Serviço",AND(AUTOEVENTO="Manual",$M70=$A$15)),0,
         IF(OFFSET(CRONOPLE!$F$15,$M70-$A$15,BT$13)=0,10^12,OFFSET(CRONOPLE!$F$15,$M70-$A$15,BT$13)))</f>
        <v>1000000000000</v>
      </c>
      <c r="BV70" s="172">
        <f ca="1">IF(OR($D70&lt;&gt;"Serviço",AND(AUTOEVENTO="Manual",$M70=$A$15),$M70&gt;(ROW(PLE.lastrow)-ROW(PLE.firstrow))),0,
           IF(OFFSET(PLE!$G$15,$M70-$A$15,BV$13)="",10^12,OFFSET(PLE!$G$15,$M70-$A$15,BV$13)))</f>
        <v>1000000000000</v>
      </c>
      <c r="BW70" s="172">
        <f ca="1">IF(OR($D70&lt;&gt;"Serviço",AND(AUTOEVENTO="Manual",$M70=$A$15),$M70&gt;(ROW(PLE.lastrow)-ROW(PLE.firstrow))),0,
           IF(OFFSET(PLE!$G$15,$M70-$A$15,BW$13)="",10^12,OFFSET(PLE!$G$15,$M70-$A$15,BW$13)))</f>
        <v>1000000000000</v>
      </c>
      <c r="BX70" s="172">
        <f ca="1">IF(OR($D70&lt;&gt;"Serviço",AND(AUTOEVENTO="Manual",$M70=$A$15),$M70&gt;(ROW(PLE.lastrow)-ROW(PLE.firstrow))),0,
           IF(OFFSET(PLE!$G$15,$M70-$A$15,BX$13)="",10^12,OFFSET(PLE!$G$15,$M70-$A$15,BX$13)))</f>
        <v>1000000000000</v>
      </c>
      <c r="BY70" s="172">
        <f ca="1">IF(OR($D70&lt;&gt;"Serviço",AND(AUTOEVENTO="Manual",$M70=$A$15),$M70&gt;(ROW(PLE.lastrow)-ROW(PLE.firstrow))),0,
           IF(OFFSET(PLE!$G$15,$M70-$A$15,BY$13)="",10^12,OFFSET(PLE!$G$15,$M70-$A$15,BY$13)))</f>
        <v>1000000000000</v>
      </c>
      <c r="BZ70" s="172">
        <f ca="1">IF(OR($D70&lt;&gt;"Serviço",AND(AUTOEVENTO="Manual",$M70=$A$15),$M70&gt;(ROW(PLE.lastrow)-ROW(PLE.firstrow))),0,
           IF(OFFSET(PLE!$G$15,$M70-$A$15,BZ$13)="",10^12,OFFSET(PLE!$G$15,$M70-$A$15,BZ$13)))</f>
        <v>1000000000000</v>
      </c>
      <c r="CA70" s="172">
        <f ca="1">IF(OR($D70&lt;&gt;"Serviço",AND(AUTOEVENTO="Manual",$M70=$A$15),$M70&gt;(ROW(PLE.lastrow)-ROW(PLE.firstrow))),0,
           IF(OFFSET(PLE!$G$15,$M70-$A$15,CA$13)="",10^12,OFFSET(PLE!$G$15,$M70-$A$15,CA$13)))</f>
        <v>1000000000000</v>
      </c>
      <c r="CB70" s="172">
        <f ca="1">IF(OR($D70&lt;&gt;"Serviço",AND(AUTOEVENTO="Manual",$M70=$A$15),$M70&gt;(ROW(PLE.lastrow)-ROW(PLE.firstrow))),0,
           IF(OFFSET(PLE!$G$15,$M70-$A$15,CB$13)="",10^12,OFFSET(PLE!$G$15,$M70-$A$15,CB$13)))</f>
        <v>1000000000000</v>
      </c>
      <c r="CC70" s="172">
        <f ca="1">IF(OR($D70&lt;&gt;"Serviço",AND(AUTOEVENTO="Manual",$M70=$A$15),$M70&gt;(ROW(PLE.lastrow)-ROW(PLE.firstrow))),0,
           IF(OFFSET(PLE!$G$15,$M70-$A$15,CC$13)="",10^12,OFFSET(PLE!$G$15,$M70-$A$15,CC$13)))</f>
        <v>1000000000000</v>
      </c>
      <c r="CD70" s="172">
        <f ca="1">IF(OR($D70&lt;&gt;"Serviço",AND(AUTOEVENTO="Manual",$M70=$A$15),$M70&gt;(ROW(PLE.lastrow)-ROW(PLE.firstrow))),0,
           IF(OFFSET(PLE!$G$15,$M70-$A$15,CD$13)="",10^12,OFFSET(PLE!$G$15,$M70-$A$15,CD$13)))</f>
        <v>1000000000000</v>
      </c>
      <c r="CE70" s="172">
        <f ca="1">IF(OR($D70&lt;&gt;"Serviço",AND(AUTOEVENTO="Manual",$M70=$A$15),$M70&gt;(ROW(PLE.lastrow)-ROW(PLE.firstrow))),0,
           IF(OFFSET(PLE!$G$15,$M70-$A$15,CE$13)="",10^12,OFFSET(PLE!$G$15,$M70-$A$15,CE$13)))</f>
        <v>1000000000000</v>
      </c>
      <c r="CF70" s="172">
        <f ca="1">IF(OR($D70&lt;&gt;"Serviço",AND(AUTOEVENTO="Manual",$M70=$A$15),$M70&gt;(ROW(PLE.lastrow)-ROW(PLE.firstrow))),0,
           IF(OFFSET(PLE!$G$15,$M70-$A$15,CF$13)="",10^12,OFFSET(PLE!$G$15,$M70-$A$15,CF$13)))</f>
        <v>1000000000000</v>
      </c>
      <c r="CG70" s="172">
        <f ca="1">IF(OR($D70&lt;&gt;"Serviço",AND(AUTOEVENTO="Manual",$M70=$A$15),$M70&gt;(ROW(PLE.lastrow)-ROW(PLE.firstrow))),0,
           IF(OFFSET(PLE!$G$15,$M70-$A$15,CG$13)="",10^12,OFFSET(PLE!$G$15,$M70-$A$15,CG$13)))</f>
        <v>1000000000000</v>
      </c>
      <c r="CH70" s="172">
        <f ca="1">IF(OR($D70&lt;&gt;"Serviço",AND(AUTOEVENTO="Manual",$M70=$A$15),$M70&gt;(ROW(PLE.lastrow)-ROW(PLE.firstrow))),0,
           IF(OFFSET(PLE!$G$15,$M70-$A$15,CH$13)="",10^12,OFFSET(PLE!$G$15,$M70-$A$15,CH$13)))</f>
        <v>1000000000000</v>
      </c>
      <c r="CI70" s="172">
        <f ca="1">IF(OR($D70&lt;&gt;"Serviço",AND(AUTOEVENTO="Manual",$M70=$A$15),$M70&gt;(ROW(PLE.lastrow)-ROW(PLE.firstrow))),0,
           IF(OFFSET(PLE!$G$15,$M70-$A$15,CI$13)="",10^12,OFFSET(PLE!$G$15,$M70-$A$15,CI$13)))</f>
        <v>1000000000000</v>
      </c>
      <c r="CJ70" s="172">
        <f ca="1">IF(OR($D70&lt;&gt;"Serviço",AND(AUTOEVENTO="Manual",$M70=$A$15),$M70&gt;(ROW(PLE.lastrow)-ROW(PLE.firstrow))),0,
           IF(OFFSET(PLE!$G$15,$M70-$A$15,CJ$13)="",10^12,OFFSET(PLE!$G$15,$M70-$A$15,CJ$13)))</f>
        <v>1000000000000</v>
      </c>
      <c r="CK70" s="172">
        <f ca="1">IF(OR($D70&lt;&gt;"Serviço",AND(AUTOEVENTO="Manual",$M70=$A$15),$M70&gt;(ROW(PLE.lastrow)-ROW(PLE.firstrow))),0,
           IF(OFFSET(PLE!$G$15,$M70-$A$15,CK$13)="",10^12,OFFSET(PLE!$G$15,$M70-$A$15,CK$13)))</f>
        <v>1000000000000</v>
      </c>
      <c r="CL70" s="172">
        <f ca="1">IF(OR($D70&lt;&gt;"Serviço",AND(AUTOEVENTO="Manual",$M70=$A$15),$M70&gt;(ROW(PLE.lastrow)-ROW(PLE.firstrow))),0,
           IF(OFFSET(PLE!$G$15,$M70-$A$15,CL$13)="",10^12,OFFSET(PLE!$G$15,$M70-$A$15,CL$13)))</f>
        <v>1000000000000</v>
      </c>
      <c r="CM70" s="172">
        <f ca="1">IF(OR($D70&lt;&gt;"Serviço",AND(AUTOEVENTO="Manual",$M70=$A$15),$M70&gt;(ROW(PLE.lastrow)-ROW(PLE.firstrow))),0,
           IF(OFFSET(PLE!$G$15,$M70-$A$15,CM$13)="",10^12,OFFSET(PLE!$G$15,$M70-$A$15,CM$13)))</f>
        <v>1000000000000</v>
      </c>
    </row>
    <row r="71" spans="1:91" ht="13.2" x14ac:dyDescent="0.25">
      <c r="A71" s="7" t="str">
        <f t="shared" ca="1" si="11"/>
        <v>51</v>
      </c>
      <c r="B71" s="7" t="str">
        <f ca="1">OFFSET(ORÇAMENTO!C$15,ROW(B71)-ROW(B$15),0)</f>
        <v>S</v>
      </c>
      <c r="C71" s="7" t="str">
        <f ca="1">OFFSET(ORÇAMENTO!L$15,ROW(C71)-ROW(C$15),0)</f>
        <v>F</v>
      </c>
      <c r="D71" s="116" t="str">
        <f ca="1">OFFSET(ORÇAMENTO!N$15,ROW(D71)-ROW(D$15),0)</f>
        <v>Serviço</v>
      </c>
      <c r="E71" s="117" t="str">
        <f ca="1">OFFSET(ORÇAMENTO!O$15,ROW(E71)-ROW(E$15),0)</f>
        <v>2.3.5.</v>
      </c>
      <c r="F71" s="163" t="str">
        <f ca="1">OFFSET(ORÇAMENTO!R$15,ROW(F71)-ROW(F$15),0)</f>
        <v>Transporte com caminhão basculante de 10 m³ - rodovia pavimentada</v>
      </c>
      <c r="G71" s="164" t="str">
        <f ca="1">IF($D71&lt;&gt;"Serviço","",OFFSET(ORÇAMENTO!S$15,ROW(G71)-ROW(G$15),0))</f>
        <v>tkm</v>
      </c>
      <c r="H71" s="122" cm="1">
        <f t="array" aca="1" ref="H71" ca="1">IF($D71&lt;&gt;"Serviço",0,IF(ACOMPANHAMENTO="BM",ROUND(OFFSET(ORÇAMENTO!AJ$15,ROW(H71)-ROW(H$15),0),15-13*ORÇAMENTO!$AF$7),SUMPRODUCT(($Q$1:$AI$1=1)*ROUND($Q71:$AI71,15-13*ORÇAMENTO!$AF$7))))</f>
        <v>3333.96</v>
      </c>
      <c r="I71" s="468"/>
      <c r="J71" s="651" t="e" cm="1">
        <f t="array" aca="1" ref="J71" ca="1">IF(OR(B71&lt;&gt;"S",CÁLCULO.FrentesPreenchidas=0),"",IF(AND(ACOMPANHAMENTO="PLE",AUTOEVENTO="Manual",OR(H71&gt;0,ORÇAMENTO!AC71="QUANT."),OR(K71="",M71=0,N71="")),"►E",IF(AND(ACOMPANHAMENTO="PLE",ORÇAMENTO!AC71="QUANT."),"►Q",IF(AND(ACOMPANHAMENTO="PLE",H71&lt;&gt;SUMPRODUCT(($Q$1:$AI$1=1)*ROUND(Q71:AI71,15))),"►S",IF(AND(COUNTIF($P$11:$AI$11,"▼")=0,H71&gt;0,I71=""),"◄M","")))))</f>
        <v>#NAME?</v>
      </c>
      <c r="K71" s="652"/>
      <c r="L71" s="165" t="s">
        <v>764</v>
      </c>
      <c r="M71" s="166">
        <f ca="1">IF($D71&lt;&gt;"Serviço","",
          IF(AUTOEVENTO="manual",$A71,
                IF(ISERROR(MATCH($A71,$A$15:OFFSET($A71,-1,0),0)),MAX($M$15:OFFSET(M71,-1,0))+1,
                      INDEX($M$15:OFFSET(M71,-1,0),MATCH($A71,$A$15:OFFSET($A71,-1,0),0)))))</f>
        <v>10</v>
      </c>
      <c r="N71" s="167" t="str">
        <f ca="1">IF($D71&lt;&gt;"Serviço","",
         IF(AUTOEVENTO="Manual",
                IF($A71=0,"&lt;-- defina o número do agrupador",
                       OFFSET(EVENTOS!$D$15,$A71-$A$15,0)),
                OFFSET($F$15,$A71,0)))</f>
        <v>CAMADA DE REPERFILAMENTO</v>
      </c>
      <c r="O71" s="168"/>
      <c r="Q71" s="168"/>
      <c r="R71" s="169"/>
      <c r="S71" s="169"/>
      <c r="T71" s="169">
        <f>T70*21</f>
        <v>3333.96</v>
      </c>
      <c r="U71" s="169"/>
      <c r="V71" s="169"/>
      <c r="W71" s="169"/>
      <c r="X71" s="169"/>
      <c r="Y71" s="169"/>
      <c r="Z71" s="170"/>
      <c r="AA71" s="169"/>
      <c r="AB71" s="169"/>
      <c r="AC71" s="169"/>
      <c r="AD71" s="169"/>
      <c r="AE71" s="169"/>
      <c r="AF71" s="169"/>
      <c r="AG71" s="169"/>
      <c r="AH71" s="170"/>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L71" s="453">
        <f ca="1">IF(AND($D71="Serviço",AL$12&lt;&gt;0,$H71&gt;0,OR(AUTOEVENTO&lt;&gt;"manual",$M71&lt;&gt;$A$15)),
        IF(Import.TipoArredondamento&lt;&gt;"TransfereGOV",
              ROUND(OFFSET($P71,0,AL$13),15-13*ORÇAMENTO!$AF$7)/$H71*OFFSET(ORÇAMENTO!$X$15,ROW(AL71)-ROW(AL$15),0),
              ROUND(ROUND(OFFSET($P71,0,AL$13),15-13*ORÇAMENTO!$AF$7)*OFFSET(ORÇAMENTO!$W$15,ROW(AL71)-ROW(AL$15),0),15-13*ORÇAMENTO!$AF$11)),
         0)</f>
        <v>0</v>
      </c>
      <c r="AM71" s="453">
        <f ca="1">IF(AND($D71="Serviço",AM$12&lt;&gt;0,$H71&gt;0,OR(AUTOEVENTO&lt;&gt;"manual",$M71&lt;&gt;$A$15)),
        IF(Import.TipoArredondamento&lt;&gt;"TransfereGOV",
              ROUND(OFFSET($P71,0,AM$13),15-13*ORÇAMENTO!$AF$7)/$H71*OFFSET(ORÇAMENTO!$X$15,ROW(AM71)-ROW(AM$15),0),
              ROUND(ROUND(OFFSET($P71,0,AM$13),15-13*ORÇAMENTO!$AF$7)*OFFSET(ORÇAMENTO!$W$15,ROW(AM71)-ROW(AM$15),0),15-13*ORÇAMENTO!$AF$11)),
         0)</f>
        <v>3367.3</v>
      </c>
      <c r="AN71" s="453">
        <f ca="1">IF(AND($D71="Serviço",AN$12&lt;&gt;0,$H71&gt;0,OR(AUTOEVENTO&lt;&gt;"manual",$M71&lt;&gt;$A$15)),
        IF(Import.TipoArredondamento&lt;&gt;"TransfereGOV",
              ROUND(OFFSET($P71,0,AN$13),15-13*ORÇAMENTO!$AF$7)/$H71*OFFSET(ORÇAMENTO!$X$15,ROW(AN71)-ROW(AN$15),0),
              ROUND(ROUND(OFFSET($P71,0,AN$13),15-13*ORÇAMENTO!$AF$7)*OFFSET(ORÇAMENTO!$W$15,ROW(AN71)-ROW(AN$15),0),15-13*ORÇAMENTO!$AF$11)),
         0)</f>
        <v>0</v>
      </c>
      <c r="AO71" s="453">
        <f ca="1">IF(AND($D71="Serviço",AO$12&lt;&gt;0,$H71&gt;0,OR(AUTOEVENTO&lt;&gt;"manual",$M71&lt;&gt;$A$15)),
        IF(Import.TipoArredondamento&lt;&gt;"TransfereGOV",
              ROUND(OFFSET($P71,0,AO$13),15-13*ORÇAMENTO!$AF$7)/$H71*OFFSET(ORÇAMENTO!$X$15,ROW(AO71)-ROW(AO$15),0),
              ROUND(ROUND(OFFSET($P71,0,AO$13),15-13*ORÇAMENTO!$AF$7)*OFFSET(ORÇAMENTO!$W$15,ROW(AO71)-ROW(AO$15),0),15-13*ORÇAMENTO!$AF$11)),
         0)</f>
        <v>0</v>
      </c>
      <c r="AP71" s="453">
        <f ca="1">IF(AND($D71="Serviço",AP$12&lt;&gt;0,$H71&gt;0,OR(AUTOEVENTO&lt;&gt;"manual",$M71&lt;&gt;$A$15)),
        IF(Import.TipoArredondamento&lt;&gt;"TransfereGOV",
              ROUND(OFFSET($P71,0,AP$13),15-13*ORÇAMENTO!$AF$7)/$H71*OFFSET(ORÇAMENTO!$X$15,ROW(AP71)-ROW(AP$15),0),
              ROUND(ROUND(OFFSET($P71,0,AP$13),15-13*ORÇAMENTO!$AF$7)*OFFSET(ORÇAMENTO!$W$15,ROW(AP71)-ROW(AP$15),0),15-13*ORÇAMENTO!$AF$11)),
         0)</f>
        <v>0</v>
      </c>
      <c r="AQ71" s="453">
        <f ca="1">IF(AND($D71="Serviço",AQ$12&lt;&gt;0,$H71&gt;0,OR(AUTOEVENTO&lt;&gt;"manual",$M71&lt;&gt;$A$15)),
        IF(Import.TipoArredondamento&lt;&gt;"TransfereGOV",
              ROUND(OFFSET($P71,0,AQ$13),15-13*ORÇAMENTO!$AF$7)/$H71*OFFSET(ORÇAMENTO!$X$15,ROW(AQ71)-ROW(AQ$15),0),
              ROUND(ROUND(OFFSET($P71,0,AQ$13),15-13*ORÇAMENTO!$AF$7)*OFFSET(ORÇAMENTO!$W$15,ROW(AQ71)-ROW(AQ$15),0),15-13*ORÇAMENTO!$AF$11)),
         0)</f>
        <v>0</v>
      </c>
      <c r="AR71" s="453">
        <f ca="1">IF(AND($D71="Serviço",AR$12&lt;&gt;0,$H71&gt;0,OR(AUTOEVENTO&lt;&gt;"manual",$M71&lt;&gt;$A$15)),
        IF(Import.TipoArredondamento&lt;&gt;"TransfereGOV",
              ROUND(OFFSET($P71,0,AR$13),15-13*ORÇAMENTO!$AF$7)/$H71*OFFSET(ORÇAMENTO!$X$15,ROW(AR71)-ROW(AR$15),0),
              ROUND(ROUND(OFFSET($P71,0,AR$13),15-13*ORÇAMENTO!$AF$7)*OFFSET(ORÇAMENTO!$W$15,ROW(AR71)-ROW(AR$15),0),15-13*ORÇAMENTO!$AF$11)),
         0)</f>
        <v>0</v>
      </c>
      <c r="AS71" s="453">
        <f ca="1">IF(AND($D71="Serviço",AS$12&lt;&gt;0,$H71&gt;0,OR(AUTOEVENTO&lt;&gt;"manual",$M71&lt;&gt;$A$15)),
        IF(Import.TipoArredondamento&lt;&gt;"TransfereGOV",
              ROUND(OFFSET($P71,0,AS$13),15-13*ORÇAMENTO!$AF$7)/$H71*OFFSET(ORÇAMENTO!$X$15,ROW(AS71)-ROW(AS$15),0),
              ROUND(ROUND(OFFSET($P71,0,AS$13),15-13*ORÇAMENTO!$AF$7)*OFFSET(ORÇAMENTO!$W$15,ROW(AS71)-ROW(AS$15),0),15-13*ORÇAMENTO!$AF$11)),
         0)</f>
        <v>0</v>
      </c>
      <c r="AT71" s="453">
        <f ca="1">IF(AND($D71="Serviço",AT$12&lt;&gt;0,$H71&gt;0,OR(AUTOEVENTO&lt;&gt;"manual",$M71&lt;&gt;$A$15)),
        IF(Import.TipoArredondamento&lt;&gt;"TransfereGOV",
              ROUND(OFFSET($P71,0,AT$13),15-13*ORÇAMENTO!$AF$7)/$H71*OFFSET(ORÇAMENTO!$X$15,ROW(AT71)-ROW(AT$15),0),
              ROUND(ROUND(OFFSET($P71,0,AT$13),15-13*ORÇAMENTO!$AF$7)*OFFSET(ORÇAMENTO!$W$15,ROW(AT71)-ROW(AT$15),0),15-13*ORÇAMENTO!$AF$11)),
         0)</f>
        <v>0</v>
      </c>
      <c r="AU71" s="453">
        <f ca="1">IF(AND($D71="Serviço",AU$12&lt;&gt;0,$H71&gt;0,OR(AUTOEVENTO&lt;&gt;"manual",$M71&lt;&gt;$A$15)),
        IF(Import.TipoArredondamento&lt;&gt;"TransfereGOV",
              ROUND(OFFSET($P71,0,AU$13),15-13*ORÇAMENTO!$AF$7)/$H71*OFFSET(ORÇAMENTO!$X$15,ROW(AU71)-ROW(AU$15),0),
              ROUND(ROUND(OFFSET($P71,0,AU$13),15-13*ORÇAMENTO!$AF$7)*OFFSET(ORÇAMENTO!$W$15,ROW(AU71)-ROW(AU$15),0),15-13*ORÇAMENTO!$AF$11)),
         0)</f>
        <v>0</v>
      </c>
      <c r="AV71" s="453">
        <f ca="1">IF(AND($D71="Serviço",AV$12&lt;&gt;0,$H71&gt;0,OR(AUTOEVENTO&lt;&gt;"manual",$M71&lt;&gt;$A$15)),
        IF(Import.TipoArredondamento&lt;&gt;"TransfereGOV",
              ROUND(OFFSET($P71,0,AV$13),15-13*ORÇAMENTO!$AF$7)/$H71*OFFSET(ORÇAMENTO!$X$15,ROW(AV71)-ROW(AV$15),0),
              ROUND(ROUND(OFFSET($P71,0,AV$13),15-13*ORÇAMENTO!$AF$7)*OFFSET(ORÇAMENTO!$W$15,ROW(AV71)-ROW(AV$15),0),15-13*ORÇAMENTO!$AF$11)),
         0)</f>
        <v>0</v>
      </c>
      <c r="AW71" s="453">
        <f ca="1">IF(AND($D71="Serviço",AW$12&lt;&gt;0,$H71&gt;0,OR(AUTOEVENTO&lt;&gt;"manual",$M71&lt;&gt;$A$15)),
        IF(Import.TipoArredondamento&lt;&gt;"TransfereGOV",
              ROUND(OFFSET($P71,0,AW$13),15-13*ORÇAMENTO!$AF$7)/$H71*OFFSET(ORÇAMENTO!$X$15,ROW(AW71)-ROW(AW$15),0),
              ROUND(ROUND(OFFSET($P71,0,AW$13),15-13*ORÇAMENTO!$AF$7)*OFFSET(ORÇAMENTO!$W$15,ROW(AW71)-ROW(AW$15),0),15-13*ORÇAMENTO!$AF$11)),
         0)</f>
        <v>0</v>
      </c>
      <c r="AX71" s="453">
        <f ca="1">IF(AND($D71="Serviço",AX$12&lt;&gt;0,$H71&gt;0,OR(AUTOEVENTO&lt;&gt;"manual",$M71&lt;&gt;$A$15)),
        IF(Import.TipoArredondamento&lt;&gt;"TransfereGOV",
              ROUND(OFFSET($P71,0,AX$13),15-13*ORÇAMENTO!$AF$7)/$H71*OFFSET(ORÇAMENTO!$X$15,ROW(AX71)-ROW(AX$15),0),
              ROUND(ROUND(OFFSET($P71,0,AX$13),15-13*ORÇAMENTO!$AF$7)*OFFSET(ORÇAMENTO!$W$15,ROW(AX71)-ROW(AX$15),0),15-13*ORÇAMENTO!$AF$11)),
         0)</f>
        <v>0</v>
      </c>
      <c r="AY71" s="453">
        <f ca="1">IF(AND($D71="Serviço",AY$12&lt;&gt;0,$H71&gt;0,OR(AUTOEVENTO&lt;&gt;"manual",$M71&lt;&gt;$A$15)),
        IF(Import.TipoArredondamento&lt;&gt;"TransfereGOV",
              ROUND(OFFSET($P71,0,AY$13),15-13*ORÇAMENTO!$AF$7)/$H71*OFFSET(ORÇAMENTO!$X$15,ROW(AY71)-ROW(AY$15),0),
              ROUND(ROUND(OFFSET($P71,0,AY$13),15-13*ORÇAMENTO!$AF$7)*OFFSET(ORÇAMENTO!$W$15,ROW(AY71)-ROW(AY$15),0),15-13*ORÇAMENTO!$AF$11)),
         0)</f>
        <v>0</v>
      </c>
      <c r="AZ71" s="453">
        <f ca="1">IF(AND($D71="Serviço",AZ$12&lt;&gt;0,$H71&gt;0,OR(AUTOEVENTO&lt;&gt;"manual",$M71&lt;&gt;$A$15)),
        IF(Import.TipoArredondamento&lt;&gt;"TransfereGOV",
              ROUND(OFFSET($P71,0,AZ$13),15-13*ORÇAMENTO!$AF$7)/$H71*OFFSET(ORÇAMENTO!$X$15,ROW(AZ71)-ROW(AZ$15),0),
              ROUND(ROUND(OFFSET($P71,0,AZ$13),15-13*ORÇAMENTO!$AF$7)*OFFSET(ORÇAMENTO!$W$15,ROW(AZ71)-ROW(AZ$15),0),15-13*ORÇAMENTO!$AF$11)),
         0)</f>
        <v>0</v>
      </c>
      <c r="BA71" s="453">
        <f ca="1">IF(AND($D71="Serviço",BA$12&lt;&gt;0,$H71&gt;0,OR(AUTOEVENTO&lt;&gt;"manual",$M71&lt;&gt;$A$15)),
        IF(Import.TipoArredondamento&lt;&gt;"TransfereGOV",
              ROUND(OFFSET($P71,0,BA$13),15-13*ORÇAMENTO!$AF$7)/$H71*OFFSET(ORÇAMENTO!$X$15,ROW(BA71)-ROW(BA$15),0),
              ROUND(ROUND(OFFSET($P71,0,BA$13),15-13*ORÇAMENTO!$AF$7)*OFFSET(ORÇAMENTO!$W$15,ROW(BA71)-ROW(BA$15),0),15-13*ORÇAMENTO!$AF$11)),
         0)</f>
        <v>0</v>
      </c>
      <c r="BC71" s="171">
        <f ca="1">IF(OR($D71&lt;&gt;"Serviço",AND(AUTOEVENTO="Manual",$M71=$A$15)),0,
         IF(OFFSET(CRONOPLE!$F$15,$M71-$A$15,BC$13)=0,10^12,OFFSET(CRONOPLE!$F$15,$M71-$A$15,BC$13)))</f>
        <v>1000000000000</v>
      </c>
      <c r="BD71" s="171">
        <f ca="1">IF(OR($D71&lt;&gt;"Serviço",AND(AUTOEVENTO="Manual",$M71=$A$15)),0,
         IF(OFFSET(CRONOPLE!$F$15,$M71-$A$15,BD$13)=0,10^12,OFFSET(CRONOPLE!$F$15,$M71-$A$15,BD$13)))</f>
        <v>1000000000000</v>
      </c>
      <c r="BE71" s="171">
        <f ca="1">IF(OR($D71&lt;&gt;"Serviço",AND(AUTOEVENTO="Manual",$M71=$A$15)),0,
         IF(OFFSET(CRONOPLE!$F$15,$M71-$A$15,BE$13)=0,10^12,OFFSET(CRONOPLE!$F$15,$M71-$A$15,BE$13)))</f>
        <v>1000000000000</v>
      </c>
      <c r="BF71" s="171">
        <f ca="1">IF(OR($D71&lt;&gt;"Serviço",AND(AUTOEVENTO="Manual",$M71=$A$15)),0,
         IF(OFFSET(CRONOPLE!$F$15,$M71-$A$15,BF$13)=0,10^12,OFFSET(CRONOPLE!$F$15,$M71-$A$15,BF$13)))</f>
        <v>1</v>
      </c>
      <c r="BG71" s="171">
        <f ca="1">IF(OR($D71&lt;&gt;"Serviço",AND(AUTOEVENTO="Manual",$M71=$A$15)),0,
         IF(OFFSET(CRONOPLE!$F$15,$M71-$A$15,BG$13)=0,10^12,OFFSET(CRONOPLE!$F$15,$M71-$A$15,BG$13)))</f>
        <v>1000000000000</v>
      </c>
      <c r="BH71" s="171">
        <f ca="1">IF(OR($D71&lt;&gt;"Serviço",AND(AUTOEVENTO="Manual",$M71=$A$15)),0,
         IF(OFFSET(CRONOPLE!$F$15,$M71-$A$15,BH$13)=0,10^12,OFFSET(CRONOPLE!$F$15,$M71-$A$15,BH$13)))</f>
        <v>1000000000000</v>
      </c>
      <c r="BI71" s="171">
        <f ca="1">IF(OR($D71&lt;&gt;"Serviço",AND(AUTOEVENTO="Manual",$M71=$A$15)),0,
         IF(OFFSET(CRONOPLE!$F$15,$M71-$A$15,BI$13)=0,10^12,OFFSET(CRONOPLE!$F$15,$M71-$A$15,BI$13)))</f>
        <v>1000000000000</v>
      </c>
      <c r="BJ71" s="171">
        <f ca="1">IF(OR($D71&lt;&gt;"Serviço",AND(AUTOEVENTO="Manual",$M71=$A$15)),0,
         IF(OFFSET(CRONOPLE!$F$15,$M71-$A$15,BJ$13)=0,10^12,OFFSET(CRONOPLE!$F$15,$M71-$A$15,BJ$13)))</f>
        <v>1000000000000</v>
      </c>
      <c r="BK71" s="171">
        <f ca="1">IF(OR($D71&lt;&gt;"Serviço",AND(AUTOEVENTO="Manual",$M71=$A$15)),0,
         IF(OFFSET(CRONOPLE!$F$15,$M71-$A$15,BK$13)=0,10^12,OFFSET(CRONOPLE!$F$15,$M71-$A$15,BK$13)))</f>
        <v>1000000000000</v>
      </c>
      <c r="BL71" s="171">
        <f ca="1">IF(OR($D71&lt;&gt;"Serviço",AND(AUTOEVENTO="Manual",$M71=$A$15)),0,
         IF(OFFSET(CRONOPLE!$F$15,$M71-$A$15,BL$13)=0,10^12,OFFSET(CRONOPLE!$F$15,$M71-$A$15,BL$13)))</f>
        <v>1000000000000</v>
      </c>
      <c r="BM71" s="171">
        <f ca="1">IF(OR($D71&lt;&gt;"Serviço",AND(AUTOEVENTO="Manual",$M71=$A$15)),0,
         IF(OFFSET(CRONOPLE!$F$15,$M71-$A$15,BM$13)=0,10^12,OFFSET(CRONOPLE!$F$15,$M71-$A$15,BM$13)))</f>
        <v>1000000000000</v>
      </c>
      <c r="BN71" s="171">
        <f ca="1">IF(OR($D71&lt;&gt;"Serviço",AND(AUTOEVENTO="Manual",$M71=$A$15)),0,
         IF(OFFSET(CRONOPLE!$F$15,$M71-$A$15,BN$13)=0,10^12,OFFSET(CRONOPLE!$F$15,$M71-$A$15,BN$13)))</f>
        <v>1000000000000</v>
      </c>
      <c r="BO71" s="171">
        <f ca="1">IF(OR($D71&lt;&gt;"Serviço",AND(AUTOEVENTO="Manual",$M71=$A$15)),0,
         IF(OFFSET(CRONOPLE!$F$15,$M71-$A$15,BO$13)=0,10^12,OFFSET(CRONOPLE!$F$15,$M71-$A$15,BO$13)))</f>
        <v>1000000000000</v>
      </c>
      <c r="BP71" s="171">
        <f ca="1">IF(OR($D71&lt;&gt;"Serviço",AND(AUTOEVENTO="Manual",$M71=$A$15)),0,
         IF(OFFSET(CRONOPLE!$F$15,$M71-$A$15,BP$13)=0,10^12,OFFSET(CRONOPLE!$F$15,$M71-$A$15,BP$13)))</f>
        <v>1000000000000</v>
      </c>
      <c r="BQ71" s="171">
        <f ca="1">IF(OR($D71&lt;&gt;"Serviço",AND(AUTOEVENTO="Manual",$M71=$A$15)),0,
         IF(OFFSET(CRONOPLE!$F$15,$M71-$A$15,BQ$13)=0,10^12,OFFSET(CRONOPLE!$F$15,$M71-$A$15,BQ$13)))</f>
        <v>1000000000000</v>
      </c>
      <c r="BR71" s="171">
        <f ca="1">IF(OR($D71&lt;&gt;"Serviço",AND(AUTOEVENTO="Manual",$M71=$A$15)),0,
         IF(OFFSET(CRONOPLE!$F$15,$M71-$A$15,BR$13)=0,10^12,OFFSET(CRONOPLE!$F$15,$M71-$A$15,BR$13)))</f>
        <v>1000000000000</v>
      </c>
      <c r="BS71" s="171">
        <f ca="1">IF(OR($D71&lt;&gt;"Serviço",AND(AUTOEVENTO="Manual",$M71=$A$15)),0,
         IF(OFFSET(CRONOPLE!$F$15,$M71-$A$15,BS$13)=0,10^12,OFFSET(CRONOPLE!$F$15,$M71-$A$15,BS$13)))</f>
        <v>1000000000000</v>
      </c>
      <c r="BT71" s="171">
        <f ca="1">IF(OR($D71&lt;&gt;"Serviço",AND(AUTOEVENTO="Manual",$M71=$A$15)),0,
         IF(OFFSET(CRONOPLE!$F$15,$M71-$A$15,BT$13)=0,10^12,OFFSET(CRONOPLE!$F$15,$M71-$A$15,BT$13)))</f>
        <v>1000000000000</v>
      </c>
      <c r="BV71" s="172">
        <f ca="1">IF(OR($D71&lt;&gt;"Serviço",AND(AUTOEVENTO="Manual",$M71=$A$15),$M71&gt;(ROW(PLE.lastrow)-ROW(PLE.firstrow))),0,
           IF(OFFSET(PLE!$G$15,$M71-$A$15,BV$13)="",10^12,OFFSET(PLE!$G$15,$M71-$A$15,BV$13)))</f>
        <v>1000000000000</v>
      </c>
      <c r="BW71" s="172">
        <f ca="1">IF(OR($D71&lt;&gt;"Serviço",AND(AUTOEVENTO="Manual",$M71=$A$15),$M71&gt;(ROW(PLE.lastrow)-ROW(PLE.firstrow))),0,
           IF(OFFSET(PLE!$G$15,$M71-$A$15,BW$13)="",10^12,OFFSET(PLE!$G$15,$M71-$A$15,BW$13)))</f>
        <v>1000000000000</v>
      </c>
      <c r="BX71" s="172">
        <f ca="1">IF(OR($D71&lt;&gt;"Serviço",AND(AUTOEVENTO="Manual",$M71=$A$15),$M71&gt;(ROW(PLE.lastrow)-ROW(PLE.firstrow))),0,
           IF(OFFSET(PLE!$G$15,$M71-$A$15,BX$13)="",10^12,OFFSET(PLE!$G$15,$M71-$A$15,BX$13)))</f>
        <v>1000000000000</v>
      </c>
      <c r="BY71" s="172">
        <f ca="1">IF(OR($D71&lt;&gt;"Serviço",AND(AUTOEVENTO="Manual",$M71=$A$15),$M71&gt;(ROW(PLE.lastrow)-ROW(PLE.firstrow))),0,
           IF(OFFSET(PLE!$G$15,$M71-$A$15,BY$13)="",10^12,OFFSET(PLE!$G$15,$M71-$A$15,BY$13)))</f>
        <v>1000000000000</v>
      </c>
      <c r="BZ71" s="172">
        <f ca="1">IF(OR($D71&lt;&gt;"Serviço",AND(AUTOEVENTO="Manual",$M71=$A$15),$M71&gt;(ROW(PLE.lastrow)-ROW(PLE.firstrow))),0,
           IF(OFFSET(PLE!$G$15,$M71-$A$15,BZ$13)="",10^12,OFFSET(PLE!$G$15,$M71-$A$15,BZ$13)))</f>
        <v>1000000000000</v>
      </c>
      <c r="CA71" s="172">
        <f ca="1">IF(OR($D71&lt;&gt;"Serviço",AND(AUTOEVENTO="Manual",$M71=$A$15),$M71&gt;(ROW(PLE.lastrow)-ROW(PLE.firstrow))),0,
           IF(OFFSET(PLE!$G$15,$M71-$A$15,CA$13)="",10^12,OFFSET(PLE!$G$15,$M71-$A$15,CA$13)))</f>
        <v>1000000000000</v>
      </c>
      <c r="CB71" s="172">
        <f ca="1">IF(OR($D71&lt;&gt;"Serviço",AND(AUTOEVENTO="Manual",$M71=$A$15),$M71&gt;(ROW(PLE.lastrow)-ROW(PLE.firstrow))),0,
           IF(OFFSET(PLE!$G$15,$M71-$A$15,CB$13)="",10^12,OFFSET(PLE!$G$15,$M71-$A$15,CB$13)))</f>
        <v>1000000000000</v>
      </c>
      <c r="CC71" s="172">
        <f ca="1">IF(OR($D71&lt;&gt;"Serviço",AND(AUTOEVENTO="Manual",$M71=$A$15),$M71&gt;(ROW(PLE.lastrow)-ROW(PLE.firstrow))),0,
           IF(OFFSET(PLE!$G$15,$M71-$A$15,CC$13)="",10^12,OFFSET(PLE!$G$15,$M71-$A$15,CC$13)))</f>
        <v>1000000000000</v>
      </c>
      <c r="CD71" s="172">
        <f ca="1">IF(OR($D71&lt;&gt;"Serviço",AND(AUTOEVENTO="Manual",$M71=$A$15),$M71&gt;(ROW(PLE.lastrow)-ROW(PLE.firstrow))),0,
           IF(OFFSET(PLE!$G$15,$M71-$A$15,CD$13)="",10^12,OFFSET(PLE!$G$15,$M71-$A$15,CD$13)))</f>
        <v>1000000000000</v>
      </c>
      <c r="CE71" s="172">
        <f ca="1">IF(OR($D71&lt;&gt;"Serviço",AND(AUTOEVENTO="Manual",$M71=$A$15),$M71&gt;(ROW(PLE.lastrow)-ROW(PLE.firstrow))),0,
           IF(OFFSET(PLE!$G$15,$M71-$A$15,CE$13)="",10^12,OFFSET(PLE!$G$15,$M71-$A$15,CE$13)))</f>
        <v>1000000000000</v>
      </c>
      <c r="CF71" s="172">
        <f ca="1">IF(OR($D71&lt;&gt;"Serviço",AND(AUTOEVENTO="Manual",$M71=$A$15),$M71&gt;(ROW(PLE.lastrow)-ROW(PLE.firstrow))),0,
           IF(OFFSET(PLE!$G$15,$M71-$A$15,CF$13)="",10^12,OFFSET(PLE!$G$15,$M71-$A$15,CF$13)))</f>
        <v>1000000000000</v>
      </c>
      <c r="CG71" s="172">
        <f ca="1">IF(OR($D71&lt;&gt;"Serviço",AND(AUTOEVENTO="Manual",$M71=$A$15),$M71&gt;(ROW(PLE.lastrow)-ROW(PLE.firstrow))),0,
           IF(OFFSET(PLE!$G$15,$M71-$A$15,CG$13)="",10^12,OFFSET(PLE!$G$15,$M71-$A$15,CG$13)))</f>
        <v>1000000000000</v>
      </c>
      <c r="CH71" s="172">
        <f ca="1">IF(OR($D71&lt;&gt;"Serviço",AND(AUTOEVENTO="Manual",$M71=$A$15),$M71&gt;(ROW(PLE.lastrow)-ROW(PLE.firstrow))),0,
           IF(OFFSET(PLE!$G$15,$M71-$A$15,CH$13)="",10^12,OFFSET(PLE!$G$15,$M71-$A$15,CH$13)))</f>
        <v>1000000000000</v>
      </c>
      <c r="CI71" s="172">
        <f ca="1">IF(OR($D71&lt;&gt;"Serviço",AND(AUTOEVENTO="Manual",$M71=$A$15),$M71&gt;(ROW(PLE.lastrow)-ROW(PLE.firstrow))),0,
           IF(OFFSET(PLE!$G$15,$M71-$A$15,CI$13)="",10^12,OFFSET(PLE!$G$15,$M71-$A$15,CI$13)))</f>
        <v>1000000000000</v>
      </c>
      <c r="CJ71" s="172">
        <f ca="1">IF(OR($D71&lt;&gt;"Serviço",AND(AUTOEVENTO="Manual",$M71=$A$15),$M71&gt;(ROW(PLE.lastrow)-ROW(PLE.firstrow))),0,
           IF(OFFSET(PLE!$G$15,$M71-$A$15,CJ$13)="",10^12,OFFSET(PLE!$G$15,$M71-$A$15,CJ$13)))</f>
        <v>1000000000000</v>
      </c>
      <c r="CK71" s="172">
        <f ca="1">IF(OR($D71&lt;&gt;"Serviço",AND(AUTOEVENTO="Manual",$M71=$A$15),$M71&gt;(ROW(PLE.lastrow)-ROW(PLE.firstrow))),0,
           IF(OFFSET(PLE!$G$15,$M71-$A$15,CK$13)="",10^12,OFFSET(PLE!$G$15,$M71-$A$15,CK$13)))</f>
        <v>1000000000000</v>
      </c>
      <c r="CL71" s="172">
        <f ca="1">IF(OR($D71&lt;&gt;"Serviço",AND(AUTOEVENTO="Manual",$M71=$A$15),$M71&gt;(ROW(PLE.lastrow)-ROW(PLE.firstrow))),0,
           IF(OFFSET(PLE!$G$15,$M71-$A$15,CL$13)="",10^12,OFFSET(PLE!$G$15,$M71-$A$15,CL$13)))</f>
        <v>1000000000000</v>
      </c>
      <c r="CM71" s="172">
        <f ca="1">IF(OR($D71&lt;&gt;"Serviço",AND(AUTOEVENTO="Manual",$M71=$A$15),$M71&gt;(ROW(PLE.lastrow)-ROW(PLE.firstrow))),0,
           IF(OFFSET(PLE!$G$15,$M71-$A$15,CM$13)="",10^12,OFFSET(PLE!$G$15,$M71-$A$15,CM$13)))</f>
        <v>1000000000000</v>
      </c>
    </row>
    <row r="72" spans="1:91" ht="26.4" x14ac:dyDescent="0.25">
      <c r="A72" s="7" t="str">
        <f t="shared" ca="1" si="11"/>
        <v>51</v>
      </c>
      <c r="B72" s="7" t="str">
        <f ca="1">OFFSET(ORÇAMENTO!C$15,ROW(B72)-ROW(B$15),0)</f>
        <v>S</v>
      </c>
      <c r="C72" s="7" t="str">
        <f ca="1">OFFSET(ORÇAMENTO!L$15,ROW(C72)-ROW(C$15),0)</f>
        <v>F</v>
      </c>
      <c r="D72" s="116" t="str">
        <f ca="1">OFFSET(ORÇAMENTO!N$15,ROW(D72)-ROW(D$15),0)</f>
        <v>Serviço</v>
      </c>
      <c r="E72" s="117" t="str">
        <f ca="1">OFFSET(ORÇAMENTO!O$15,ROW(E72)-ROW(E$15),0)</f>
        <v>2.3.6.</v>
      </c>
      <c r="F72" s="163" t="str">
        <f ca="1">OFFSET(ORÇAMENTO!R$15,ROW(F72)-ROW(F$15),0)</f>
        <v>CIMENTO ASFÁLTICO CAP 50-70, COLETADO NA ANP, ACRESCIDO DE IMPOSTOS (ICMS, PIS, CONFINS)</v>
      </c>
      <c r="G72" s="164" t="str">
        <f ca="1">IF($D72&lt;&gt;"Serviço","",OFFSET(ORÇAMENTO!S$15,ROW(G72)-ROW(G$15),0))</f>
        <v>KG</v>
      </c>
      <c r="H72" s="122" cm="1">
        <f t="array" aca="1" ref="H72" ca="1">IF($D72&lt;&gt;"Serviço",0,IF(ACOMPANHAMENTO="BM",ROUND(OFFSET(ORÇAMENTO!AJ$15,ROW(H72)-ROW(H$15),0),15-13*ORÇAMENTO!$AF$7),SUMPRODUCT(($Q$1:$AI$1=1)*ROUND($Q72:$AI72,15-13*ORÇAMENTO!$AF$7))))</f>
        <v>8986.2000000000007</v>
      </c>
      <c r="I72" s="468"/>
      <c r="J72" s="651" t="e" cm="1">
        <f t="array" aca="1" ref="J72" ca="1">IF(OR(B72&lt;&gt;"S",CÁLCULO.FrentesPreenchidas=0),"",IF(AND(ACOMPANHAMENTO="PLE",AUTOEVENTO="Manual",OR(H72&gt;0,ORÇAMENTO!AC72="QUANT."),OR(K72="",M72=0,N72="")),"►E",IF(AND(ACOMPANHAMENTO="PLE",ORÇAMENTO!AC72="QUANT."),"►Q",IF(AND(ACOMPANHAMENTO="PLE",H72&lt;&gt;SUMPRODUCT(($Q$1:$AI$1=1)*ROUND(Q72:AI72,15))),"►S",IF(AND(COUNTIF($P$11:$AI$11,"▼")=0,H72&gt;0,I72=""),"◄M","")))))</f>
        <v>#NAME?</v>
      </c>
      <c r="K72" s="652"/>
      <c r="L72" s="165" t="s">
        <v>764</v>
      </c>
      <c r="M72" s="166">
        <f ca="1">IF($D72&lt;&gt;"Serviço","",
          IF(AUTOEVENTO="manual",$A72,
                IF(ISERROR(MATCH($A72,$A$15:OFFSET($A72,-1,0),0)),MAX($M$15:OFFSET(M72,-1,0))+1,
                      INDEX($M$15:OFFSET(M72,-1,0),MATCH($A72,$A$15:OFFSET($A72,-1,0),0)))))</f>
        <v>10</v>
      </c>
      <c r="N72" s="167" t="str">
        <f ca="1">IF($D72&lt;&gt;"Serviço","",
         IF(AUTOEVENTO="Manual",
                IF($A72=0,"&lt;-- defina o número do agrupador",
                       OFFSET(EVENTOS!$D$15,$A72-$A$15,0)),
                OFFSET($F$15,$A72,0)))</f>
        <v>CAMADA DE REPERFILAMENTO</v>
      </c>
      <c r="O72" s="168"/>
      <c r="Q72" s="168"/>
      <c r="R72" s="169"/>
      <c r="S72" s="169"/>
      <c r="T72" s="169">
        <v>8986.2000000000007</v>
      </c>
      <c r="U72" s="169"/>
      <c r="V72" s="169"/>
      <c r="W72" s="169"/>
      <c r="X72" s="169"/>
      <c r="Y72" s="169"/>
      <c r="Z72" s="170"/>
      <c r="AA72" s="169"/>
      <c r="AB72" s="169"/>
      <c r="AC72" s="169"/>
      <c r="AD72" s="169"/>
      <c r="AE72" s="169"/>
      <c r="AF72" s="169"/>
      <c r="AG72" s="169"/>
      <c r="AH72" s="170"/>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L72" s="453">
        <f ca="1">IF(AND($D72="Serviço",AL$12&lt;&gt;0,$H72&gt;0,OR(AUTOEVENTO&lt;&gt;"manual",$M72&lt;&gt;$A$15)),
        IF(Import.TipoArredondamento&lt;&gt;"TransfereGOV",
              ROUND(OFFSET($P72,0,AL$13),15-13*ORÇAMENTO!$AF$7)/$H72*OFFSET(ORÇAMENTO!$X$15,ROW(AL72)-ROW(AL$15),0),
              ROUND(ROUND(OFFSET($P72,0,AL$13),15-13*ORÇAMENTO!$AF$7)*OFFSET(ORÇAMENTO!$W$15,ROW(AL72)-ROW(AL$15),0),15-13*ORÇAMENTO!$AF$11)),
         0)</f>
        <v>0</v>
      </c>
      <c r="AM72" s="453">
        <f ca="1">IF(AND($D72="Serviço",AM$12&lt;&gt;0,$H72&gt;0,OR(AUTOEVENTO&lt;&gt;"manual",$M72&lt;&gt;$A$15)),
        IF(Import.TipoArredondamento&lt;&gt;"TransfereGOV",
              ROUND(OFFSET($P72,0,AM$13),15-13*ORÇAMENTO!$AF$7)/$H72*OFFSET(ORÇAMENTO!$X$15,ROW(AM72)-ROW(AM$15),0),
              ROUND(ROUND(OFFSET($P72,0,AM$13),15-13*ORÇAMENTO!$AF$7)*OFFSET(ORÇAMENTO!$W$15,ROW(AM72)-ROW(AM$15),0),15-13*ORÇAMENTO!$AF$11)),
         0)</f>
        <v>50232.86</v>
      </c>
      <c r="AN72" s="453">
        <f ca="1">IF(AND($D72="Serviço",AN$12&lt;&gt;0,$H72&gt;0,OR(AUTOEVENTO&lt;&gt;"manual",$M72&lt;&gt;$A$15)),
        IF(Import.TipoArredondamento&lt;&gt;"TransfereGOV",
              ROUND(OFFSET($P72,0,AN$13),15-13*ORÇAMENTO!$AF$7)/$H72*OFFSET(ORÇAMENTO!$X$15,ROW(AN72)-ROW(AN$15),0),
              ROUND(ROUND(OFFSET($P72,0,AN$13),15-13*ORÇAMENTO!$AF$7)*OFFSET(ORÇAMENTO!$W$15,ROW(AN72)-ROW(AN$15),0),15-13*ORÇAMENTO!$AF$11)),
         0)</f>
        <v>0</v>
      </c>
      <c r="AO72" s="453">
        <f ca="1">IF(AND($D72="Serviço",AO$12&lt;&gt;0,$H72&gt;0,OR(AUTOEVENTO&lt;&gt;"manual",$M72&lt;&gt;$A$15)),
        IF(Import.TipoArredondamento&lt;&gt;"TransfereGOV",
              ROUND(OFFSET($P72,0,AO$13),15-13*ORÇAMENTO!$AF$7)/$H72*OFFSET(ORÇAMENTO!$X$15,ROW(AO72)-ROW(AO$15),0),
              ROUND(ROUND(OFFSET($P72,0,AO$13),15-13*ORÇAMENTO!$AF$7)*OFFSET(ORÇAMENTO!$W$15,ROW(AO72)-ROW(AO$15),0),15-13*ORÇAMENTO!$AF$11)),
         0)</f>
        <v>0</v>
      </c>
      <c r="AP72" s="453">
        <f ca="1">IF(AND($D72="Serviço",AP$12&lt;&gt;0,$H72&gt;0,OR(AUTOEVENTO&lt;&gt;"manual",$M72&lt;&gt;$A$15)),
        IF(Import.TipoArredondamento&lt;&gt;"TransfereGOV",
              ROUND(OFFSET($P72,0,AP$13),15-13*ORÇAMENTO!$AF$7)/$H72*OFFSET(ORÇAMENTO!$X$15,ROW(AP72)-ROW(AP$15),0),
              ROUND(ROUND(OFFSET($P72,0,AP$13),15-13*ORÇAMENTO!$AF$7)*OFFSET(ORÇAMENTO!$W$15,ROW(AP72)-ROW(AP$15),0),15-13*ORÇAMENTO!$AF$11)),
         0)</f>
        <v>0</v>
      </c>
      <c r="AQ72" s="453">
        <f ca="1">IF(AND($D72="Serviço",AQ$12&lt;&gt;0,$H72&gt;0,OR(AUTOEVENTO&lt;&gt;"manual",$M72&lt;&gt;$A$15)),
        IF(Import.TipoArredondamento&lt;&gt;"TransfereGOV",
              ROUND(OFFSET($P72,0,AQ$13),15-13*ORÇAMENTO!$AF$7)/$H72*OFFSET(ORÇAMENTO!$X$15,ROW(AQ72)-ROW(AQ$15),0),
              ROUND(ROUND(OFFSET($P72,0,AQ$13),15-13*ORÇAMENTO!$AF$7)*OFFSET(ORÇAMENTO!$W$15,ROW(AQ72)-ROW(AQ$15),0),15-13*ORÇAMENTO!$AF$11)),
         0)</f>
        <v>0</v>
      </c>
      <c r="AR72" s="453">
        <f ca="1">IF(AND($D72="Serviço",AR$12&lt;&gt;0,$H72&gt;0,OR(AUTOEVENTO&lt;&gt;"manual",$M72&lt;&gt;$A$15)),
        IF(Import.TipoArredondamento&lt;&gt;"TransfereGOV",
              ROUND(OFFSET($P72,0,AR$13),15-13*ORÇAMENTO!$AF$7)/$H72*OFFSET(ORÇAMENTO!$X$15,ROW(AR72)-ROW(AR$15),0),
              ROUND(ROUND(OFFSET($P72,0,AR$13),15-13*ORÇAMENTO!$AF$7)*OFFSET(ORÇAMENTO!$W$15,ROW(AR72)-ROW(AR$15),0),15-13*ORÇAMENTO!$AF$11)),
         0)</f>
        <v>0</v>
      </c>
      <c r="AS72" s="453">
        <f ca="1">IF(AND($D72="Serviço",AS$12&lt;&gt;0,$H72&gt;0,OR(AUTOEVENTO&lt;&gt;"manual",$M72&lt;&gt;$A$15)),
        IF(Import.TipoArredondamento&lt;&gt;"TransfereGOV",
              ROUND(OFFSET($P72,0,AS$13),15-13*ORÇAMENTO!$AF$7)/$H72*OFFSET(ORÇAMENTO!$X$15,ROW(AS72)-ROW(AS$15),0),
              ROUND(ROUND(OFFSET($P72,0,AS$13),15-13*ORÇAMENTO!$AF$7)*OFFSET(ORÇAMENTO!$W$15,ROW(AS72)-ROW(AS$15),0),15-13*ORÇAMENTO!$AF$11)),
         0)</f>
        <v>0</v>
      </c>
      <c r="AT72" s="453">
        <f ca="1">IF(AND($D72="Serviço",AT$12&lt;&gt;0,$H72&gt;0,OR(AUTOEVENTO&lt;&gt;"manual",$M72&lt;&gt;$A$15)),
        IF(Import.TipoArredondamento&lt;&gt;"TransfereGOV",
              ROUND(OFFSET($P72,0,AT$13),15-13*ORÇAMENTO!$AF$7)/$H72*OFFSET(ORÇAMENTO!$X$15,ROW(AT72)-ROW(AT$15),0),
              ROUND(ROUND(OFFSET($P72,0,AT$13),15-13*ORÇAMENTO!$AF$7)*OFFSET(ORÇAMENTO!$W$15,ROW(AT72)-ROW(AT$15),0),15-13*ORÇAMENTO!$AF$11)),
         0)</f>
        <v>0</v>
      </c>
      <c r="AU72" s="453">
        <f ca="1">IF(AND($D72="Serviço",AU$12&lt;&gt;0,$H72&gt;0,OR(AUTOEVENTO&lt;&gt;"manual",$M72&lt;&gt;$A$15)),
        IF(Import.TipoArredondamento&lt;&gt;"TransfereGOV",
              ROUND(OFFSET($P72,0,AU$13),15-13*ORÇAMENTO!$AF$7)/$H72*OFFSET(ORÇAMENTO!$X$15,ROW(AU72)-ROW(AU$15),0),
              ROUND(ROUND(OFFSET($P72,0,AU$13),15-13*ORÇAMENTO!$AF$7)*OFFSET(ORÇAMENTO!$W$15,ROW(AU72)-ROW(AU$15),0),15-13*ORÇAMENTO!$AF$11)),
         0)</f>
        <v>0</v>
      </c>
      <c r="AV72" s="453">
        <f ca="1">IF(AND($D72="Serviço",AV$12&lt;&gt;0,$H72&gt;0,OR(AUTOEVENTO&lt;&gt;"manual",$M72&lt;&gt;$A$15)),
        IF(Import.TipoArredondamento&lt;&gt;"TransfereGOV",
              ROUND(OFFSET($P72,0,AV$13),15-13*ORÇAMENTO!$AF$7)/$H72*OFFSET(ORÇAMENTO!$X$15,ROW(AV72)-ROW(AV$15),0),
              ROUND(ROUND(OFFSET($P72,0,AV$13),15-13*ORÇAMENTO!$AF$7)*OFFSET(ORÇAMENTO!$W$15,ROW(AV72)-ROW(AV$15),0),15-13*ORÇAMENTO!$AF$11)),
         0)</f>
        <v>0</v>
      </c>
      <c r="AW72" s="453">
        <f ca="1">IF(AND($D72="Serviço",AW$12&lt;&gt;0,$H72&gt;0,OR(AUTOEVENTO&lt;&gt;"manual",$M72&lt;&gt;$A$15)),
        IF(Import.TipoArredondamento&lt;&gt;"TransfereGOV",
              ROUND(OFFSET($P72,0,AW$13),15-13*ORÇAMENTO!$AF$7)/$H72*OFFSET(ORÇAMENTO!$X$15,ROW(AW72)-ROW(AW$15),0),
              ROUND(ROUND(OFFSET($P72,0,AW$13),15-13*ORÇAMENTO!$AF$7)*OFFSET(ORÇAMENTO!$W$15,ROW(AW72)-ROW(AW$15),0),15-13*ORÇAMENTO!$AF$11)),
         0)</f>
        <v>0</v>
      </c>
      <c r="AX72" s="453">
        <f ca="1">IF(AND($D72="Serviço",AX$12&lt;&gt;0,$H72&gt;0,OR(AUTOEVENTO&lt;&gt;"manual",$M72&lt;&gt;$A$15)),
        IF(Import.TipoArredondamento&lt;&gt;"TransfereGOV",
              ROUND(OFFSET($P72,0,AX$13),15-13*ORÇAMENTO!$AF$7)/$H72*OFFSET(ORÇAMENTO!$X$15,ROW(AX72)-ROW(AX$15),0),
              ROUND(ROUND(OFFSET($P72,0,AX$13),15-13*ORÇAMENTO!$AF$7)*OFFSET(ORÇAMENTO!$W$15,ROW(AX72)-ROW(AX$15),0),15-13*ORÇAMENTO!$AF$11)),
         0)</f>
        <v>0</v>
      </c>
      <c r="AY72" s="453">
        <f ca="1">IF(AND($D72="Serviço",AY$12&lt;&gt;0,$H72&gt;0,OR(AUTOEVENTO&lt;&gt;"manual",$M72&lt;&gt;$A$15)),
        IF(Import.TipoArredondamento&lt;&gt;"TransfereGOV",
              ROUND(OFFSET($P72,0,AY$13),15-13*ORÇAMENTO!$AF$7)/$H72*OFFSET(ORÇAMENTO!$X$15,ROW(AY72)-ROW(AY$15),0),
              ROUND(ROUND(OFFSET($P72,0,AY$13),15-13*ORÇAMENTO!$AF$7)*OFFSET(ORÇAMENTO!$W$15,ROW(AY72)-ROW(AY$15),0),15-13*ORÇAMENTO!$AF$11)),
         0)</f>
        <v>0</v>
      </c>
      <c r="AZ72" s="453">
        <f ca="1">IF(AND($D72="Serviço",AZ$12&lt;&gt;0,$H72&gt;0,OR(AUTOEVENTO&lt;&gt;"manual",$M72&lt;&gt;$A$15)),
        IF(Import.TipoArredondamento&lt;&gt;"TransfereGOV",
              ROUND(OFFSET($P72,0,AZ$13),15-13*ORÇAMENTO!$AF$7)/$H72*OFFSET(ORÇAMENTO!$X$15,ROW(AZ72)-ROW(AZ$15),0),
              ROUND(ROUND(OFFSET($P72,0,AZ$13),15-13*ORÇAMENTO!$AF$7)*OFFSET(ORÇAMENTO!$W$15,ROW(AZ72)-ROW(AZ$15),0),15-13*ORÇAMENTO!$AF$11)),
         0)</f>
        <v>0</v>
      </c>
      <c r="BA72" s="453">
        <f ca="1">IF(AND($D72="Serviço",BA$12&lt;&gt;0,$H72&gt;0,OR(AUTOEVENTO&lt;&gt;"manual",$M72&lt;&gt;$A$15)),
        IF(Import.TipoArredondamento&lt;&gt;"TransfereGOV",
              ROUND(OFFSET($P72,0,BA$13),15-13*ORÇAMENTO!$AF$7)/$H72*OFFSET(ORÇAMENTO!$X$15,ROW(BA72)-ROW(BA$15),0),
              ROUND(ROUND(OFFSET($P72,0,BA$13),15-13*ORÇAMENTO!$AF$7)*OFFSET(ORÇAMENTO!$W$15,ROW(BA72)-ROW(BA$15),0),15-13*ORÇAMENTO!$AF$11)),
         0)</f>
        <v>0</v>
      </c>
      <c r="BC72" s="171">
        <f ca="1">IF(OR($D72&lt;&gt;"Serviço",AND(AUTOEVENTO="Manual",$M72=$A$15)),0,
         IF(OFFSET(CRONOPLE!$F$15,$M72-$A$15,BC$13)=0,10^12,OFFSET(CRONOPLE!$F$15,$M72-$A$15,BC$13)))</f>
        <v>1000000000000</v>
      </c>
      <c r="BD72" s="171">
        <f ca="1">IF(OR($D72&lt;&gt;"Serviço",AND(AUTOEVENTO="Manual",$M72=$A$15)),0,
         IF(OFFSET(CRONOPLE!$F$15,$M72-$A$15,BD$13)=0,10^12,OFFSET(CRONOPLE!$F$15,$M72-$A$15,BD$13)))</f>
        <v>1000000000000</v>
      </c>
      <c r="BE72" s="171">
        <f ca="1">IF(OR($D72&lt;&gt;"Serviço",AND(AUTOEVENTO="Manual",$M72=$A$15)),0,
         IF(OFFSET(CRONOPLE!$F$15,$M72-$A$15,BE$13)=0,10^12,OFFSET(CRONOPLE!$F$15,$M72-$A$15,BE$13)))</f>
        <v>1000000000000</v>
      </c>
      <c r="BF72" s="171">
        <f ca="1">IF(OR($D72&lt;&gt;"Serviço",AND(AUTOEVENTO="Manual",$M72=$A$15)),0,
         IF(OFFSET(CRONOPLE!$F$15,$M72-$A$15,BF$13)=0,10^12,OFFSET(CRONOPLE!$F$15,$M72-$A$15,BF$13)))</f>
        <v>1</v>
      </c>
      <c r="BG72" s="171">
        <f ca="1">IF(OR($D72&lt;&gt;"Serviço",AND(AUTOEVENTO="Manual",$M72=$A$15)),0,
         IF(OFFSET(CRONOPLE!$F$15,$M72-$A$15,BG$13)=0,10^12,OFFSET(CRONOPLE!$F$15,$M72-$A$15,BG$13)))</f>
        <v>1000000000000</v>
      </c>
      <c r="BH72" s="171">
        <f ca="1">IF(OR($D72&lt;&gt;"Serviço",AND(AUTOEVENTO="Manual",$M72=$A$15)),0,
         IF(OFFSET(CRONOPLE!$F$15,$M72-$A$15,BH$13)=0,10^12,OFFSET(CRONOPLE!$F$15,$M72-$A$15,BH$13)))</f>
        <v>1000000000000</v>
      </c>
      <c r="BI72" s="171">
        <f ca="1">IF(OR($D72&lt;&gt;"Serviço",AND(AUTOEVENTO="Manual",$M72=$A$15)),0,
         IF(OFFSET(CRONOPLE!$F$15,$M72-$A$15,BI$13)=0,10^12,OFFSET(CRONOPLE!$F$15,$M72-$A$15,BI$13)))</f>
        <v>1000000000000</v>
      </c>
      <c r="BJ72" s="171">
        <f ca="1">IF(OR($D72&lt;&gt;"Serviço",AND(AUTOEVENTO="Manual",$M72=$A$15)),0,
         IF(OFFSET(CRONOPLE!$F$15,$M72-$A$15,BJ$13)=0,10^12,OFFSET(CRONOPLE!$F$15,$M72-$A$15,BJ$13)))</f>
        <v>1000000000000</v>
      </c>
      <c r="BK72" s="171">
        <f ca="1">IF(OR($D72&lt;&gt;"Serviço",AND(AUTOEVENTO="Manual",$M72=$A$15)),0,
         IF(OFFSET(CRONOPLE!$F$15,$M72-$A$15,BK$13)=0,10^12,OFFSET(CRONOPLE!$F$15,$M72-$A$15,BK$13)))</f>
        <v>1000000000000</v>
      </c>
      <c r="BL72" s="171">
        <f ca="1">IF(OR($D72&lt;&gt;"Serviço",AND(AUTOEVENTO="Manual",$M72=$A$15)),0,
         IF(OFFSET(CRONOPLE!$F$15,$M72-$A$15,BL$13)=0,10^12,OFFSET(CRONOPLE!$F$15,$M72-$A$15,BL$13)))</f>
        <v>1000000000000</v>
      </c>
      <c r="BM72" s="171">
        <f ca="1">IF(OR($D72&lt;&gt;"Serviço",AND(AUTOEVENTO="Manual",$M72=$A$15)),0,
         IF(OFFSET(CRONOPLE!$F$15,$M72-$A$15,BM$13)=0,10^12,OFFSET(CRONOPLE!$F$15,$M72-$A$15,BM$13)))</f>
        <v>1000000000000</v>
      </c>
      <c r="BN72" s="171">
        <f ca="1">IF(OR($D72&lt;&gt;"Serviço",AND(AUTOEVENTO="Manual",$M72=$A$15)),0,
         IF(OFFSET(CRONOPLE!$F$15,$M72-$A$15,BN$13)=0,10^12,OFFSET(CRONOPLE!$F$15,$M72-$A$15,BN$13)))</f>
        <v>1000000000000</v>
      </c>
      <c r="BO72" s="171">
        <f ca="1">IF(OR($D72&lt;&gt;"Serviço",AND(AUTOEVENTO="Manual",$M72=$A$15)),0,
         IF(OFFSET(CRONOPLE!$F$15,$M72-$A$15,BO$13)=0,10^12,OFFSET(CRONOPLE!$F$15,$M72-$A$15,BO$13)))</f>
        <v>1000000000000</v>
      </c>
      <c r="BP72" s="171">
        <f ca="1">IF(OR($D72&lt;&gt;"Serviço",AND(AUTOEVENTO="Manual",$M72=$A$15)),0,
         IF(OFFSET(CRONOPLE!$F$15,$M72-$A$15,BP$13)=0,10^12,OFFSET(CRONOPLE!$F$15,$M72-$A$15,BP$13)))</f>
        <v>1000000000000</v>
      </c>
      <c r="BQ72" s="171">
        <f ca="1">IF(OR($D72&lt;&gt;"Serviço",AND(AUTOEVENTO="Manual",$M72=$A$15)),0,
         IF(OFFSET(CRONOPLE!$F$15,$M72-$A$15,BQ$13)=0,10^12,OFFSET(CRONOPLE!$F$15,$M72-$A$15,BQ$13)))</f>
        <v>1000000000000</v>
      </c>
      <c r="BR72" s="171">
        <f ca="1">IF(OR($D72&lt;&gt;"Serviço",AND(AUTOEVENTO="Manual",$M72=$A$15)),0,
         IF(OFFSET(CRONOPLE!$F$15,$M72-$A$15,BR$13)=0,10^12,OFFSET(CRONOPLE!$F$15,$M72-$A$15,BR$13)))</f>
        <v>1000000000000</v>
      </c>
      <c r="BS72" s="171">
        <f ca="1">IF(OR($D72&lt;&gt;"Serviço",AND(AUTOEVENTO="Manual",$M72=$A$15)),0,
         IF(OFFSET(CRONOPLE!$F$15,$M72-$A$15,BS$13)=0,10^12,OFFSET(CRONOPLE!$F$15,$M72-$A$15,BS$13)))</f>
        <v>1000000000000</v>
      </c>
      <c r="BT72" s="171">
        <f ca="1">IF(OR($D72&lt;&gt;"Serviço",AND(AUTOEVENTO="Manual",$M72=$A$15)),0,
         IF(OFFSET(CRONOPLE!$F$15,$M72-$A$15,BT$13)=0,10^12,OFFSET(CRONOPLE!$F$15,$M72-$A$15,BT$13)))</f>
        <v>1000000000000</v>
      </c>
      <c r="BV72" s="172">
        <f ca="1">IF(OR($D72&lt;&gt;"Serviço",AND(AUTOEVENTO="Manual",$M72=$A$15),$M72&gt;(ROW(PLE.lastrow)-ROW(PLE.firstrow))),0,
           IF(OFFSET(PLE!$G$15,$M72-$A$15,BV$13)="",10^12,OFFSET(PLE!$G$15,$M72-$A$15,BV$13)))</f>
        <v>1000000000000</v>
      </c>
      <c r="BW72" s="172">
        <f ca="1">IF(OR($D72&lt;&gt;"Serviço",AND(AUTOEVENTO="Manual",$M72=$A$15),$M72&gt;(ROW(PLE.lastrow)-ROW(PLE.firstrow))),0,
           IF(OFFSET(PLE!$G$15,$M72-$A$15,BW$13)="",10^12,OFFSET(PLE!$G$15,$M72-$A$15,BW$13)))</f>
        <v>1000000000000</v>
      </c>
      <c r="BX72" s="172">
        <f ca="1">IF(OR($D72&lt;&gt;"Serviço",AND(AUTOEVENTO="Manual",$M72=$A$15),$M72&gt;(ROW(PLE.lastrow)-ROW(PLE.firstrow))),0,
           IF(OFFSET(PLE!$G$15,$M72-$A$15,BX$13)="",10^12,OFFSET(PLE!$G$15,$M72-$A$15,BX$13)))</f>
        <v>1000000000000</v>
      </c>
      <c r="BY72" s="172">
        <f ca="1">IF(OR($D72&lt;&gt;"Serviço",AND(AUTOEVENTO="Manual",$M72=$A$15),$M72&gt;(ROW(PLE.lastrow)-ROW(PLE.firstrow))),0,
           IF(OFFSET(PLE!$G$15,$M72-$A$15,BY$13)="",10^12,OFFSET(PLE!$G$15,$M72-$A$15,BY$13)))</f>
        <v>1000000000000</v>
      </c>
      <c r="BZ72" s="172">
        <f ca="1">IF(OR($D72&lt;&gt;"Serviço",AND(AUTOEVENTO="Manual",$M72=$A$15),$M72&gt;(ROW(PLE.lastrow)-ROW(PLE.firstrow))),0,
           IF(OFFSET(PLE!$G$15,$M72-$A$15,BZ$13)="",10^12,OFFSET(PLE!$G$15,$M72-$A$15,BZ$13)))</f>
        <v>1000000000000</v>
      </c>
      <c r="CA72" s="172">
        <f ca="1">IF(OR($D72&lt;&gt;"Serviço",AND(AUTOEVENTO="Manual",$M72=$A$15),$M72&gt;(ROW(PLE.lastrow)-ROW(PLE.firstrow))),0,
           IF(OFFSET(PLE!$G$15,$M72-$A$15,CA$13)="",10^12,OFFSET(PLE!$G$15,$M72-$A$15,CA$13)))</f>
        <v>1000000000000</v>
      </c>
      <c r="CB72" s="172">
        <f ca="1">IF(OR($D72&lt;&gt;"Serviço",AND(AUTOEVENTO="Manual",$M72=$A$15),$M72&gt;(ROW(PLE.lastrow)-ROW(PLE.firstrow))),0,
           IF(OFFSET(PLE!$G$15,$M72-$A$15,CB$13)="",10^12,OFFSET(PLE!$G$15,$M72-$A$15,CB$13)))</f>
        <v>1000000000000</v>
      </c>
      <c r="CC72" s="172">
        <f ca="1">IF(OR($D72&lt;&gt;"Serviço",AND(AUTOEVENTO="Manual",$M72=$A$15),$M72&gt;(ROW(PLE.lastrow)-ROW(PLE.firstrow))),0,
           IF(OFFSET(PLE!$G$15,$M72-$A$15,CC$13)="",10^12,OFFSET(PLE!$G$15,$M72-$A$15,CC$13)))</f>
        <v>1000000000000</v>
      </c>
      <c r="CD72" s="172">
        <f ca="1">IF(OR($D72&lt;&gt;"Serviço",AND(AUTOEVENTO="Manual",$M72=$A$15),$M72&gt;(ROW(PLE.lastrow)-ROW(PLE.firstrow))),0,
           IF(OFFSET(PLE!$G$15,$M72-$A$15,CD$13)="",10^12,OFFSET(PLE!$G$15,$M72-$A$15,CD$13)))</f>
        <v>1000000000000</v>
      </c>
      <c r="CE72" s="172">
        <f ca="1">IF(OR($D72&lt;&gt;"Serviço",AND(AUTOEVENTO="Manual",$M72=$A$15),$M72&gt;(ROW(PLE.lastrow)-ROW(PLE.firstrow))),0,
           IF(OFFSET(PLE!$G$15,$M72-$A$15,CE$13)="",10^12,OFFSET(PLE!$G$15,$M72-$A$15,CE$13)))</f>
        <v>1000000000000</v>
      </c>
      <c r="CF72" s="172">
        <f ca="1">IF(OR($D72&lt;&gt;"Serviço",AND(AUTOEVENTO="Manual",$M72=$A$15),$M72&gt;(ROW(PLE.lastrow)-ROW(PLE.firstrow))),0,
           IF(OFFSET(PLE!$G$15,$M72-$A$15,CF$13)="",10^12,OFFSET(PLE!$G$15,$M72-$A$15,CF$13)))</f>
        <v>1000000000000</v>
      </c>
      <c r="CG72" s="172">
        <f ca="1">IF(OR($D72&lt;&gt;"Serviço",AND(AUTOEVENTO="Manual",$M72=$A$15),$M72&gt;(ROW(PLE.lastrow)-ROW(PLE.firstrow))),0,
           IF(OFFSET(PLE!$G$15,$M72-$A$15,CG$13)="",10^12,OFFSET(PLE!$G$15,$M72-$A$15,CG$13)))</f>
        <v>1000000000000</v>
      </c>
      <c r="CH72" s="172">
        <f ca="1">IF(OR($D72&lt;&gt;"Serviço",AND(AUTOEVENTO="Manual",$M72=$A$15),$M72&gt;(ROW(PLE.lastrow)-ROW(PLE.firstrow))),0,
           IF(OFFSET(PLE!$G$15,$M72-$A$15,CH$13)="",10^12,OFFSET(PLE!$G$15,$M72-$A$15,CH$13)))</f>
        <v>1000000000000</v>
      </c>
      <c r="CI72" s="172">
        <f ca="1">IF(OR($D72&lt;&gt;"Serviço",AND(AUTOEVENTO="Manual",$M72=$A$15),$M72&gt;(ROW(PLE.lastrow)-ROW(PLE.firstrow))),0,
           IF(OFFSET(PLE!$G$15,$M72-$A$15,CI$13)="",10^12,OFFSET(PLE!$G$15,$M72-$A$15,CI$13)))</f>
        <v>1000000000000</v>
      </c>
      <c r="CJ72" s="172">
        <f ca="1">IF(OR($D72&lt;&gt;"Serviço",AND(AUTOEVENTO="Manual",$M72=$A$15),$M72&gt;(ROW(PLE.lastrow)-ROW(PLE.firstrow))),0,
           IF(OFFSET(PLE!$G$15,$M72-$A$15,CJ$13)="",10^12,OFFSET(PLE!$G$15,$M72-$A$15,CJ$13)))</f>
        <v>1000000000000</v>
      </c>
      <c r="CK72" s="172">
        <f ca="1">IF(OR($D72&lt;&gt;"Serviço",AND(AUTOEVENTO="Manual",$M72=$A$15),$M72&gt;(ROW(PLE.lastrow)-ROW(PLE.firstrow))),0,
           IF(OFFSET(PLE!$G$15,$M72-$A$15,CK$13)="",10^12,OFFSET(PLE!$G$15,$M72-$A$15,CK$13)))</f>
        <v>1000000000000</v>
      </c>
      <c r="CL72" s="172">
        <f ca="1">IF(OR($D72&lt;&gt;"Serviço",AND(AUTOEVENTO="Manual",$M72=$A$15),$M72&gt;(ROW(PLE.lastrow)-ROW(PLE.firstrow))),0,
           IF(OFFSET(PLE!$G$15,$M72-$A$15,CL$13)="",10^12,OFFSET(PLE!$G$15,$M72-$A$15,CL$13)))</f>
        <v>1000000000000</v>
      </c>
      <c r="CM72" s="172">
        <f ca="1">IF(OR($D72&lt;&gt;"Serviço",AND(AUTOEVENTO="Manual",$M72=$A$15),$M72&gt;(ROW(PLE.lastrow)-ROW(PLE.firstrow))),0,
           IF(OFFSET(PLE!$G$15,$M72-$A$15,CM$13)="",10^12,OFFSET(PLE!$G$15,$M72-$A$15,CM$13)))</f>
        <v>1000000000000</v>
      </c>
    </row>
    <row r="73" spans="1:91" ht="26.4" x14ac:dyDescent="0.25">
      <c r="A73" s="7" t="str">
        <f t="shared" ca="1" si="11"/>
        <v>51</v>
      </c>
      <c r="B73" s="7" t="str">
        <f ca="1">OFFSET(ORÇAMENTO!C$15,ROW(B73)-ROW(B$15),0)</f>
        <v>S</v>
      </c>
      <c r="C73" s="7" t="str">
        <f ca="1">OFFSET(ORÇAMENTO!L$15,ROW(C73)-ROW(C$15),0)</f>
        <v>F</v>
      </c>
      <c r="D73" s="116" t="str">
        <f ca="1">OFFSET(ORÇAMENTO!N$15,ROW(D73)-ROW(D$15),0)</f>
        <v>Serviço</v>
      </c>
      <c r="E73" s="117" t="str">
        <f ca="1">OFFSET(ORÇAMENTO!O$15,ROW(E73)-ROW(E$15),0)</f>
        <v>2.3.7.</v>
      </c>
      <c r="F73" s="163" t="str">
        <f ca="1">OFFSET(ORÇAMENTO!R$15,ROW(F73)-ROW(F$15),0)</f>
        <v>Transporte de material betuminoso com caminhão tanque distribuidor - rodovia pavimentada</v>
      </c>
      <c r="G73" s="164" t="str">
        <f ca="1">IF($D73&lt;&gt;"Serviço","",OFFSET(ORÇAMENTO!S$15,ROW(G73)-ROW(G$15),0))</f>
        <v>tkm</v>
      </c>
      <c r="H73" s="122" cm="1">
        <f t="array" aca="1" ref="H73" ca="1">IF($D73&lt;&gt;"Serviço",0,IF(ACOMPANHAMENTO="BM",ROUND(OFFSET(ORÇAMENTO!AJ$15,ROW(H73)-ROW(H$15),0),15-13*ORÇAMENTO!$AF$7),SUMPRODUCT(($Q$1:$AI$1=1)*ROUND($Q73:$AI73,15-13*ORÇAMENTO!$AF$7))))</f>
        <v>3028.34</v>
      </c>
      <c r="I73" s="468"/>
      <c r="J73" s="651" t="e" cm="1">
        <f t="array" aca="1" ref="J73" ca="1">IF(OR(B73&lt;&gt;"S",CÁLCULO.FrentesPreenchidas=0),"",IF(AND(ACOMPANHAMENTO="PLE",AUTOEVENTO="Manual",OR(H73&gt;0,ORÇAMENTO!AC73="QUANT."),OR(K73="",M73=0,N73="")),"►E",IF(AND(ACOMPANHAMENTO="PLE",ORÇAMENTO!AC73="QUANT."),"►Q",IF(AND(ACOMPANHAMENTO="PLE",H73&lt;&gt;SUMPRODUCT(($Q$1:$AI$1=1)*ROUND(Q73:AI73,15))),"►S",IF(AND(COUNTIF($P$11:$AI$11,"▼")=0,H73&gt;0,I73=""),"◄M","")))))</f>
        <v>#NAME?</v>
      </c>
      <c r="K73" s="652"/>
      <c r="L73" s="165" t="s">
        <v>764</v>
      </c>
      <c r="M73" s="166">
        <f ca="1">IF($D73&lt;&gt;"Serviço","",
          IF(AUTOEVENTO="manual",$A73,
                IF(ISERROR(MATCH($A73,$A$15:OFFSET($A73,-1,0),0)),MAX($M$15:OFFSET(M73,-1,0))+1,
                      INDEX($M$15:OFFSET(M73,-1,0),MATCH($A73,$A$15:OFFSET($A73,-1,0),0)))))</f>
        <v>10</v>
      </c>
      <c r="N73" s="167" t="str">
        <f ca="1">IF($D73&lt;&gt;"Serviço","",
         IF(AUTOEVENTO="Manual",
                IF($A73=0,"&lt;-- defina o número do agrupador",
                       OFFSET(EVENTOS!$D$15,$A73-$A$15,0)),
                OFFSET($F$15,$A73,0)))</f>
        <v>CAMADA DE REPERFILAMENTO</v>
      </c>
      <c r="O73" s="168"/>
      <c r="Q73" s="168"/>
      <c r="R73" s="169"/>
      <c r="S73" s="169"/>
      <c r="T73" s="169">
        <f>TRUNC(T72/1000*337,2)</f>
        <v>3028.34</v>
      </c>
      <c r="U73" s="169"/>
      <c r="V73" s="169"/>
      <c r="W73" s="169"/>
      <c r="X73" s="169"/>
      <c r="Y73" s="169"/>
      <c r="Z73" s="170"/>
      <c r="AA73" s="169"/>
      <c r="AB73" s="169"/>
      <c r="AC73" s="169"/>
      <c r="AD73" s="169"/>
      <c r="AE73" s="169"/>
      <c r="AF73" s="169"/>
      <c r="AG73" s="169"/>
      <c r="AH73" s="170"/>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L73" s="453">
        <f ca="1">IF(AND($D73="Serviço",AL$12&lt;&gt;0,$H73&gt;0,OR(AUTOEVENTO&lt;&gt;"manual",$M73&lt;&gt;$A$15)),
        IF(Import.TipoArredondamento&lt;&gt;"TransfereGOV",
              ROUND(OFFSET($P73,0,AL$13),15-13*ORÇAMENTO!$AF$7)/$H73*OFFSET(ORÇAMENTO!$X$15,ROW(AL73)-ROW(AL$15),0),
              ROUND(ROUND(OFFSET($P73,0,AL$13),15-13*ORÇAMENTO!$AF$7)*OFFSET(ORÇAMENTO!$W$15,ROW(AL73)-ROW(AL$15),0),15-13*ORÇAMENTO!$AF$11)),
         0)</f>
        <v>0</v>
      </c>
      <c r="AM73" s="453">
        <f ca="1">IF(AND($D73="Serviço",AM$12&lt;&gt;0,$H73&gt;0,OR(AUTOEVENTO&lt;&gt;"manual",$M73&lt;&gt;$A$15)),
        IF(Import.TipoArredondamento&lt;&gt;"TransfereGOV",
              ROUND(OFFSET($P73,0,AM$13),15-13*ORÇAMENTO!$AF$7)/$H73*OFFSET(ORÇAMENTO!$X$15,ROW(AM73)-ROW(AM$15),0),
              ROUND(ROUND(OFFSET($P73,0,AM$13),15-13*ORÇAMENTO!$AF$7)*OFFSET(ORÇAMENTO!$W$15,ROW(AM73)-ROW(AM$15),0),15-13*ORÇAMENTO!$AF$11)),
         0)</f>
        <v>7722.27</v>
      </c>
      <c r="AN73" s="453">
        <f ca="1">IF(AND($D73="Serviço",AN$12&lt;&gt;0,$H73&gt;0,OR(AUTOEVENTO&lt;&gt;"manual",$M73&lt;&gt;$A$15)),
        IF(Import.TipoArredondamento&lt;&gt;"TransfereGOV",
              ROUND(OFFSET($P73,0,AN$13),15-13*ORÇAMENTO!$AF$7)/$H73*OFFSET(ORÇAMENTO!$X$15,ROW(AN73)-ROW(AN$15),0),
              ROUND(ROUND(OFFSET($P73,0,AN$13),15-13*ORÇAMENTO!$AF$7)*OFFSET(ORÇAMENTO!$W$15,ROW(AN73)-ROW(AN$15),0),15-13*ORÇAMENTO!$AF$11)),
         0)</f>
        <v>0</v>
      </c>
      <c r="AO73" s="453">
        <f ca="1">IF(AND($D73="Serviço",AO$12&lt;&gt;0,$H73&gt;0,OR(AUTOEVENTO&lt;&gt;"manual",$M73&lt;&gt;$A$15)),
        IF(Import.TipoArredondamento&lt;&gt;"TransfereGOV",
              ROUND(OFFSET($P73,0,AO$13),15-13*ORÇAMENTO!$AF$7)/$H73*OFFSET(ORÇAMENTO!$X$15,ROW(AO73)-ROW(AO$15),0),
              ROUND(ROUND(OFFSET($P73,0,AO$13),15-13*ORÇAMENTO!$AF$7)*OFFSET(ORÇAMENTO!$W$15,ROW(AO73)-ROW(AO$15),0),15-13*ORÇAMENTO!$AF$11)),
         0)</f>
        <v>0</v>
      </c>
      <c r="AP73" s="453">
        <f ca="1">IF(AND($D73="Serviço",AP$12&lt;&gt;0,$H73&gt;0,OR(AUTOEVENTO&lt;&gt;"manual",$M73&lt;&gt;$A$15)),
        IF(Import.TipoArredondamento&lt;&gt;"TransfereGOV",
              ROUND(OFFSET($P73,0,AP$13),15-13*ORÇAMENTO!$AF$7)/$H73*OFFSET(ORÇAMENTO!$X$15,ROW(AP73)-ROW(AP$15),0),
              ROUND(ROUND(OFFSET($P73,0,AP$13),15-13*ORÇAMENTO!$AF$7)*OFFSET(ORÇAMENTO!$W$15,ROW(AP73)-ROW(AP$15),0),15-13*ORÇAMENTO!$AF$11)),
         0)</f>
        <v>0</v>
      </c>
      <c r="AQ73" s="453">
        <f ca="1">IF(AND($D73="Serviço",AQ$12&lt;&gt;0,$H73&gt;0,OR(AUTOEVENTO&lt;&gt;"manual",$M73&lt;&gt;$A$15)),
        IF(Import.TipoArredondamento&lt;&gt;"TransfereGOV",
              ROUND(OFFSET($P73,0,AQ$13),15-13*ORÇAMENTO!$AF$7)/$H73*OFFSET(ORÇAMENTO!$X$15,ROW(AQ73)-ROW(AQ$15),0),
              ROUND(ROUND(OFFSET($P73,0,AQ$13),15-13*ORÇAMENTO!$AF$7)*OFFSET(ORÇAMENTO!$W$15,ROW(AQ73)-ROW(AQ$15),0),15-13*ORÇAMENTO!$AF$11)),
         0)</f>
        <v>0</v>
      </c>
      <c r="AR73" s="453">
        <f ca="1">IF(AND($D73="Serviço",AR$12&lt;&gt;0,$H73&gt;0,OR(AUTOEVENTO&lt;&gt;"manual",$M73&lt;&gt;$A$15)),
        IF(Import.TipoArredondamento&lt;&gt;"TransfereGOV",
              ROUND(OFFSET($P73,0,AR$13),15-13*ORÇAMENTO!$AF$7)/$H73*OFFSET(ORÇAMENTO!$X$15,ROW(AR73)-ROW(AR$15),0),
              ROUND(ROUND(OFFSET($P73,0,AR$13),15-13*ORÇAMENTO!$AF$7)*OFFSET(ORÇAMENTO!$W$15,ROW(AR73)-ROW(AR$15),0),15-13*ORÇAMENTO!$AF$11)),
         0)</f>
        <v>0</v>
      </c>
      <c r="AS73" s="453">
        <f ca="1">IF(AND($D73="Serviço",AS$12&lt;&gt;0,$H73&gt;0,OR(AUTOEVENTO&lt;&gt;"manual",$M73&lt;&gt;$A$15)),
        IF(Import.TipoArredondamento&lt;&gt;"TransfereGOV",
              ROUND(OFFSET($P73,0,AS$13),15-13*ORÇAMENTO!$AF$7)/$H73*OFFSET(ORÇAMENTO!$X$15,ROW(AS73)-ROW(AS$15),0),
              ROUND(ROUND(OFFSET($P73,0,AS$13),15-13*ORÇAMENTO!$AF$7)*OFFSET(ORÇAMENTO!$W$15,ROW(AS73)-ROW(AS$15),0),15-13*ORÇAMENTO!$AF$11)),
         0)</f>
        <v>0</v>
      </c>
      <c r="AT73" s="453">
        <f ca="1">IF(AND($D73="Serviço",AT$12&lt;&gt;0,$H73&gt;0,OR(AUTOEVENTO&lt;&gt;"manual",$M73&lt;&gt;$A$15)),
        IF(Import.TipoArredondamento&lt;&gt;"TransfereGOV",
              ROUND(OFFSET($P73,0,AT$13),15-13*ORÇAMENTO!$AF$7)/$H73*OFFSET(ORÇAMENTO!$X$15,ROW(AT73)-ROW(AT$15),0),
              ROUND(ROUND(OFFSET($P73,0,AT$13),15-13*ORÇAMENTO!$AF$7)*OFFSET(ORÇAMENTO!$W$15,ROW(AT73)-ROW(AT$15),0),15-13*ORÇAMENTO!$AF$11)),
         0)</f>
        <v>0</v>
      </c>
      <c r="AU73" s="453">
        <f ca="1">IF(AND($D73="Serviço",AU$12&lt;&gt;0,$H73&gt;0,OR(AUTOEVENTO&lt;&gt;"manual",$M73&lt;&gt;$A$15)),
        IF(Import.TipoArredondamento&lt;&gt;"TransfereGOV",
              ROUND(OFFSET($P73,0,AU$13),15-13*ORÇAMENTO!$AF$7)/$H73*OFFSET(ORÇAMENTO!$X$15,ROW(AU73)-ROW(AU$15),0),
              ROUND(ROUND(OFFSET($P73,0,AU$13),15-13*ORÇAMENTO!$AF$7)*OFFSET(ORÇAMENTO!$W$15,ROW(AU73)-ROW(AU$15),0),15-13*ORÇAMENTO!$AF$11)),
         0)</f>
        <v>0</v>
      </c>
      <c r="AV73" s="453">
        <f ca="1">IF(AND($D73="Serviço",AV$12&lt;&gt;0,$H73&gt;0,OR(AUTOEVENTO&lt;&gt;"manual",$M73&lt;&gt;$A$15)),
        IF(Import.TipoArredondamento&lt;&gt;"TransfereGOV",
              ROUND(OFFSET($P73,0,AV$13),15-13*ORÇAMENTO!$AF$7)/$H73*OFFSET(ORÇAMENTO!$X$15,ROW(AV73)-ROW(AV$15),0),
              ROUND(ROUND(OFFSET($P73,0,AV$13),15-13*ORÇAMENTO!$AF$7)*OFFSET(ORÇAMENTO!$W$15,ROW(AV73)-ROW(AV$15),0),15-13*ORÇAMENTO!$AF$11)),
         0)</f>
        <v>0</v>
      </c>
      <c r="AW73" s="453">
        <f ca="1">IF(AND($D73="Serviço",AW$12&lt;&gt;0,$H73&gt;0,OR(AUTOEVENTO&lt;&gt;"manual",$M73&lt;&gt;$A$15)),
        IF(Import.TipoArredondamento&lt;&gt;"TransfereGOV",
              ROUND(OFFSET($P73,0,AW$13),15-13*ORÇAMENTO!$AF$7)/$H73*OFFSET(ORÇAMENTO!$X$15,ROW(AW73)-ROW(AW$15),0),
              ROUND(ROUND(OFFSET($P73,0,AW$13),15-13*ORÇAMENTO!$AF$7)*OFFSET(ORÇAMENTO!$W$15,ROW(AW73)-ROW(AW$15),0),15-13*ORÇAMENTO!$AF$11)),
         0)</f>
        <v>0</v>
      </c>
      <c r="AX73" s="453">
        <f ca="1">IF(AND($D73="Serviço",AX$12&lt;&gt;0,$H73&gt;0,OR(AUTOEVENTO&lt;&gt;"manual",$M73&lt;&gt;$A$15)),
        IF(Import.TipoArredondamento&lt;&gt;"TransfereGOV",
              ROUND(OFFSET($P73,0,AX$13),15-13*ORÇAMENTO!$AF$7)/$H73*OFFSET(ORÇAMENTO!$X$15,ROW(AX73)-ROW(AX$15),0),
              ROUND(ROUND(OFFSET($P73,0,AX$13),15-13*ORÇAMENTO!$AF$7)*OFFSET(ORÇAMENTO!$W$15,ROW(AX73)-ROW(AX$15),0),15-13*ORÇAMENTO!$AF$11)),
         0)</f>
        <v>0</v>
      </c>
      <c r="AY73" s="453">
        <f ca="1">IF(AND($D73="Serviço",AY$12&lt;&gt;0,$H73&gt;0,OR(AUTOEVENTO&lt;&gt;"manual",$M73&lt;&gt;$A$15)),
        IF(Import.TipoArredondamento&lt;&gt;"TransfereGOV",
              ROUND(OFFSET($P73,0,AY$13),15-13*ORÇAMENTO!$AF$7)/$H73*OFFSET(ORÇAMENTO!$X$15,ROW(AY73)-ROW(AY$15),0),
              ROUND(ROUND(OFFSET($P73,0,AY$13),15-13*ORÇAMENTO!$AF$7)*OFFSET(ORÇAMENTO!$W$15,ROW(AY73)-ROW(AY$15),0),15-13*ORÇAMENTO!$AF$11)),
         0)</f>
        <v>0</v>
      </c>
      <c r="AZ73" s="453">
        <f ca="1">IF(AND($D73="Serviço",AZ$12&lt;&gt;0,$H73&gt;0,OR(AUTOEVENTO&lt;&gt;"manual",$M73&lt;&gt;$A$15)),
        IF(Import.TipoArredondamento&lt;&gt;"TransfereGOV",
              ROUND(OFFSET($P73,0,AZ$13),15-13*ORÇAMENTO!$AF$7)/$H73*OFFSET(ORÇAMENTO!$X$15,ROW(AZ73)-ROW(AZ$15),0),
              ROUND(ROUND(OFFSET($P73,0,AZ$13),15-13*ORÇAMENTO!$AF$7)*OFFSET(ORÇAMENTO!$W$15,ROW(AZ73)-ROW(AZ$15),0),15-13*ORÇAMENTO!$AF$11)),
         0)</f>
        <v>0</v>
      </c>
      <c r="BA73" s="453">
        <f ca="1">IF(AND($D73="Serviço",BA$12&lt;&gt;0,$H73&gt;0,OR(AUTOEVENTO&lt;&gt;"manual",$M73&lt;&gt;$A$15)),
        IF(Import.TipoArredondamento&lt;&gt;"TransfereGOV",
              ROUND(OFFSET($P73,0,BA$13),15-13*ORÇAMENTO!$AF$7)/$H73*OFFSET(ORÇAMENTO!$X$15,ROW(BA73)-ROW(BA$15),0),
              ROUND(ROUND(OFFSET($P73,0,BA$13),15-13*ORÇAMENTO!$AF$7)*OFFSET(ORÇAMENTO!$W$15,ROW(BA73)-ROW(BA$15),0),15-13*ORÇAMENTO!$AF$11)),
         0)</f>
        <v>0</v>
      </c>
      <c r="BC73" s="171">
        <f ca="1">IF(OR($D73&lt;&gt;"Serviço",AND(AUTOEVENTO="Manual",$M73=$A$15)),0,
         IF(OFFSET(CRONOPLE!$F$15,$M73-$A$15,BC$13)=0,10^12,OFFSET(CRONOPLE!$F$15,$M73-$A$15,BC$13)))</f>
        <v>1000000000000</v>
      </c>
      <c r="BD73" s="171">
        <f ca="1">IF(OR($D73&lt;&gt;"Serviço",AND(AUTOEVENTO="Manual",$M73=$A$15)),0,
         IF(OFFSET(CRONOPLE!$F$15,$M73-$A$15,BD$13)=0,10^12,OFFSET(CRONOPLE!$F$15,$M73-$A$15,BD$13)))</f>
        <v>1000000000000</v>
      </c>
      <c r="BE73" s="171">
        <f ca="1">IF(OR($D73&lt;&gt;"Serviço",AND(AUTOEVENTO="Manual",$M73=$A$15)),0,
         IF(OFFSET(CRONOPLE!$F$15,$M73-$A$15,BE$13)=0,10^12,OFFSET(CRONOPLE!$F$15,$M73-$A$15,BE$13)))</f>
        <v>1000000000000</v>
      </c>
      <c r="BF73" s="171">
        <f ca="1">IF(OR($D73&lt;&gt;"Serviço",AND(AUTOEVENTO="Manual",$M73=$A$15)),0,
         IF(OFFSET(CRONOPLE!$F$15,$M73-$A$15,BF$13)=0,10^12,OFFSET(CRONOPLE!$F$15,$M73-$A$15,BF$13)))</f>
        <v>1</v>
      </c>
      <c r="BG73" s="171">
        <f ca="1">IF(OR($D73&lt;&gt;"Serviço",AND(AUTOEVENTO="Manual",$M73=$A$15)),0,
         IF(OFFSET(CRONOPLE!$F$15,$M73-$A$15,BG$13)=0,10^12,OFFSET(CRONOPLE!$F$15,$M73-$A$15,BG$13)))</f>
        <v>1000000000000</v>
      </c>
      <c r="BH73" s="171">
        <f ca="1">IF(OR($D73&lt;&gt;"Serviço",AND(AUTOEVENTO="Manual",$M73=$A$15)),0,
         IF(OFFSET(CRONOPLE!$F$15,$M73-$A$15,BH$13)=0,10^12,OFFSET(CRONOPLE!$F$15,$M73-$A$15,BH$13)))</f>
        <v>1000000000000</v>
      </c>
      <c r="BI73" s="171">
        <f ca="1">IF(OR($D73&lt;&gt;"Serviço",AND(AUTOEVENTO="Manual",$M73=$A$15)),0,
         IF(OFFSET(CRONOPLE!$F$15,$M73-$A$15,BI$13)=0,10^12,OFFSET(CRONOPLE!$F$15,$M73-$A$15,BI$13)))</f>
        <v>1000000000000</v>
      </c>
      <c r="BJ73" s="171">
        <f ca="1">IF(OR($D73&lt;&gt;"Serviço",AND(AUTOEVENTO="Manual",$M73=$A$15)),0,
         IF(OFFSET(CRONOPLE!$F$15,$M73-$A$15,BJ$13)=0,10^12,OFFSET(CRONOPLE!$F$15,$M73-$A$15,BJ$13)))</f>
        <v>1000000000000</v>
      </c>
      <c r="BK73" s="171">
        <f ca="1">IF(OR($D73&lt;&gt;"Serviço",AND(AUTOEVENTO="Manual",$M73=$A$15)),0,
         IF(OFFSET(CRONOPLE!$F$15,$M73-$A$15,BK$13)=0,10^12,OFFSET(CRONOPLE!$F$15,$M73-$A$15,BK$13)))</f>
        <v>1000000000000</v>
      </c>
      <c r="BL73" s="171">
        <f ca="1">IF(OR($D73&lt;&gt;"Serviço",AND(AUTOEVENTO="Manual",$M73=$A$15)),0,
         IF(OFFSET(CRONOPLE!$F$15,$M73-$A$15,BL$13)=0,10^12,OFFSET(CRONOPLE!$F$15,$M73-$A$15,BL$13)))</f>
        <v>1000000000000</v>
      </c>
      <c r="BM73" s="171">
        <f ca="1">IF(OR($D73&lt;&gt;"Serviço",AND(AUTOEVENTO="Manual",$M73=$A$15)),0,
         IF(OFFSET(CRONOPLE!$F$15,$M73-$A$15,BM$13)=0,10^12,OFFSET(CRONOPLE!$F$15,$M73-$A$15,BM$13)))</f>
        <v>1000000000000</v>
      </c>
      <c r="BN73" s="171">
        <f ca="1">IF(OR($D73&lt;&gt;"Serviço",AND(AUTOEVENTO="Manual",$M73=$A$15)),0,
         IF(OFFSET(CRONOPLE!$F$15,$M73-$A$15,BN$13)=0,10^12,OFFSET(CRONOPLE!$F$15,$M73-$A$15,BN$13)))</f>
        <v>1000000000000</v>
      </c>
      <c r="BO73" s="171">
        <f ca="1">IF(OR($D73&lt;&gt;"Serviço",AND(AUTOEVENTO="Manual",$M73=$A$15)),0,
         IF(OFFSET(CRONOPLE!$F$15,$M73-$A$15,BO$13)=0,10^12,OFFSET(CRONOPLE!$F$15,$M73-$A$15,BO$13)))</f>
        <v>1000000000000</v>
      </c>
      <c r="BP73" s="171">
        <f ca="1">IF(OR($D73&lt;&gt;"Serviço",AND(AUTOEVENTO="Manual",$M73=$A$15)),0,
         IF(OFFSET(CRONOPLE!$F$15,$M73-$A$15,BP$13)=0,10^12,OFFSET(CRONOPLE!$F$15,$M73-$A$15,BP$13)))</f>
        <v>1000000000000</v>
      </c>
      <c r="BQ73" s="171">
        <f ca="1">IF(OR($D73&lt;&gt;"Serviço",AND(AUTOEVENTO="Manual",$M73=$A$15)),0,
         IF(OFFSET(CRONOPLE!$F$15,$M73-$A$15,BQ$13)=0,10^12,OFFSET(CRONOPLE!$F$15,$M73-$A$15,BQ$13)))</f>
        <v>1000000000000</v>
      </c>
      <c r="BR73" s="171">
        <f ca="1">IF(OR($D73&lt;&gt;"Serviço",AND(AUTOEVENTO="Manual",$M73=$A$15)),0,
         IF(OFFSET(CRONOPLE!$F$15,$M73-$A$15,BR$13)=0,10^12,OFFSET(CRONOPLE!$F$15,$M73-$A$15,BR$13)))</f>
        <v>1000000000000</v>
      </c>
      <c r="BS73" s="171">
        <f ca="1">IF(OR($D73&lt;&gt;"Serviço",AND(AUTOEVENTO="Manual",$M73=$A$15)),0,
         IF(OFFSET(CRONOPLE!$F$15,$M73-$A$15,BS$13)=0,10^12,OFFSET(CRONOPLE!$F$15,$M73-$A$15,BS$13)))</f>
        <v>1000000000000</v>
      </c>
      <c r="BT73" s="171">
        <f ca="1">IF(OR($D73&lt;&gt;"Serviço",AND(AUTOEVENTO="Manual",$M73=$A$15)),0,
         IF(OFFSET(CRONOPLE!$F$15,$M73-$A$15,BT$13)=0,10^12,OFFSET(CRONOPLE!$F$15,$M73-$A$15,BT$13)))</f>
        <v>1000000000000</v>
      </c>
      <c r="BV73" s="172">
        <f ca="1">IF(OR($D73&lt;&gt;"Serviço",AND(AUTOEVENTO="Manual",$M73=$A$15),$M73&gt;(ROW(PLE.lastrow)-ROW(PLE.firstrow))),0,
           IF(OFFSET(PLE!$G$15,$M73-$A$15,BV$13)="",10^12,OFFSET(PLE!$G$15,$M73-$A$15,BV$13)))</f>
        <v>1000000000000</v>
      </c>
      <c r="BW73" s="172">
        <f ca="1">IF(OR($D73&lt;&gt;"Serviço",AND(AUTOEVENTO="Manual",$M73=$A$15),$M73&gt;(ROW(PLE.lastrow)-ROW(PLE.firstrow))),0,
           IF(OFFSET(PLE!$G$15,$M73-$A$15,BW$13)="",10^12,OFFSET(PLE!$G$15,$M73-$A$15,BW$13)))</f>
        <v>1000000000000</v>
      </c>
      <c r="BX73" s="172">
        <f ca="1">IF(OR($D73&lt;&gt;"Serviço",AND(AUTOEVENTO="Manual",$M73=$A$15),$M73&gt;(ROW(PLE.lastrow)-ROW(PLE.firstrow))),0,
           IF(OFFSET(PLE!$G$15,$M73-$A$15,BX$13)="",10^12,OFFSET(PLE!$G$15,$M73-$A$15,BX$13)))</f>
        <v>1000000000000</v>
      </c>
      <c r="BY73" s="172">
        <f ca="1">IF(OR($D73&lt;&gt;"Serviço",AND(AUTOEVENTO="Manual",$M73=$A$15),$M73&gt;(ROW(PLE.lastrow)-ROW(PLE.firstrow))),0,
           IF(OFFSET(PLE!$G$15,$M73-$A$15,BY$13)="",10^12,OFFSET(PLE!$G$15,$M73-$A$15,BY$13)))</f>
        <v>1000000000000</v>
      </c>
      <c r="BZ73" s="172">
        <f ca="1">IF(OR($D73&lt;&gt;"Serviço",AND(AUTOEVENTO="Manual",$M73=$A$15),$M73&gt;(ROW(PLE.lastrow)-ROW(PLE.firstrow))),0,
           IF(OFFSET(PLE!$G$15,$M73-$A$15,BZ$13)="",10^12,OFFSET(PLE!$G$15,$M73-$A$15,BZ$13)))</f>
        <v>1000000000000</v>
      </c>
      <c r="CA73" s="172">
        <f ca="1">IF(OR($D73&lt;&gt;"Serviço",AND(AUTOEVENTO="Manual",$M73=$A$15),$M73&gt;(ROW(PLE.lastrow)-ROW(PLE.firstrow))),0,
           IF(OFFSET(PLE!$G$15,$M73-$A$15,CA$13)="",10^12,OFFSET(PLE!$G$15,$M73-$A$15,CA$13)))</f>
        <v>1000000000000</v>
      </c>
      <c r="CB73" s="172">
        <f ca="1">IF(OR($D73&lt;&gt;"Serviço",AND(AUTOEVENTO="Manual",$M73=$A$15),$M73&gt;(ROW(PLE.lastrow)-ROW(PLE.firstrow))),0,
           IF(OFFSET(PLE!$G$15,$M73-$A$15,CB$13)="",10^12,OFFSET(PLE!$G$15,$M73-$A$15,CB$13)))</f>
        <v>1000000000000</v>
      </c>
      <c r="CC73" s="172">
        <f ca="1">IF(OR($D73&lt;&gt;"Serviço",AND(AUTOEVENTO="Manual",$M73=$A$15),$M73&gt;(ROW(PLE.lastrow)-ROW(PLE.firstrow))),0,
           IF(OFFSET(PLE!$G$15,$M73-$A$15,CC$13)="",10^12,OFFSET(PLE!$G$15,$M73-$A$15,CC$13)))</f>
        <v>1000000000000</v>
      </c>
      <c r="CD73" s="172">
        <f ca="1">IF(OR($D73&lt;&gt;"Serviço",AND(AUTOEVENTO="Manual",$M73=$A$15),$M73&gt;(ROW(PLE.lastrow)-ROW(PLE.firstrow))),0,
           IF(OFFSET(PLE!$G$15,$M73-$A$15,CD$13)="",10^12,OFFSET(PLE!$G$15,$M73-$A$15,CD$13)))</f>
        <v>1000000000000</v>
      </c>
      <c r="CE73" s="172">
        <f ca="1">IF(OR($D73&lt;&gt;"Serviço",AND(AUTOEVENTO="Manual",$M73=$A$15),$M73&gt;(ROW(PLE.lastrow)-ROW(PLE.firstrow))),0,
           IF(OFFSET(PLE!$G$15,$M73-$A$15,CE$13)="",10^12,OFFSET(PLE!$G$15,$M73-$A$15,CE$13)))</f>
        <v>1000000000000</v>
      </c>
      <c r="CF73" s="172">
        <f ca="1">IF(OR($D73&lt;&gt;"Serviço",AND(AUTOEVENTO="Manual",$M73=$A$15),$M73&gt;(ROW(PLE.lastrow)-ROW(PLE.firstrow))),0,
           IF(OFFSET(PLE!$G$15,$M73-$A$15,CF$13)="",10^12,OFFSET(PLE!$G$15,$M73-$A$15,CF$13)))</f>
        <v>1000000000000</v>
      </c>
      <c r="CG73" s="172">
        <f ca="1">IF(OR($D73&lt;&gt;"Serviço",AND(AUTOEVENTO="Manual",$M73=$A$15),$M73&gt;(ROW(PLE.lastrow)-ROW(PLE.firstrow))),0,
           IF(OFFSET(PLE!$G$15,$M73-$A$15,CG$13)="",10^12,OFFSET(PLE!$G$15,$M73-$A$15,CG$13)))</f>
        <v>1000000000000</v>
      </c>
      <c r="CH73" s="172">
        <f ca="1">IF(OR($D73&lt;&gt;"Serviço",AND(AUTOEVENTO="Manual",$M73=$A$15),$M73&gt;(ROW(PLE.lastrow)-ROW(PLE.firstrow))),0,
           IF(OFFSET(PLE!$G$15,$M73-$A$15,CH$13)="",10^12,OFFSET(PLE!$G$15,$M73-$A$15,CH$13)))</f>
        <v>1000000000000</v>
      </c>
      <c r="CI73" s="172">
        <f ca="1">IF(OR($D73&lt;&gt;"Serviço",AND(AUTOEVENTO="Manual",$M73=$A$15),$M73&gt;(ROW(PLE.lastrow)-ROW(PLE.firstrow))),0,
           IF(OFFSET(PLE!$G$15,$M73-$A$15,CI$13)="",10^12,OFFSET(PLE!$G$15,$M73-$A$15,CI$13)))</f>
        <v>1000000000000</v>
      </c>
      <c r="CJ73" s="172">
        <f ca="1">IF(OR($D73&lt;&gt;"Serviço",AND(AUTOEVENTO="Manual",$M73=$A$15),$M73&gt;(ROW(PLE.lastrow)-ROW(PLE.firstrow))),0,
           IF(OFFSET(PLE!$G$15,$M73-$A$15,CJ$13)="",10^12,OFFSET(PLE!$G$15,$M73-$A$15,CJ$13)))</f>
        <v>1000000000000</v>
      </c>
      <c r="CK73" s="172">
        <f ca="1">IF(OR($D73&lt;&gt;"Serviço",AND(AUTOEVENTO="Manual",$M73=$A$15),$M73&gt;(ROW(PLE.lastrow)-ROW(PLE.firstrow))),0,
           IF(OFFSET(PLE!$G$15,$M73-$A$15,CK$13)="",10^12,OFFSET(PLE!$G$15,$M73-$A$15,CK$13)))</f>
        <v>1000000000000</v>
      </c>
      <c r="CL73" s="172">
        <f ca="1">IF(OR($D73&lt;&gt;"Serviço",AND(AUTOEVENTO="Manual",$M73=$A$15),$M73&gt;(ROW(PLE.lastrow)-ROW(PLE.firstrow))),0,
           IF(OFFSET(PLE!$G$15,$M73-$A$15,CL$13)="",10^12,OFFSET(PLE!$G$15,$M73-$A$15,CL$13)))</f>
        <v>1000000000000</v>
      </c>
      <c r="CM73" s="172">
        <f ca="1">IF(OR($D73&lt;&gt;"Serviço",AND(AUTOEVENTO="Manual",$M73=$A$15),$M73&gt;(ROW(PLE.lastrow)-ROW(PLE.firstrow))),0,
           IF(OFFSET(PLE!$G$15,$M73-$A$15,CM$13)="",10^12,OFFSET(PLE!$G$15,$M73-$A$15,CM$13)))</f>
        <v>1000000000000</v>
      </c>
    </row>
    <row r="74" spans="1:91" ht="13.2" x14ac:dyDescent="0.25">
      <c r="A74" s="7" t="str">
        <f t="shared" ca="1" si="11"/>
        <v>59.</v>
      </c>
      <c r="B74" s="7">
        <f ca="1">OFFSET(ORÇAMENTO!C$15,ROW(B74)-ROW(B$15),0)</f>
        <v>2</v>
      </c>
      <c r="C74" s="7" t="str">
        <f ca="1">OFFSET(ORÇAMENTO!L$15,ROW(C74)-ROW(C$15),0)</f>
        <v>F</v>
      </c>
      <c r="D74" s="116" t="str">
        <f ca="1">OFFSET(ORÇAMENTO!N$15,ROW(D74)-ROW(D$15),0)</f>
        <v>Nível 2</v>
      </c>
      <c r="E74" s="117" t="str">
        <f ca="1">OFFSET(ORÇAMENTO!O$15,ROW(E74)-ROW(E$15),0)</f>
        <v>2.4.</v>
      </c>
      <c r="F74" s="163" t="str">
        <f ca="1">OFFSET(ORÇAMENTO!R$15,ROW(F74)-ROW(F$15),0)</f>
        <v>LOMBADAS TIPO A (3,70m de comprimento x 0,10m altura)</v>
      </c>
      <c r="G74" s="164" t="str">
        <f ca="1">IF($D74&lt;&gt;"Serviço","",OFFSET(ORÇAMENTO!S$15,ROW(G74)-ROW(G$15),0))</f>
        <v/>
      </c>
      <c r="H74" s="122" cm="1">
        <f t="array" aca="1" ref="H74" ca="1">IF($D74&lt;&gt;"Serviço",0,IF(ACOMPANHAMENTO="BM",ROUND(OFFSET(ORÇAMENTO!AJ$15,ROW(H74)-ROW(H$15),0),15-13*ORÇAMENTO!$AF$7),SUMPRODUCT(($Q$1:$AI$1=1)*ROUND($Q74:$AI74,15-13*ORÇAMENTO!$AF$7))))</f>
        <v>0</v>
      </c>
      <c r="I74" s="468"/>
      <c r="J74" s="651" t="str" cm="1">
        <f t="array" aca="1" ref="J74" ca="1">IF(OR(B74&lt;&gt;"S",CÁLCULO.FrentesPreenchidas=0),"",IF(AND(ACOMPANHAMENTO="PLE",AUTOEVENTO="Manual",OR(H74&gt;0,ORÇAMENTO!AC74="QUANT."),OR(K74="",M74=0,N74="")),"►E",IF(AND(ACOMPANHAMENTO="PLE",ORÇAMENTO!AC74="QUANT."),"►Q",IF(AND(ACOMPANHAMENTO="PLE",H74&lt;&gt;SUMPRODUCT(($Q$1:$AI$1=1)*ROUND(Q74:AI74,15))),"►S",IF(AND(COUNTIF($P$11:$AI$11,"▼")=0,H74&gt;0,I74=""),"◄M","")))))</f>
        <v/>
      </c>
      <c r="K74" s="652"/>
      <c r="L74" s="165" t="s">
        <v>764</v>
      </c>
      <c r="M74" s="166" t="str">
        <f ca="1">IF($D74&lt;&gt;"Serviço","",
          IF(AUTOEVENTO="manual",$A74,
                IF(ISERROR(MATCH($A74,$A$15:OFFSET($A74,-1,0),0)),MAX($M$15:OFFSET(M74,-1,0))+1,
                      INDEX($M$15:OFFSET(M74,-1,0),MATCH($A74,$A$15:OFFSET($A74,-1,0),0)))))</f>
        <v/>
      </c>
      <c r="N74" s="167" t="str">
        <f ca="1">IF($D74&lt;&gt;"Serviço","",
         IF(AUTOEVENTO="Manual",
                IF($A74=0,"&lt;-- defina o número do agrupador",
                       OFFSET(EVENTOS!$D$15,$A74-$A$15,0)),
                OFFSET($F$15,$A74,0)))</f>
        <v/>
      </c>
      <c r="O74" s="168"/>
      <c r="Q74" s="168"/>
      <c r="R74" s="169"/>
      <c r="S74" s="169"/>
      <c r="T74" s="169"/>
      <c r="U74" s="169"/>
      <c r="V74" s="169"/>
      <c r="W74" s="169"/>
      <c r="X74" s="169"/>
      <c r="Y74" s="169"/>
      <c r="Z74" s="170"/>
      <c r="AA74" s="169"/>
      <c r="AB74" s="169"/>
      <c r="AC74" s="169"/>
      <c r="AD74" s="169"/>
      <c r="AE74" s="169"/>
      <c r="AF74" s="169"/>
      <c r="AG74" s="169"/>
      <c r="AH74" s="170"/>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L74" s="453">
        <f ca="1">IF(AND($D74="Serviço",AL$12&lt;&gt;0,$H74&gt;0,OR(AUTOEVENTO&lt;&gt;"manual",$M74&lt;&gt;$A$15)),
        IF(Import.TipoArredondamento&lt;&gt;"TransfereGOV",
              ROUND(OFFSET($P74,0,AL$13),15-13*ORÇAMENTO!$AF$7)/$H74*OFFSET(ORÇAMENTO!$X$15,ROW(AL74)-ROW(AL$15),0),
              ROUND(ROUND(OFFSET($P74,0,AL$13),15-13*ORÇAMENTO!$AF$7)*OFFSET(ORÇAMENTO!$W$15,ROW(AL74)-ROW(AL$15),0),15-13*ORÇAMENTO!$AF$11)),
         0)</f>
        <v>0</v>
      </c>
      <c r="AM74" s="453">
        <f ca="1">IF(AND($D74="Serviço",AM$12&lt;&gt;0,$H74&gt;0,OR(AUTOEVENTO&lt;&gt;"manual",$M74&lt;&gt;$A$15)),
        IF(Import.TipoArredondamento&lt;&gt;"TransfereGOV",
              ROUND(OFFSET($P74,0,AM$13),15-13*ORÇAMENTO!$AF$7)/$H74*OFFSET(ORÇAMENTO!$X$15,ROW(AM74)-ROW(AM$15),0),
              ROUND(ROUND(OFFSET($P74,0,AM$13),15-13*ORÇAMENTO!$AF$7)*OFFSET(ORÇAMENTO!$W$15,ROW(AM74)-ROW(AM$15),0),15-13*ORÇAMENTO!$AF$11)),
         0)</f>
        <v>0</v>
      </c>
      <c r="AN74" s="453">
        <f ca="1">IF(AND($D74="Serviço",AN$12&lt;&gt;0,$H74&gt;0,OR(AUTOEVENTO&lt;&gt;"manual",$M74&lt;&gt;$A$15)),
        IF(Import.TipoArredondamento&lt;&gt;"TransfereGOV",
              ROUND(OFFSET($P74,0,AN$13),15-13*ORÇAMENTO!$AF$7)/$H74*OFFSET(ORÇAMENTO!$X$15,ROW(AN74)-ROW(AN$15),0),
              ROUND(ROUND(OFFSET($P74,0,AN$13),15-13*ORÇAMENTO!$AF$7)*OFFSET(ORÇAMENTO!$W$15,ROW(AN74)-ROW(AN$15),0),15-13*ORÇAMENTO!$AF$11)),
         0)</f>
        <v>0</v>
      </c>
      <c r="AO74" s="453">
        <f ca="1">IF(AND($D74="Serviço",AO$12&lt;&gt;0,$H74&gt;0,OR(AUTOEVENTO&lt;&gt;"manual",$M74&lt;&gt;$A$15)),
        IF(Import.TipoArredondamento&lt;&gt;"TransfereGOV",
              ROUND(OFFSET($P74,0,AO$13),15-13*ORÇAMENTO!$AF$7)/$H74*OFFSET(ORÇAMENTO!$X$15,ROW(AO74)-ROW(AO$15),0),
              ROUND(ROUND(OFFSET($P74,0,AO$13),15-13*ORÇAMENTO!$AF$7)*OFFSET(ORÇAMENTO!$W$15,ROW(AO74)-ROW(AO$15),0),15-13*ORÇAMENTO!$AF$11)),
         0)</f>
        <v>0</v>
      </c>
      <c r="AP74" s="453">
        <f ca="1">IF(AND($D74="Serviço",AP$12&lt;&gt;0,$H74&gt;0,OR(AUTOEVENTO&lt;&gt;"manual",$M74&lt;&gt;$A$15)),
        IF(Import.TipoArredondamento&lt;&gt;"TransfereGOV",
              ROUND(OFFSET($P74,0,AP$13),15-13*ORÇAMENTO!$AF$7)/$H74*OFFSET(ORÇAMENTO!$X$15,ROW(AP74)-ROW(AP$15),0),
              ROUND(ROUND(OFFSET($P74,0,AP$13),15-13*ORÇAMENTO!$AF$7)*OFFSET(ORÇAMENTO!$W$15,ROW(AP74)-ROW(AP$15),0),15-13*ORÇAMENTO!$AF$11)),
         0)</f>
        <v>0</v>
      </c>
      <c r="AQ74" s="453">
        <f ca="1">IF(AND($D74="Serviço",AQ$12&lt;&gt;0,$H74&gt;0,OR(AUTOEVENTO&lt;&gt;"manual",$M74&lt;&gt;$A$15)),
        IF(Import.TipoArredondamento&lt;&gt;"TransfereGOV",
              ROUND(OFFSET($P74,0,AQ$13),15-13*ORÇAMENTO!$AF$7)/$H74*OFFSET(ORÇAMENTO!$X$15,ROW(AQ74)-ROW(AQ$15),0),
              ROUND(ROUND(OFFSET($P74,0,AQ$13),15-13*ORÇAMENTO!$AF$7)*OFFSET(ORÇAMENTO!$W$15,ROW(AQ74)-ROW(AQ$15),0),15-13*ORÇAMENTO!$AF$11)),
         0)</f>
        <v>0</v>
      </c>
      <c r="AR74" s="453">
        <f ca="1">IF(AND($D74="Serviço",AR$12&lt;&gt;0,$H74&gt;0,OR(AUTOEVENTO&lt;&gt;"manual",$M74&lt;&gt;$A$15)),
        IF(Import.TipoArredondamento&lt;&gt;"TransfereGOV",
              ROUND(OFFSET($P74,0,AR$13),15-13*ORÇAMENTO!$AF$7)/$H74*OFFSET(ORÇAMENTO!$X$15,ROW(AR74)-ROW(AR$15),0),
              ROUND(ROUND(OFFSET($P74,0,AR$13),15-13*ORÇAMENTO!$AF$7)*OFFSET(ORÇAMENTO!$W$15,ROW(AR74)-ROW(AR$15),0),15-13*ORÇAMENTO!$AF$11)),
         0)</f>
        <v>0</v>
      </c>
      <c r="AS74" s="453">
        <f ca="1">IF(AND($D74="Serviço",AS$12&lt;&gt;0,$H74&gt;0,OR(AUTOEVENTO&lt;&gt;"manual",$M74&lt;&gt;$A$15)),
        IF(Import.TipoArredondamento&lt;&gt;"TransfereGOV",
              ROUND(OFFSET($P74,0,AS$13),15-13*ORÇAMENTO!$AF$7)/$H74*OFFSET(ORÇAMENTO!$X$15,ROW(AS74)-ROW(AS$15),0),
              ROUND(ROUND(OFFSET($P74,0,AS$13),15-13*ORÇAMENTO!$AF$7)*OFFSET(ORÇAMENTO!$W$15,ROW(AS74)-ROW(AS$15),0),15-13*ORÇAMENTO!$AF$11)),
         0)</f>
        <v>0</v>
      </c>
      <c r="AT74" s="453">
        <f ca="1">IF(AND($D74="Serviço",AT$12&lt;&gt;0,$H74&gt;0,OR(AUTOEVENTO&lt;&gt;"manual",$M74&lt;&gt;$A$15)),
        IF(Import.TipoArredondamento&lt;&gt;"TransfereGOV",
              ROUND(OFFSET($P74,0,AT$13),15-13*ORÇAMENTO!$AF$7)/$H74*OFFSET(ORÇAMENTO!$X$15,ROW(AT74)-ROW(AT$15),0),
              ROUND(ROUND(OFFSET($P74,0,AT$13),15-13*ORÇAMENTO!$AF$7)*OFFSET(ORÇAMENTO!$W$15,ROW(AT74)-ROW(AT$15),0),15-13*ORÇAMENTO!$AF$11)),
         0)</f>
        <v>0</v>
      </c>
      <c r="AU74" s="453">
        <f ca="1">IF(AND($D74="Serviço",AU$12&lt;&gt;0,$H74&gt;0,OR(AUTOEVENTO&lt;&gt;"manual",$M74&lt;&gt;$A$15)),
        IF(Import.TipoArredondamento&lt;&gt;"TransfereGOV",
              ROUND(OFFSET($P74,0,AU$13),15-13*ORÇAMENTO!$AF$7)/$H74*OFFSET(ORÇAMENTO!$X$15,ROW(AU74)-ROW(AU$15),0),
              ROUND(ROUND(OFFSET($P74,0,AU$13),15-13*ORÇAMENTO!$AF$7)*OFFSET(ORÇAMENTO!$W$15,ROW(AU74)-ROW(AU$15),0),15-13*ORÇAMENTO!$AF$11)),
         0)</f>
        <v>0</v>
      </c>
      <c r="AV74" s="453">
        <f ca="1">IF(AND($D74="Serviço",AV$12&lt;&gt;0,$H74&gt;0,OR(AUTOEVENTO&lt;&gt;"manual",$M74&lt;&gt;$A$15)),
        IF(Import.TipoArredondamento&lt;&gt;"TransfereGOV",
              ROUND(OFFSET($P74,0,AV$13),15-13*ORÇAMENTO!$AF$7)/$H74*OFFSET(ORÇAMENTO!$X$15,ROW(AV74)-ROW(AV$15),0),
              ROUND(ROUND(OFFSET($P74,0,AV$13),15-13*ORÇAMENTO!$AF$7)*OFFSET(ORÇAMENTO!$W$15,ROW(AV74)-ROW(AV$15),0),15-13*ORÇAMENTO!$AF$11)),
         0)</f>
        <v>0</v>
      </c>
      <c r="AW74" s="453">
        <f ca="1">IF(AND($D74="Serviço",AW$12&lt;&gt;0,$H74&gt;0,OR(AUTOEVENTO&lt;&gt;"manual",$M74&lt;&gt;$A$15)),
        IF(Import.TipoArredondamento&lt;&gt;"TransfereGOV",
              ROUND(OFFSET($P74,0,AW$13),15-13*ORÇAMENTO!$AF$7)/$H74*OFFSET(ORÇAMENTO!$X$15,ROW(AW74)-ROW(AW$15),0),
              ROUND(ROUND(OFFSET($P74,0,AW$13),15-13*ORÇAMENTO!$AF$7)*OFFSET(ORÇAMENTO!$W$15,ROW(AW74)-ROW(AW$15),0),15-13*ORÇAMENTO!$AF$11)),
         0)</f>
        <v>0</v>
      </c>
      <c r="AX74" s="453">
        <f ca="1">IF(AND($D74="Serviço",AX$12&lt;&gt;0,$H74&gt;0,OR(AUTOEVENTO&lt;&gt;"manual",$M74&lt;&gt;$A$15)),
        IF(Import.TipoArredondamento&lt;&gt;"TransfereGOV",
              ROUND(OFFSET($P74,0,AX$13),15-13*ORÇAMENTO!$AF$7)/$H74*OFFSET(ORÇAMENTO!$X$15,ROW(AX74)-ROW(AX$15),0),
              ROUND(ROUND(OFFSET($P74,0,AX$13),15-13*ORÇAMENTO!$AF$7)*OFFSET(ORÇAMENTO!$W$15,ROW(AX74)-ROW(AX$15),0),15-13*ORÇAMENTO!$AF$11)),
         0)</f>
        <v>0</v>
      </c>
      <c r="AY74" s="453">
        <f ca="1">IF(AND($D74="Serviço",AY$12&lt;&gt;0,$H74&gt;0,OR(AUTOEVENTO&lt;&gt;"manual",$M74&lt;&gt;$A$15)),
        IF(Import.TipoArredondamento&lt;&gt;"TransfereGOV",
              ROUND(OFFSET($P74,0,AY$13),15-13*ORÇAMENTO!$AF$7)/$H74*OFFSET(ORÇAMENTO!$X$15,ROW(AY74)-ROW(AY$15),0),
              ROUND(ROUND(OFFSET($P74,0,AY$13),15-13*ORÇAMENTO!$AF$7)*OFFSET(ORÇAMENTO!$W$15,ROW(AY74)-ROW(AY$15),0),15-13*ORÇAMENTO!$AF$11)),
         0)</f>
        <v>0</v>
      </c>
      <c r="AZ74" s="453">
        <f ca="1">IF(AND($D74="Serviço",AZ$12&lt;&gt;0,$H74&gt;0,OR(AUTOEVENTO&lt;&gt;"manual",$M74&lt;&gt;$A$15)),
        IF(Import.TipoArredondamento&lt;&gt;"TransfereGOV",
              ROUND(OFFSET($P74,0,AZ$13),15-13*ORÇAMENTO!$AF$7)/$H74*OFFSET(ORÇAMENTO!$X$15,ROW(AZ74)-ROW(AZ$15),0),
              ROUND(ROUND(OFFSET($P74,0,AZ$13),15-13*ORÇAMENTO!$AF$7)*OFFSET(ORÇAMENTO!$W$15,ROW(AZ74)-ROW(AZ$15),0),15-13*ORÇAMENTO!$AF$11)),
         0)</f>
        <v>0</v>
      </c>
      <c r="BA74" s="453">
        <f ca="1">IF(AND($D74="Serviço",BA$12&lt;&gt;0,$H74&gt;0,OR(AUTOEVENTO&lt;&gt;"manual",$M74&lt;&gt;$A$15)),
        IF(Import.TipoArredondamento&lt;&gt;"TransfereGOV",
              ROUND(OFFSET($P74,0,BA$13),15-13*ORÇAMENTO!$AF$7)/$H74*OFFSET(ORÇAMENTO!$X$15,ROW(BA74)-ROW(BA$15),0),
              ROUND(ROUND(OFFSET($P74,0,BA$13),15-13*ORÇAMENTO!$AF$7)*OFFSET(ORÇAMENTO!$W$15,ROW(BA74)-ROW(BA$15),0),15-13*ORÇAMENTO!$AF$11)),
         0)</f>
        <v>0</v>
      </c>
      <c r="BC74" s="171">
        <f ca="1">IF(OR($D74&lt;&gt;"Serviço",AND(AUTOEVENTO="Manual",$M74=$A$15)),0,
         IF(OFFSET(CRONOPLE!$F$15,$M74-$A$15,BC$13)=0,10^12,OFFSET(CRONOPLE!$F$15,$M74-$A$15,BC$13)))</f>
        <v>0</v>
      </c>
      <c r="BD74" s="171">
        <f ca="1">IF(OR($D74&lt;&gt;"Serviço",AND(AUTOEVENTO="Manual",$M74=$A$15)),0,
         IF(OFFSET(CRONOPLE!$F$15,$M74-$A$15,BD$13)=0,10^12,OFFSET(CRONOPLE!$F$15,$M74-$A$15,BD$13)))</f>
        <v>0</v>
      </c>
      <c r="BE74" s="171">
        <f ca="1">IF(OR($D74&lt;&gt;"Serviço",AND(AUTOEVENTO="Manual",$M74=$A$15)),0,
         IF(OFFSET(CRONOPLE!$F$15,$M74-$A$15,BE$13)=0,10^12,OFFSET(CRONOPLE!$F$15,$M74-$A$15,BE$13)))</f>
        <v>0</v>
      </c>
      <c r="BF74" s="171">
        <f ca="1">IF(OR($D74&lt;&gt;"Serviço",AND(AUTOEVENTO="Manual",$M74=$A$15)),0,
         IF(OFFSET(CRONOPLE!$F$15,$M74-$A$15,BF$13)=0,10^12,OFFSET(CRONOPLE!$F$15,$M74-$A$15,BF$13)))</f>
        <v>0</v>
      </c>
      <c r="BG74" s="171">
        <f ca="1">IF(OR($D74&lt;&gt;"Serviço",AND(AUTOEVENTO="Manual",$M74=$A$15)),0,
         IF(OFFSET(CRONOPLE!$F$15,$M74-$A$15,BG$13)=0,10^12,OFFSET(CRONOPLE!$F$15,$M74-$A$15,BG$13)))</f>
        <v>0</v>
      </c>
      <c r="BH74" s="171">
        <f ca="1">IF(OR($D74&lt;&gt;"Serviço",AND(AUTOEVENTO="Manual",$M74=$A$15)),0,
         IF(OFFSET(CRONOPLE!$F$15,$M74-$A$15,BH$13)=0,10^12,OFFSET(CRONOPLE!$F$15,$M74-$A$15,BH$13)))</f>
        <v>0</v>
      </c>
      <c r="BI74" s="171">
        <f ca="1">IF(OR($D74&lt;&gt;"Serviço",AND(AUTOEVENTO="Manual",$M74=$A$15)),0,
         IF(OFFSET(CRONOPLE!$F$15,$M74-$A$15,BI$13)=0,10^12,OFFSET(CRONOPLE!$F$15,$M74-$A$15,BI$13)))</f>
        <v>0</v>
      </c>
      <c r="BJ74" s="171">
        <f ca="1">IF(OR($D74&lt;&gt;"Serviço",AND(AUTOEVENTO="Manual",$M74=$A$15)),0,
         IF(OFFSET(CRONOPLE!$F$15,$M74-$A$15,BJ$13)=0,10^12,OFFSET(CRONOPLE!$F$15,$M74-$A$15,BJ$13)))</f>
        <v>0</v>
      </c>
      <c r="BK74" s="171">
        <f ca="1">IF(OR($D74&lt;&gt;"Serviço",AND(AUTOEVENTO="Manual",$M74=$A$15)),0,
         IF(OFFSET(CRONOPLE!$F$15,$M74-$A$15,BK$13)=0,10^12,OFFSET(CRONOPLE!$F$15,$M74-$A$15,BK$13)))</f>
        <v>0</v>
      </c>
      <c r="BL74" s="171">
        <f ca="1">IF(OR($D74&lt;&gt;"Serviço",AND(AUTOEVENTO="Manual",$M74=$A$15)),0,
         IF(OFFSET(CRONOPLE!$F$15,$M74-$A$15,BL$13)=0,10^12,OFFSET(CRONOPLE!$F$15,$M74-$A$15,BL$13)))</f>
        <v>0</v>
      </c>
      <c r="BM74" s="171">
        <f ca="1">IF(OR($D74&lt;&gt;"Serviço",AND(AUTOEVENTO="Manual",$M74=$A$15)),0,
         IF(OFFSET(CRONOPLE!$F$15,$M74-$A$15,BM$13)=0,10^12,OFFSET(CRONOPLE!$F$15,$M74-$A$15,BM$13)))</f>
        <v>0</v>
      </c>
      <c r="BN74" s="171">
        <f ca="1">IF(OR($D74&lt;&gt;"Serviço",AND(AUTOEVENTO="Manual",$M74=$A$15)),0,
         IF(OFFSET(CRONOPLE!$F$15,$M74-$A$15,BN$13)=0,10^12,OFFSET(CRONOPLE!$F$15,$M74-$A$15,BN$13)))</f>
        <v>0</v>
      </c>
      <c r="BO74" s="171">
        <f ca="1">IF(OR($D74&lt;&gt;"Serviço",AND(AUTOEVENTO="Manual",$M74=$A$15)),0,
         IF(OFFSET(CRONOPLE!$F$15,$M74-$A$15,BO$13)=0,10^12,OFFSET(CRONOPLE!$F$15,$M74-$A$15,BO$13)))</f>
        <v>0</v>
      </c>
      <c r="BP74" s="171">
        <f ca="1">IF(OR($D74&lt;&gt;"Serviço",AND(AUTOEVENTO="Manual",$M74=$A$15)),0,
         IF(OFFSET(CRONOPLE!$F$15,$M74-$A$15,BP$13)=0,10^12,OFFSET(CRONOPLE!$F$15,$M74-$A$15,BP$13)))</f>
        <v>0</v>
      </c>
      <c r="BQ74" s="171">
        <f ca="1">IF(OR($D74&lt;&gt;"Serviço",AND(AUTOEVENTO="Manual",$M74=$A$15)),0,
         IF(OFFSET(CRONOPLE!$F$15,$M74-$A$15,BQ$13)=0,10^12,OFFSET(CRONOPLE!$F$15,$M74-$A$15,BQ$13)))</f>
        <v>0</v>
      </c>
      <c r="BR74" s="171">
        <f ca="1">IF(OR($D74&lt;&gt;"Serviço",AND(AUTOEVENTO="Manual",$M74=$A$15)),0,
         IF(OFFSET(CRONOPLE!$F$15,$M74-$A$15,BR$13)=0,10^12,OFFSET(CRONOPLE!$F$15,$M74-$A$15,BR$13)))</f>
        <v>0</v>
      </c>
      <c r="BS74" s="171">
        <f ca="1">IF(OR($D74&lt;&gt;"Serviço",AND(AUTOEVENTO="Manual",$M74=$A$15)),0,
         IF(OFFSET(CRONOPLE!$F$15,$M74-$A$15,BS$13)=0,10^12,OFFSET(CRONOPLE!$F$15,$M74-$A$15,BS$13)))</f>
        <v>0</v>
      </c>
      <c r="BT74" s="171">
        <f ca="1">IF(OR($D74&lt;&gt;"Serviço",AND(AUTOEVENTO="Manual",$M74=$A$15)),0,
         IF(OFFSET(CRONOPLE!$F$15,$M74-$A$15,BT$13)=0,10^12,OFFSET(CRONOPLE!$F$15,$M74-$A$15,BT$13)))</f>
        <v>0</v>
      </c>
      <c r="BV74" s="172">
        <f ca="1">IF(OR($D74&lt;&gt;"Serviço",AND(AUTOEVENTO="Manual",$M74=$A$15),$M74&gt;(ROW(PLE.lastrow)-ROW(PLE.firstrow))),0,
           IF(OFFSET(PLE!$G$15,$M74-$A$15,BV$13)="",10^12,OFFSET(PLE!$G$15,$M74-$A$15,BV$13)))</f>
        <v>0</v>
      </c>
      <c r="BW74" s="172">
        <f ca="1">IF(OR($D74&lt;&gt;"Serviço",AND(AUTOEVENTO="Manual",$M74=$A$15),$M74&gt;(ROW(PLE.lastrow)-ROW(PLE.firstrow))),0,
           IF(OFFSET(PLE!$G$15,$M74-$A$15,BW$13)="",10^12,OFFSET(PLE!$G$15,$M74-$A$15,BW$13)))</f>
        <v>0</v>
      </c>
      <c r="BX74" s="172">
        <f ca="1">IF(OR($D74&lt;&gt;"Serviço",AND(AUTOEVENTO="Manual",$M74=$A$15),$M74&gt;(ROW(PLE.lastrow)-ROW(PLE.firstrow))),0,
           IF(OFFSET(PLE!$G$15,$M74-$A$15,BX$13)="",10^12,OFFSET(PLE!$G$15,$M74-$A$15,BX$13)))</f>
        <v>0</v>
      </c>
      <c r="BY74" s="172">
        <f ca="1">IF(OR($D74&lt;&gt;"Serviço",AND(AUTOEVENTO="Manual",$M74=$A$15),$M74&gt;(ROW(PLE.lastrow)-ROW(PLE.firstrow))),0,
           IF(OFFSET(PLE!$G$15,$M74-$A$15,BY$13)="",10^12,OFFSET(PLE!$G$15,$M74-$A$15,BY$13)))</f>
        <v>0</v>
      </c>
      <c r="BZ74" s="172">
        <f ca="1">IF(OR($D74&lt;&gt;"Serviço",AND(AUTOEVENTO="Manual",$M74=$A$15),$M74&gt;(ROW(PLE.lastrow)-ROW(PLE.firstrow))),0,
           IF(OFFSET(PLE!$G$15,$M74-$A$15,BZ$13)="",10^12,OFFSET(PLE!$G$15,$M74-$A$15,BZ$13)))</f>
        <v>0</v>
      </c>
      <c r="CA74" s="172">
        <f ca="1">IF(OR($D74&lt;&gt;"Serviço",AND(AUTOEVENTO="Manual",$M74=$A$15),$M74&gt;(ROW(PLE.lastrow)-ROW(PLE.firstrow))),0,
           IF(OFFSET(PLE!$G$15,$M74-$A$15,CA$13)="",10^12,OFFSET(PLE!$G$15,$M74-$A$15,CA$13)))</f>
        <v>0</v>
      </c>
      <c r="CB74" s="172">
        <f ca="1">IF(OR($D74&lt;&gt;"Serviço",AND(AUTOEVENTO="Manual",$M74=$A$15),$M74&gt;(ROW(PLE.lastrow)-ROW(PLE.firstrow))),0,
           IF(OFFSET(PLE!$G$15,$M74-$A$15,CB$13)="",10^12,OFFSET(PLE!$G$15,$M74-$A$15,CB$13)))</f>
        <v>0</v>
      </c>
      <c r="CC74" s="172">
        <f ca="1">IF(OR($D74&lt;&gt;"Serviço",AND(AUTOEVENTO="Manual",$M74=$A$15),$M74&gt;(ROW(PLE.lastrow)-ROW(PLE.firstrow))),0,
           IF(OFFSET(PLE!$G$15,$M74-$A$15,CC$13)="",10^12,OFFSET(PLE!$G$15,$M74-$A$15,CC$13)))</f>
        <v>0</v>
      </c>
      <c r="CD74" s="172">
        <f ca="1">IF(OR($D74&lt;&gt;"Serviço",AND(AUTOEVENTO="Manual",$M74=$A$15),$M74&gt;(ROW(PLE.lastrow)-ROW(PLE.firstrow))),0,
           IF(OFFSET(PLE!$G$15,$M74-$A$15,CD$13)="",10^12,OFFSET(PLE!$G$15,$M74-$A$15,CD$13)))</f>
        <v>0</v>
      </c>
      <c r="CE74" s="172">
        <f ca="1">IF(OR($D74&lt;&gt;"Serviço",AND(AUTOEVENTO="Manual",$M74=$A$15),$M74&gt;(ROW(PLE.lastrow)-ROW(PLE.firstrow))),0,
           IF(OFFSET(PLE!$G$15,$M74-$A$15,CE$13)="",10^12,OFFSET(PLE!$G$15,$M74-$A$15,CE$13)))</f>
        <v>0</v>
      </c>
      <c r="CF74" s="172">
        <f ca="1">IF(OR($D74&lt;&gt;"Serviço",AND(AUTOEVENTO="Manual",$M74=$A$15),$M74&gt;(ROW(PLE.lastrow)-ROW(PLE.firstrow))),0,
           IF(OFFSET(PLE!$G$15,$M74-$A$15,CF$13)="",10^12,OFFSET(PLE!$G$15,$M74-$A$15,CF$13)))</f>
        <v>0</v>
      </c>
      <c r="CG74" s="172">
        <f ca="1">IF(OR($D74&lt;&gt;"Serviço",AND(AUTOEVENTO="Manual",$M74=$A$15),$M74&gt;(ROW(PLE.lastrow)-ROW(PLE.firstrow))),0,
           IF(OFFSET(PLE!$G$15,$M74-$A$15,CG$13)="",10^12,OFFSET(PLE!$G$15,$M74-$A$15,CG$13)))</f>
        <v>0</v>
      </c>
      <c r="CH74" s="172">
        <f ca="1">IF(OR($D74&lt;&gt;"Serviço",AND(AUTOEVENTO="Manual",$M74=$A$15),$M74&gt;(ROW(PLE.lastrow)-ROW(PLE.firstrow))),0,
           IF(OFFSET(PLE!$G$15,$M74-$A$15,CH$13)="",10^12,OFFSET(PLE!$G$15,$M74-$A$15,CH$13)))</f>
        <v>0</v>
      </c>
      <c r="CI74" s="172">
        <f ca="1">IF(OR($D74&lt;&gt;"Serviço",AND(AUTOEVENTO="Manual",$M74=$A$15),$M74&gt;(ROW(PLE.lastrow)-ROW(PLE.firstrow))),0,
           IF(OFFSET(PLE!$G$15,$M74-$A$15,CI$13)="",10^12,OFFSET(PLE!$G$15,$M74-$A$15,CI$13)))</f>
        <v>0</v>
      </c>
      <c r="CJ74" s="172">
        <f ca="1">IF(OR($D74&lt;&gt;"Serviço",AND(AUTOEVENTO="Manual",$M74=$A$15),$M74&gt;(ROW(PLE.lastrow)-ROW(PLE.firstrow))),0,
           IF(OFFSET(PLE!$G$15,$M74-$A$15,CJ$13)="",10^12,OFFSET(PLE!$G$15,$M74-$A$15,CJ$13)))</f>
        <v>0</v>
      </c>
      <c r="CK74" s="172">
        <f ca="1">IF(OR($D74&lt;&gt;"Serviço",AND(AUTOEVENTO="Manual",$M74=$A$15),$M74&gt;(ROW(PLE.lastrow)-ROW(PLE.firstrow))),0,
           IF(OFFSET(PLE!$G$15,$M74-$A$15,CK$13)="",10^12,OFFSET(PLE!$G$15,$M74-$A$15,CK$13)))</f>
        <v>0</v>
      </c>
      <c r="CL74" s="172">
        <f ca="1">IF(OR($D74&lt;&gt;"Serviço",AND(AUTOEVENTO="Manual",$M74=$A$15),$M74&gt;(ROW(PLE.lastrow)-ROW(PLE.firstrow))),0,
           IF(OFFSET(PLE!$G$15,$M74-$A$15,CL$13)="",10^12,OFFSET(PLE!$G$15,$M74-$A$15,CL$13)))</f>
        <v>0</v>
      </c>
      <c r="CM74" s="172">
        <f ca="1">IF(OR($D74&lt;&gt;"Serviço",AND(AUTOEVENTO="Manual",$M74=$A$15),$M74&gt;(ROW(PLE.lastrow)-ROW(PLE.firstrow))),0,
           IF(OFFSET(PLE!$G$15,$M74-$A$15,CM$13)="",10^12,OFFSET(PLE!$G$15,$M74-$A$15,CM$13)))</f>
        <v>0</v>
      </c>
    </row>
    <row r="75" spans="1:91" ht="26.4" x14ac:dyDescent="0.25">
      <c r="A75" s="7" t="str">
        <f t="shared" ca="1" si="11"/>
        <v>59</v>
      </c>
      <c r="B75" s="7" t="str">
        <f ca="1">OFFSET(ORÇAMENTO!C$15,ROW(B75)-ROW(B$15),0)</f>
        <v>S</v>
      </c>
      <c r="C75" s="7" t="str">
        <f ca="1">OFFSET(ORÇAMENTO!L$15,ROW(C75)-ROW(C$15),0)</f>
        <v>F</v>
      </c>
      <c r="D75" s="116" t="str">
        <f ca="1">OFFSET(ORÇAMENTO!N$15,ROW(D75)-ROW(D$15),0)</f>
        <v>Serviço</v>
      </c>
      <c r="E75" s="117" t="str">
        <f ca="1">OFFSET(ORÇAMENTO!O$15,ROW(E75)-ROW(E$15),0)</f>
        <v>2.4.1.</v>
      </c>
      <c r="F75" s="163" t="str">
        <f ca="1">OFFSET(ORÇAMENTO!R$15,ROW(F75)-ROW(F$15),0)</f>
        <v>Pintura de ligação</v>
      </c>
      <c r="G75" s="164" t="str">
        <f ca="1">IF($D75&lt;&gt;"Serviço","",OFFSET(ORÇAMENTO!S$15,ROW(G75)-ROW(G$15),0))</f>
        <v>m²</v>
      </c>
      <c r="H75" s="122" cm="1">
        <f t="array" aca="1" ref="H75" ca="1">IF($D75&lt;&gt;"Serviço",0,IF(ACOMPANHAMENTO="BM",ROUND(OFFSET(ORÇAMENTO!AJ$15,ROW(H75)-ROW(H$15),0),15-13*ORÇAMENTO!$AF$7),SUMPRODUCT(($Q$1:$AI$1=1)*ROUND($Q75:$AI75,15-13*ORÇAMENTO!$AF$7))))</f>
        <v>52.91</v>
      </c>
      <c r="I75" s="468"/>
      <c r="J75" s="651" t="e" cm="1">
        <f t="array" aca="1" ref="J75" ca="1">IF(OR(B75&lt;&gt;"S",CÁLCULO.FrentesPreenchidas=0),"",IF(AND(ACOMPANHAMENTO="PLE",AUTOEVENTO="Manual",OR(H75&gt;0,ORÇAMENTO!AC75="QUANT."),OR(K75="",M75=0,N75="")),"►E",IF(AND(ACOMPANHAMENTO="PLE",ORÇAMENTO!AC75="QUANT."),"►Q",IF(AND(ACOMPANHAMENTO="PLE",H75&lt;&gt;SUMPRODUCT(($Q$1:$AI$1=1)*ROUND(Q75:AI75,15))),"►S",IF(AND(COUNTIF($P$11:$AI$11,"▼")=0,H75&gt;0,I75=""),"◄M","")))))</f>
        <v>#NAME?</v>
      </c>
      <c r="K75" s="652"/>
      <c r="L75" s="165" t="s">
        <v>764</v>
      </c>
      <c r="M75" s="166">
        <f ca="1">IF($D75&lt;&gt;"Serviço","",
          IF(AUTOEVENTO="manual",$A75,
                IF(ISERROR(MATCH($A75,$A$15:OFFSET($A75,-1,0),0)),MAX($M$15:OFFSET(M75,-1,0))+1,
                      INDEX($M$15:OFFSET(M75,-1,0),MATCH($A75,$A$15:OFFSET($A75,-1,0),0)))))</f>
        <v>11</v>
      </c>
      <c r="N75" s="167" t="str">
        <f ca="1">IF($D75&lt;&gt;"Serviço","",
         IF(AUTOEVENTO="Manual",
                IF($A75=0,"&lt;-- defina o número do agrupador",
                       OFFSET(EVENTOS!$D$15,$A75-$A$15,0)),
                OFFSET($F$15,$A75,0)))</f>
        <v>LOMBADAS TIPO A (3,70m de comprimento x 0,10m altura)</v>
      </c>
      <c r="O75" s="168"/>
      <c r="Q75" s="168"/>
      <c r="R75" s="169"/>
      <c r="S75" s="169"/>
      <c r="T75" s="169">
        <v>52.91</v>
      </c>
      <c r="U75" s="169"/>
      <c r="V75" s="169"/>
      <c r="W75" s="169"/>
      <c r="X75" s="169"/>
      <c r="Y75" s="169"/>
      <c r="Z75" s="170"/>
      <c r="AA75" s="169"/>
      <c r="AB75" s="169"/>
      <c r="AC75" s="169"/>
      <c r="AD75" s="169"/>
      <c r="AE75" s="169"/>
      <c r="AF75" s="169"/>
      <c r="AG75" s="169"/>
      <c r="AH75" s="170"/>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L75" s="453">
        <f ca="1">IF(AND($D75="Serviço",AL$12&lt;&gt;0,$H75&gt;0,OR(AUTOEVENTO&lt;&gt;"manual",$M75&lt;&gt;$A$15)),
        IF(Import.TipoArredondamento&lt;&gt;"TransfereGOV",
              ROUND(OFFSET($P75,0,AL$13),15-13*ORÇAMENTO!$AF$7)/$H75*OFFSET(ORÇAMENTO!$X$15,ROW(AL75)-ROW(AL$15),0),
              ROUND(ROUND(OFFSET($P75,0,AL$13),15-13*ORÇAMENTO!$AF$7)*OFFSET(ORÇAMENTO!$W$15,ROW(AL75)-ROW(AL$15),0),15-13*ORÇAMENTO!$AF$11)),
         0)</f>
        <v>0</v>
      </c>
      <c r="AM75" s="453">
        <f ca="1">IF(AND($D75="Serviço",AM$12&lt;&gt;0,$H75&gt;0,OR(AUTOEVENTO&lt;&gt;"manual",$M75&lt;&gt;$A$15)),
        IF(Import.TipoArredondamento&lt;&gt;"TransfereGOV",
              ROUND(OFFSET($P75,0,AM$13),15-13*ORÇAMENTO!$AF$7)/$H75*OFFSET(ORÇAMENTO!$X$15,ROW(AM75)-ROW(AM$15),0),
              ROUND(ROUND(OFFSET($P75,0,AM$13),15-13*ORÇAMENTO!$AF$7)*OFFSET(ORÇAMENTO!$W$15,ROW(AM75)-ROW(AM$15),0),15-13*ORÇAMENTO!$AF$11)),
         0)</f>
        <v>30.16</v>
      </c>
      <c r="AN75" s="453">
        <f ca="1">IF(AND($D75="Serviço",AN$12&lt;&gt;0,$H75&gt;0,OR(AUTOEVENTO&lt;&gt;"manual",$M75&lt;&gt;$A$15)),
        IF(Import.TipoArredondamento&lt;&gt;"TransfereGOV",
              ROUND(OFFSET($P75,0,AN$13),15-13*ORÇAMENTO!$AF$7)/$H75*OFFSET(ORÇAMENTO!$X$15,ROW(AN75)-ROW(AN$15),0),
              ROUND(ROUND(OFFSET($P75,0,AN$13),15-13*ORÇAMENTO!$AF$7)*OFFSET(ORÇAMENTO!$W$15,ROW(AN75)-ROW(AN$15),0),15-13*ORÇAMENTO!$AF$11)),
         0)</f>
        <v>0</v>
      </c>
      <c r="AO75" s="453">
        <f ca="1">IF(AND($D75="Serviço",AO$12&lt;&gt;0,$H75&gt;0,OR(AUTOEVENTO&lt;&gt;"manual",$M75&lt;&gt;$A$15)),
        IF(Import.TipoArredondamento&lt;&gt;"TransfereGOV",
              ROUND(OFFSET($P75,0,AO$13),15-13*ORÇAMENTO!$AF$7)/$H75*OFFSET(ORÇAMENTO!$X$15,ROW(AO75)-ROW(AO$15),0),
              ROUND(ROUND(OFFSET($P75,0,AO$13),15-13*ORÇAMENTO!$AF$7)*OFFSET(ORÇAMENTO!$W$15,ROW(AO75)-ROW(AO$15),0),15-13*ORÇAMENTO!$AF$11)),
         0)</f>
        <v>0</v>
      </c>
      <c r="AP75" s="453">
        <f ca="1">IF(AND($D75="Serviço",AP$12&lt;&gt;0,$H75&gt;0,OR(AUTOEVENTO&lt;&gt;"manual",$M75&lt;&gt;$A$15)),
        IF(Import.TipoArredondamento&lt;&gt;"TransfereGOV",
              ROUND(OFFSET($P75,0,AP$13),15-13*ORÇAMENTO!$AF$7)/$H75*OFFSET(ORÇAMENTO!$X$15,ROW(AP75)-ROW(AP$15),0),
              ROUND(ROUND(OFFSET($P75,0,AP$13),15-13*ORÇAMENTO!$AF$7)*OFFSET(ORÇAMENTO!$W$15,ROW(AP75)-ROW(AP$15),0),15-13*ORÇAMENTO!$AF$11)),
         0)</f>
        <v>0</v>
      </c>
      <c r="AQ75" s="453">
        <f ca="1">IF(AND($D75="Serviço",AQ$12&lt;&gt;0,$H75&gt;0,OR(AUTOEVENTO&lt;&gt;"manual",$M75&lt;&gt;$A$15)),
        IF(Import.TipoArredondamento&lt;&gt;"TransfereGOV",
              ROUND(OFFSET($P75,0,AQ$13),15-13*ORÇAMENTO!$AF$7)/$H75*OFFSET(ORÇAMENTO!$X$15,ROW(AQ75)-ROW(AQ$15),0),
              ROUND(ROUND(OFFSET($P75,0,AQ$13),15-13*ORÇAMENTO!$AF$7)*OFFSET(ORÇAMENTO!$W$15,ROW(AQ75)-ROW(AQ$15),0),15-13*ORÇAMENTO!$AF$11)),
         0)</f>
        <v>0</v>
      </c>
      <c r="AR75" s="453">
        <f ca="1">IF(AND($D75="Serviço",AR$12&lt;&gt;0,$H75&gt;0,OR(AUTOEVENTO&lt;&gt;"manual",$M75&lt;&gt;$A$15)),
        IF(Import.TipoArredondamento&lt;&gt;"TransfereGOV",
              ROUND(OFFSET($P75,0,AR$13),15-13*ORÇAMENTO!$AF$7)/$H75*OFFSET(ORÇAMENTO!$X$15,ROW(AR75)-ROW(AR$15),0),
              ROUND(ROUND(OFFSET($P75,0,AR$13),15-13*ORÇAMENTO!$AF$7)*OFFSET(ORÇAMENTO!$W$15,ROW(AR75)-ROW(AR$15),0),15-13*ORÇAMENTO!$AF$11)),
         0)</f>
        <v>0</v>
      </c>
      <c r="AS75" s="453">
        <f ca="1">IF(AND($D75="Serviço",AS$12&lt;&gt;0,$H75&gt;0,OR(AUTOEVENTO&lt;&gt;"manual",$M75&lt;&gt;$A$15)),
        IF(Import.TipoArredondamento&lt;&gt;"TransfereGOV",
              ROUND(OFFSET($P75,0,AS$13),15-13*ORÇAMENTO!$AF$7)/$H75*OFFSET(ORÇAMENTO!$X$15,ROW(AS75)-ROW(AS$15),0),
              ROUND(ROUND(OFFSET($P75,0,AS$13),15-13*ORÇAMENTO!$AF$7)*OFFSET(ORÇAMENTO!$W$15,ROW(AS75)-ROW(AS$15),0),15-13*ORÇAMENTO!$AF$11)),
         0)</f>
        <v>0</v>
      </c>
      <c r="AT75" s="453">
        <f ca="1">IF(AND($D75="Serviço",AT$12&lt;&gt;0,$H75&gt;0,OR(AUTOEVENTO&lt;&gt;"manual",$M75&lt;&gt;$A$15)),
        IF(Import.TipoArredondamento&lt;&gt;"TransfereGOV",
              ROUND(OFFSET($P75,0,AT$13),15-13*ORÇAMENTO!$AF$7)/$H75*OFFSET(ORÇAMENTO!$X$15,ROW(AT75)-ROW(AT$15),0),
              ROUND(ROUND(OFFSET($P75,0,AT$13),15-13*ORÇAMENTO!$AF$7)*OFFSET(ORÇAMENTO!$W$15,ROW(AT75)-ROW(AT$15),0),15-13*ORÇAMENTO!$AF$11)),
         0)</f>
        <v>0</v>
      </c>
      <c r="AU75" s="453">
        <f ca="1">IF(AND($D75="Serviço",AU$12&lt;&gt;0,$H75&gt;0,OR(AUTOEVENTO&lt;&gt;"manual",$M75&lt;&gt;$A$15)),
        IF(Import.TipoArredondamento&lt;&gt;"TransfereGOV",
              ROUND(OFFSET($P75,0,AU$13),15-13*ORÇAMENTO!$AF$7)/$H75*OFFSET(ORÇAMENTO!$X$15,ROW(AU75)-ROW(AU$15),0),
              ROUND(ROUND(OFFSET($P75,0,AU$13),15-13*ORÇAMENTO!$AF$7)*OFFSET(ORÇAMENTO!$W$15,ROW(AU75)-ROW(AU$15),0),15-13*ORÇAMENTO!$AF$11)),
         0)</f>
        <v>0</v>
      </c>
      <c r="AV75" s="453">
        <f ca="1">IF(AND($D75="Serviço",AV$12&lt;&gt;0,$H75&gt;0,OR(AUTOEVENTO&lt;&gt;"manual",$M75&lt;&gt;$A$15)),
        IF(Import.TipoArredondamento&lt;&gt;"TransfereGOV",
              ROUND(OFFSET($P75,0,AV$13),15-13*ORÇAMENTO!$AF$7)/$H75*OFFSET(ORÇAMENTO!$X$15,ROW(AV75)-ROW(AV$15),0),
              ROUND(ROUND(OFFSET($P75,0,AV$13),15-13*ORÇAMENTO!$AF$7)*OFFSET(ORÇAMENTO!$W$15,ROW(AV75)-ROW(AV$15),0),15-13*ORÇAMENTO!$AF$11)),
         0)</f>
        <v>0</v>
      </c>
      <c r="AW75" s="453">
        <f ca="1">IF(AND($D75="Serviço",AW$12&lt;&gt;0,$H75&gt;0,OR(AUTOEVENTO&lt;&gt;"manual",$M75&lt;&gt;$A$15)),
        IF(Import.TipoArredondamento&lt;&gt;"TransfereGOV",
              ROUND(OFFSET($P75,0,AW$13),15-13*ORÇAMENTO!$AF$7)/$H75*OFFSET(ORÇAMENTO!$X$15,ROW(AW75)-ROW(AW$15),0),
              ROUND(ROUND(OFFSET($P75,0,AW$13),15-13*ORÇAMENTO!$AF$7)*OFFSET(ORÇAMENTO!$W$15,ROW(AW75)-ROW(AW$15),0),15-13*ORÇAMENTO!$AF$11)),
         0)</f>
        <v>0</v>
      </c>
      <c r="AX75" s="453">
        <f ca="1">IF(AND($D75="Serviço",AX$12&lt;&gt;0,$H75&gt;0,OR(AUTOEVENTO&lt;&gt;"manual",$M75&lt;&gt;$A$15)),
        IF(Import.TipoArredondamento&lt;&gt;"TransfereGOV",
              ROUND(OFFSET($P75,0,AX$13),15-13*ORÇAMENTO!$AF$7)/$H75*OFFSET(ORÇAMENTO!$X$15,ROW(AX75)-ROW(AX$15),0),
              ROUND(ROUND(OFFSET($P75,0,AX$13),15-13*ORÇAMENTO!$AF$7)*OFFSET(ORÇAMENTO!$W$15,ROW(AX75)-ROW(AX$15),0),15-13*ORÇAMENTO!$AF$11)),
         0)</f>
        <v>0</v>
      </c>
      <c r="AY75" s="453">
        <f ca="1">IF(AND($D75="Serviço",AY$12&lt;&gt;0,$H75&gt;0,OR(AUTOEVENTO&lt;&gt;"manual",$M75&lt;&gt;$A$15)),
        IF(Import.TipoArredondamento&lt;&gt;"TransfereGOV",
              ROUND(OFFSET($P75,0,AY$13),15-13*ORÇAMENTO!$AF$7)/$H75*OFFSET(ORÇAMENTO!$X$15,ROW(AY75)-ROW(AY$15),0),
              ROUND(ROUND(OFFSET($P75,0,AY$13),15-13*ORÇAMENTO!$AF$7)*OFFSET(ORÇAMENTO!$W$15,ROW(AY75)-ROW(AY$15),0),15-13*ORÇAMENTO!$AF$11)),
         0)</f>
        <v>0</v>
      </c>
      <c r="AZ75" s="453">
        <f ca="1">IF(AND($D75="Serviço",AZ$12&lt;&gt;0,$H75&gt;0,OR(AUTOEVENTO&lt;&gt;"manual",$M75&lt;&gt;$A$15)),
        IF(Import.TipoArredondamento&lt;&gt;"TransfereGOV",
              ROUND(OFFSET($P75,0,AZ$13),15-13*ORÇAMENTO!$AF$7)/$H75*OFFSET(ORÇAMENTO!$X$15,ROW(AZ75)-ROW(AZ$15),0),
              ROUND(ROUND(OFFSET($P75,0,AZ$13),15-13*ORÇAMENTO!$AF$7)*OFFSET(ORÇAMENTO!$W$15,ROW(AZ75)-ROW(AZ$15),0),15-13*ORÇAMENTO!$AF$11)),
         0)</f>
        <v>0</v>
      </c>
      <c r="BA75" s="453">
        <f ca="1">IF(AND($D75="Serviço",BA$12&lt;&gt;0,$H75&gt;0,OR(AUTOEVENTO&lt;&gt;"manual",$M75&lt;&gt;$A$15)),
        IF(Import.TipoArredondamento&lt;&gt;"TransfereGOV",
              ROUND(OFFSET($P75,0,BA$13),15-13*ORÇAMENTO!$AF$7)/$H75*OFFSET(ORÇAMENTO!$X$15,ROW(BA75)-ROW(BA$15),0),
              ROUND(ROUND(OFFSET($P75,0,BA$13),15-13*ORÇAMENTO!$AF$7)*OFFSET(ORÇAMENTO!$W$15,ROW(BA75)-ROW(BA$15),0),15-13*ORÇAMENTO!$AF$11)),
         0)</f>
        <v>0</v>
      </c>
      <c r="BC75" s="171">
        <f ca="1">IF(OR($D75&lt;&gt;"Serviço",AND(AUTOEVENTO="Manual",$M75=$A$15)),0,
         IF(OFFSET(CRONOPLE!$F$15,$M75-$A$15,BC$13)=0,10^12,OFFSET(CRONOPLE!$F$15,$M75-$A$15,BC$13)))</f>
        <v>1000000000000</v>
      </c>
      <c r="BD75" s="171">
        <f ca="1">IF(OR($D75&lt;&gt;"Serviço",AND(AUTOEVENTO="Manual",$M75=$A$15)),0,
         IF(OFFSET(CRONOPLE!$F$15,$M75-$A$15,BD$13)=0,10^12,OFFSET(CRONOPLE!$F$15,$M75-$A$15,BD$13)))</f>
        <v>1000000000000</v>
      </c>
      <c r="BE75" s="171">
        <f ca="1">IF(OR($D75&lt;&gt;"Serviço",AND(AUTOEVENTO="Manual",$M75=$A$15)),0,
         IF(OFFSET(CRONOPLE!$F$15,$M75-$A$15,BE$13)=0,10^12,OFFSET(CRONOPLE!$F$15,$M75-$A$15,BE$13)))</f>
        <v>1000000000000</v>
      </c>
      <c r="BF75" s="171">
        <f ca="1">IF(OR($D75&lt;&gt;"Serviço",AND(AUTOEVENTO="Manual",$M75=$A$15)),0,
         IF(OFFSET(CRONOPLE!$F$15,$M75-$A$15,BF$13)=0,10^12,OFFSET(CRONOPLE!$F$15,$M75-$A$15,BF$13)))</f>
        <v>2</v>
      </c>
      <c r="BG75" s="171">
        <f ca="1">IF(OR($D75&lt;&gt;"Serviço",AND(AUTOEVENTO="Manual",$M75=$A$15)),0,
         IF(OFFSET(CRONOPLE!$F$15,$M75-$A$15,BG$13)=0,10^12,OFFSET(CRONOPLE!$F$15,$M75-$A$15,BG$13)))</f>
        <v>1000000000000</v>
      </c>
      <c r="BH75" s="171">
        <f ca="1">IF(OR($D75&lt;&gt;"Serviço",AND(AUTOEVENTO="Manual",$M75=$A$15)),0,
         IF(OFFSET(CRONOPLE!$F$15,$M75-$A$15,BH$13)=0,10^12,OFFSET(CRONOPLE!$F$15,$M75-$A$15,BH$13)))</f>
        <v>1000000000000</v>
      </c>
      <c r="BI75" s="171">
        <f ca="1">IF(OR($D75&lt;&gt;"Serviço",AND(AUTOEVENTO="Manual",$M75=$A$15)),0,
         IF(OFFSET(CRONOPLE!$F$15,$M75-$A$15,BI$13)=0,10^12,OFFSET(CRONOPLE!$F$15,$M75-$A$15,BI$13)))</f>
        <v>1000000000000</v>
      </c>
      <c r="BJ75" s="171">
        <f ca="1">IF(OR($D75&lt;&gt;"Serviço",AND(AUTOEVENTO="Manual",$M75=$A$15)),0,
         IF(OFFSET(CRONOPLE!$F$15,$M75-$A$15,BJ$13)=0,10^12,OFFSET(CRONOPLE!$F$15,$M75-$A$15,BJ$13)))</f>
        <v>1000000000000</v>
      </c>
      <c r="BK75" s="171">
        <f ca="1">IF(OR($D75&lt;&gt;"Serviço",AND(AUTOEVENTO="Manual",$M75=$A$15)),0,
         IF(OFFSET(CRONOPLE!$F$15,$M75-$A$15,BK$13)=0,10^12,OFFSET(CRONOPLE!$F$15,$M75-$A$15,BK$13)))</f>
        <v>1000000000000</v>
      </c>
      <c r="BL75" s="171">
        <f ca="1">IF(OR($D75&lt;&gt;"Serviço",AND(AUTOEVENTO="Manual",$M75=$A$15)),0,
         IF(OFFSET(CRONOPLE!$F$15,$M75-$A$15,BL$13)=0,10^12,OFFSET(CRONOPLE!$F$15,$M75-$A$15,BL$13)))</f>
        <v>1000000000000</v>
      </c>
      <c r="BM75" s="171">
        <f ca="1">IF(OR($D75&lt;&gt;"Serviço",AND(AUTOEVENTO="Manual",$M75=$A$15)),0,
         IF(OFFSET(CRONOPLE!$F$15,$M75-$A$15,BM$13)=0,10^12,OFFSET(CRONOPLE!$F$15,$M75-$A$15,BM$13)))</f>
        <v>1000000000000</v>
      </c>
      <c r="BN75" s="171">
        <f ca="1">IF(OR($D75&lt;&gt;"Serviço",AND(AUTOEVENTO="Manual",$M75=$A$15)),0,
         IF(OFFSET(CRONOPLE!$F$15,$M75-$A$15,BN$13)=0,10^12,OFFSET(CRONOPLE!$F$15,$M75-$A$15,BN$13)))</f>
        <v>1000000000000</v>
      </c>
      <c r="BO75" s="171">
        <f ca="1">IF(OR($D75&lt;&gt;"Serviço",AND(AUTOEVENTO="Manual",$M75=$A$15)),0,
         IF(OFFSET(CRONOPLE!$F$15,$M75-$A$15,BO$13)=0,10^12,OFFSET(CRONOPLE!$F$15,$M75-$A$15,BO$13)))</f>
        <v>1000000000000</v>
      </c>
      <c r="BP75" s="171">
        <f ca="1">IF(OR($D75&lt;&gt;"Serviço",AND(AUTOEVENTO="Manual",$M75=$A$15)),0,
         IF(OFFSET(CRONOPLE!$F$15,$M75-$A$15,BP$13)=0,10^12,OFFSET(CRONOPLE!$F$15,$M75-$A$15,BP$13)))</f>
        <v>1000000000000</v>
      </c>
      <c r="BQ75" s="171">
        <f ca="1">IF(OR($D75&lt;&gt;"Serviço",AND(AUTOEVENTO="Manual",$M75=$A$15)),0,
         IF(OFFSET(CRONOPLE!$F$15,$M75-$A$15,BQ$13)=0,10^12,OFFSET(CRONOPLE!$F$15,$M75-$A$15,BQ$13)))</f>
        <v>1000000000000</v>
      </c>
      <c r="BR75" s="171">
        <f ca="1">IF(OR($D75&lt;&gt;"Serviço",AND(AUTOEVENTO="Manual",$M75=$A$15)),0,
         IF(OFFSET(CRONOPLE!$F$15,$M75-$A$15,BR$13)=0,10^12,OFFSET(CRONOPLE!$F$15,$M75-$A$15,BR$13)))</f>
        <v>1000000000000</v>
      </c>
      <c r="BS75" s="171">
        <f ca="1">IF(OR($D75&lt;&gt;"Serviço",AND(AUTOEVENTO="Manual",$M75=$A$15)),0,
         IF(OFFSET(CRONOPLE!$F$15,$M75-$A$15,BS$13)=0,10^12,OFFSET(CRONOPLE!$F$15,$M75-$A$15,BS$13)))</f>
        <v>1000000000000</v>
      </c>
      <c r="BT75" s="171">
        <f ca="1">IF(OR($D75&lt;&gt;"Serviço",AND(AUTOEVENTO="Manual",$M75=$A$15)),0,
         IF(OFFSET(CRONOPLE!$F$15,$M75-$A$15,BT$13)=0,10^12,OFFSET(CRONOPLE!$F$15,$M75-$A$15,BT$13)))</f>
        <v>1000000000000</v>
      </c>
      <c r="BV75" s="172">
        <f ca="1">IF(OR($D75&lt;&gt;"Serviço",AND(AUTOEVENTO="Manual",$M75=$A$15),$M75&gt;(ROW(PLE.lastrow)-ROW(PLE.firstrow))),0,
           IF(OFFSET(PLE!$G$15,$M75-$A$15,BV$13)="",10^12,OFFSET(PLE!$G$15,$M75-$A$15,BV$13)))</f>
        <v>1000000000000</v>
      </c>
      <c r="BW75" s="172">
        <f ca="1">IF(OR($D75&lt;&gt;"Serviço",AND(AUTOEVENTO="Manual",$M75=$A$15),$M75&gt;(ROW(PLE.lastrow)-ROW(PLE.firstrow))),0,
           IF(OFFSET(PLE!$G$15,$M75-$A$15,BW$13)="",10^12,OFFSET(PLE!$G$15,$M75-$A$15,BW$13)))</f>
        <v>1000000000000</v>
      </c>
      <c r="BX75" s="172">
        <f ca="1">IF(OR($D75&lt;&gt;"Serviço",AND(AUTOEVENTO="Manual",$M75=$A$15),$M75&gt;(ROW(PLE.lastrow)-ROW(PLE.firstrow))),0,
           IF(OFFSET(PLE!$G$15,$M75-$A$15,BX$13)="",10^12,OFFSET(PLE!$G$15,$M75-$A$15,BX$13)))</f>
        <v>1000000000000</v>
      </c>
      <c r="BY75" s="172">
        <f ca="1">IF(OR($D75&lt;&gt;"Serviço",AND(AUTOEVENTO="Manual",$M75=$A$15),$M75&gt;(ROW(PLE.lastrow)-ROW(PLE.firstrow))),0,
           IF(OFFSET(PLE!$G$15,$M75-$A$15,BY$13)="",10^12,OFFSET(PLE!$G$15,$M75-$A$15,BY$13)))</f>
        <v>1000000000000</v>
      </c>
      <c r="BZ75" s="172">
        <f ca="1">IF(OR($D75&lt;&gt;"Serviço",AND(AUTOEVENTO="Manual",$M75=$A$15),$M75&gt;(ROW(PLE.lastrow)-ROW(PLE.firstrow))),0,
           IF(OFFSET(PLE!$G$15,$M75-$A$15,BZ$13)="",10^12,OFFSET(PLE!$G$15,$M75-$A$15,BZ$13)))</f>
        <v>1000000000000</v>
      </c>
      <c r="CA75" s="172">
        <f ca="1">IF(OR($D75&lt;&gt;"Serviço",AND(AUTOEVENTO="Manual",$M75=$A$15),$M75&gt;(ROW(PLE.lastrow)-ROW(PLE.firstrow))),0,
           IF(OFFSET(PLE!$G$15,$M75-$A$15,CA$13)="",10^12,OFFSET(PLE!$G$15,$M75-$A$15,CA$13)))</f>
        <v>1000000000000</v>
      </c>
      <c r="CB75" s="172">
        <f ca="1">IF(OR($D75&lt;&gt;"Serviço",AND(AUTOEVENTO="Manual",$M75=$A$15),$M75&gt;(ROW(PLE.lastrow)-ROW(PLE.firstrow))),0,
           IF(OFFSET(PLE!$G$15,$M75-$A$15,CB$13)="",10^12,OFFSET(PLE!$G$15,$M75-$A$15,CB$13)))</f>
        <v>1000000000000</v>
      </c>
      <c r="CC75" s="172">
        <f ca="1">IF(OR($D75&lt;&gt;"Serviço",AND(AUTOEVENTO="Manual",$M75=$A$15),$M75&gt;(ROW(PLE.lastrow)-ROW(PLE.firstrow))),0,
           IF(OFFSET(PLE!$G$15,$M75-$A$15,CC$13)="",10^12,OFFSET(PLE!$G$15,$M75-$A$15,CC$13)))</f>
        <v>1000000000000</v>
      </c>
      <c r="CD75" s="172">
        <f ca="1">IF(OR($D75&lt;&gt;"Serviço",AND(AUTOEVENTO="Manual",$M75=$A$15),$M75&gt;(ROW(PLE.lastrow)-ROW(PLE.firstrow))),0,
           IF(OFFSET(PLE!$G$15,$M75-$A$15,CD$13)="",10^12,OFFSET(PLE!$G$15,$M75-$A$15,CD$13)))</f>
        <v>1000000000000</v>
      </c>
      <c r="CE75" s="172">
        <f ca="1">IF(OR($D75&lt;&gt;"Serviço",AND(AUTOEVENTO="Manual",$M75=$A$15),$M75&gt;(ROW(PLE.lastrow)-ROW(PLE.firstrow))),0,
           IF(OFFSET(PLE!$G$15,$M75-$A$15,CE$13)="",10^12,OFFSET(PLE!$G$15,$M75-$A$15,CE$13)))</f>
        <v>1000000000000</v>
      </c>
      <c r="CF75" s="172">
        <f ca="1">IF(OR($D75&lt;&gt;"Serviço",AND(AUTOEVENTO="Manual",$M75=$A$15),$M75&gt;(ROW(PLE.lastrow)-ROW(PLE.firstrow))),0,
           IF(OFFSET(PLE!$G$15,$M75-$A$15,CF$13)="",10^12,OFFSET(PLE!$G$15,$M75-$A$15,CF$13)))</f>
        <v>1000000000000</v>
      </c>
      <c r="CG75" s="172">
        <f ca="1">IF(OR($D75&lt;&gt;"Serviço",AND(AUTOEVENTO="Manual",$M75=$A$15),$M75&gt;(ROW(PLE.lastrow)-ROW(PLE.firstrow))),0,
           IF(OFFSET(PLE!$G$15,$M75-$A$15,CG$13)="",10^12,OFFSET(PLE!$G$15,$M75-$A$15,CG$13)))</f>
        <v>1000000000000</v>
      </c>
      <c r="CH75" s="172">
        <f ca="1">IF(OR($D75&lt;&gt;"Serviço",AND(AUTOEVENTO="Manual",$M75=$A$15),$M75&gt;(ROW(PLE.lastrow)-ROW(PLE.firstrow))),0,
           IF(OFFSET(PLE!$G$15,$M75-$A$15,CH$13)="",10^12,OFFSET(PLE!$G$15,$M75-$A$15,CH$13)))</f>
        <v>1000000000000</v>
      </c>
      <c r="CI75" s="172">
        <f ca="1">IF(OR($D75&lt;&gt;"Serviço",AND(AUTOEVENTO="Manual",$M75=$A$15),$M75&gt;(ROW(PLE.lastrow)-ROW(PLE.firstrow))),0,
           IF(OFFSET(PLE!$G$15,$M75-$A$15,CI$13)="",10^12,OFFSET(PLE!$G$15,$M75-$A$15,CI$13)))</f>
        <v>1000000000000</v>
      </c>
      <c r="CJ75" s="172">
        <f ca="1">IF(OR($D75&lt;&gt;"Serviço",AND(AUTOEVENTO="Manual",$M75=$A$15),$M75&gt;(ROW(PLE.lastrow)-ROW(PLE.firstrow))),0,
           IF(OFFSET(PLE!$G$15,$M75-$A$15,CJ$13)="",10^12,OFFSET(PLE!$G$15,$M75-$A$15,CJ$13)))</f>
        <v>1000000000000</v>
      </c>
      <c r="CK75" s="172">
        <f ca="1">IF(OR($D75&lt;&gt;"Serviço",AND(AUTOEVENTO="Manual",$M75=$A$15),$M75&gt;(ROW(PLE.lastrow)-ROW(PLE.firstrow))),0,
           IF(OFFSET(PLE!$G$15,$M75-$A$15,CK$13)="",10^12,OFFSET(PLE!$G$15,$M75-$A$15,CK$13)))</f>
        <v>1000000000000</v>
      </c>
      <c r="CL75" s="172">
        <f ca="1">IF(OR($D75&lt;&gt;"Serviço",AND(AUTOEVENTO="Manual",$M75=$A$15),$M75&gt;(ROW(PLE.lastrow)-ROW(PLE.firstrow))),0,
           IF(OFFSET(PLE!$G$15,$M75-$A$15,CL$13)="",10^12,OFFSET(PLE!$G$15,$M75-$A$15,CL$13)))</f>
        <v>1000000000000</v>
      </c>
      <c r="CM75" s="172">
        <f ca="1">IF(OR($D75&lt;&gt;"Serviço",AND(AUTOEVENTO="Manual",$M75=$A$15),$M75&gt;(ROW(PLE.lastrow)-ROW(PLE.firstrow))),0,
           IF(OFFSET(PLE!$G$15,$M75-$A$15,CM$13)="",10^12,OFFSET(PLE!$G$15,$M75-$A$15,CM$13)))</f>
        <v>1000000000000</v>
      </c>
    </row>
    <row r="76" spans="1:91" ht="26.4" x14ac:dyDescent="0.25">
      <c r="A76" s="7" t="str">
        <f t="shared" ca="1" si="11"/>
        <v>59</v>
      </c>
      <c r="B76" s="7" t="str">
        <f ca="1">OFFSET(ORÇAMENTO!C$15,ROW(B76)-ROW(B$15),0)</f>
        <v>S</v>
      </c>
      <c r="C76" s="7" t="str">
        <f ca="1">OFFSET(ORÇAMENTO!L$15,ROW(C76)-ROW(C$15),0)</f>
        <v>F</v>
      </c>
      <c r="D76" s="116" t="str">
        <f ca="1">OFFSET(ORÇAMENTO!N$15,ROW(D76)-ROW(D$15),0)</f>
        <v>Serviço</v>
      </c>
      <c r="E76" s="117" t="str">
        <f ca="1">OFFSET(ORÇAMENTO!O$15,ROW(E76)-ROW(E$15),0)</f>
        <v>2.4.2.</v>
      </c>
      <c r="F76" s="163" t="str">
        <f ca="1">OFFSET(ORÇAMENTO!R$15,ROW(F76)-ROW(F$15),0)</f>
        <v>EMULSÃO ASFÁLTICA RR-1C COLETADO NA ANP, ACRESCIDO DE IMPOSTOS (ICMS, PIS, COFINS)</v>
      </c>
      <c r="G76" s="164" t="str">
        <f ca="1">IF($D76&lt;&gt;"Serviço","",OFFSET(ORÇAMENTO!S$15,ROW(G76)-ROW(G$15),0))</f>
        <v>KG</v>
      </c>
      <c r="H76" s="122" cm="1">
        <f t="array" aca="1" ref="H76" ca="1">IF($D76&lt;&gt;"Serviço",0,IF(ACOMPANHAMENTO="BM",ROUND(OFFSET(ORÇAMENTO!AJ$15,ROW(H76)-ROW(H$15),0),15-13*ORÇAMENTO!$AF$7),SUMPRODUCT(($Q$1:$AI$1=1)*ROUND($Q76:$AI76,15-13*ORÇAMENTO!$AF$7))))</f>
        <v>23.81</v>
      </c>
      <c r="I76" s="468"/>
      <c r="J76" s="651" t="e" cm="1">
        <f t="array" aca="1" ref="J76" ca="1">IF(OR(B76&lt;&gt;"S",CÁLCULO.FrentesPreenchidas=0),"",IF(AND(ACOMPANHAMENTO="PLE",AUTOEVENTO="Manual",OR(H76&gt;0,ORÇAMENTO!AC76="QUANT."),OR(K76="",M76=0,N76="")),"►E",IF(AND(ACOMPANHAMENTO="PLE",ORÇAMENTO!AC76="QUANT."),"►Q",IF(AND(ACOMPANHAMENTO="PLE",H76&lt;&gt;SUMPRODUCT(($Q$1:$AI$1=1)*ROUND(Q76:AI76,15))),"►S",IF(AND(COUNTIF($P$11:$AI$11,"▼")=0,H76&gt;0,I76=""),"◄M","")))))</f>
        <v>#NAME?</v>
      </c>
      <c r="K76" s="652"/>
      <c r="L76" s="165" t="s">
        <v>764</v>
      </c>
      <c r="M76" s="166">
        <f ca="1">IF($D76&lt;&gt;"Serviço","",
          IF(AUTOEVENTO="manual",$A76,
                IF(ISERROR(MATCH($A76,$A$15:OFFSET($A76,-1,0),0)),MAX($M$15:OFFSET(M76,-1,0))+1,
                      INDEX($M$15:OFFSET(M76,-1,0),MATCH($A76,$A$15:OFFSET($A76,-1,0),0)))))</f>
        <v>11</v>
      </c>
      <c r="N76" s="167" t="str">
        <f ca="1">IF($D76&lt;&gt;"Serviço","",
         IF(AUTOEVENTO="Manual",
                IF($A76=0,"&lt;-- defina o número do agrupador",
                       OFFSET(EVENTOS!$D$15,$A76-$A$15,0)),
                OFFSET($F$15,$A76,0)))</f>
        <v>LOMBADAS TIPO A (3,70m de comprimento x 0,10m altura)</v>
      </c>
      <c r="O76" s="168"/>
      <c r="Q76" s="168"/>
      <c r="R76" s="169"/>
      <c r="S76" s="169"/>
      <c r="T76" s="169">
        <v>23.81</v>
      </c>
      <c r="U76" s="169"/>
      <c r="V76" s="169"/>
      <c r="W76" s="169"/>
      <c r="X76" s="169"/>
      <c r="Y76" s="169"/>
      <c r="Z76" s="170"/>
      <c r="AA76" s="169"/>
      <c r="AB76" s="169"/>
      <c r="AC76" s="169"/>
      <c r="AD76" s="169"/>
      <c r="AE76" s="169"/>
      <c r="AF76" s="169"/>
      <c r="AG76" s="169"/>
      <c r="AH76" s="170"/>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L76" s="453">
        <f ca="1">IF(AND($D76="Serviço",AL$12&lt;&gt;0,$H76&gt;0,OR(AUTOEVENTO&lt;&gt;"manual",$M76&lt;&gt;$A$15)),
        IF(Import.TipoArredondamento&lt;&gt;"TransfereGOV",
              ROUND(OFFSET($P76,0,AL$13),15-13*ORÇAMENTO!$AF$7)/$H76*OFFSET(ORÇAMENTO!$X$15,ROW(AL76)-ROW(AL$15),0),
              ROUND(ROUND(OFFSET($P76,0,AL$13),15-13*ORÇAMENTO!$AF$7)*OFFSET(ORÇAMENTO!$W$15,ROW(AL76)-ROW(AL$15),0),15-13*ORÇAMENTO!$AF$11)),
         0)</f>
        <v>0</v>
      </c>
      <c r="AM76" s="453">
        <f ca="1">IF(AND($D76="Serviço",AM$12&lt;&gt;0,$H76&gt;0,OR(AUTOEVENTO&lt;&gt;"manual",$M76&lt;&gt;$A$15)),
        IF(Import.TipoArredondamento&lt;&gt;"TransfereGOV",
              ROUND(OFFSET($P76,0,AM$13),15-13*ORÇAMENTO!$AF$7)/$H76*OFFSET(ORÇAMENTO!$X$15,ROW(AM76)-ROW(AM$15),0),
              ROUND(ROUND(OFFSET($P76,0,AM$13),15-13*ORÇAMENTO!$AF$7)*OFFSET(ORÇAMENTO!$W$15,ROW(AM76)-ROW(AM$15),0),15-13*ORÇAMENTO!$AF$11)),
         0)</f>
        <v>100.24</v>
      </c>
      <c r="AN76" s="453">
        <f ca="1">IF(AND($D76="Serviço",AN$12&lt;&gt;0,$H76&gt;0,OR(AUTOEVENTO&lt;&gt;"manual",$M76&lt;&gt;$A$15)),
        IF(Import.TipoArredondamento&lt;&gt;"TransfereGOV",
              ROUND(OFFSET($P76,0,AN$13),15-13*ORÇAMENTO!$AF$7)/$H76*OFFSET(ORÇAMENTO!$X$15,ROW(AN76)-ROW(AN$15),0),
              ROUND(ROUND(OFFSET($P76,0,AN$13),15-13*ORÇAMENTO!$AF$7)*OFFSET(ORÇAMENTO!$W$15,ROW(AN76)-ROW(AN$15),0),15-13*ORÇAMENTO!$AF$11)),
         0)</f>
        <v>0</v>
      </c>
      <c r="AO76" s="453">
        <f ca="1">IF(AND($D76="Serviço",AO$12&lt;&gt;0,$H76&gt;0,OR(AUTOEVENTO&lt;&gt;"manual",$M76&lt;&gt;$A$15)),
        IF(Import.TipoArredondamento&lt;&gt;"TransfereGOV",
              ROUND(OFFSET($P76,0,AO$13),15-13*ORÇAMENTO!$AF$7)/$H76*OFFSET(ORÇAMENTO!$X$15,ROW(AO76)-ROW(AO$15),0),
              ROUND(ROUND(OFFSET($P76,0,AO$13),15-13*ORÇAMENTO!$AF$7)*OFFSET(ORÇAMENTO!$W$15,ROW(AO76)-ROW(AO$15),0),15-13*ORÇAMENTO!$AF$11)),
         0)</f>
        <v>0</v>
      </c>
      <c r="AP76" s="453">
        <f ca="1">IF(AND($D76="Serviço",AP$12&lt;&gt;0,$H76&gt;0,OR(AUTOEVENTO&lt;&gt;"manual",$M76&lt;&gt;$A$15)),
        IF(Import.TipoArredondamento&lt;&gt;"TransfereGOV",
              ROUND(OFFSET($P76,0,AP$13),15-13*ORÇAMENTO!$AF$7)/$H76*OFFSET(ORÇAMENTO!$X$15,ROW(AP76)-ROW(AP$15),0),
              ROUND(ROUND(OFFSET($P76,0,AP$13),15-13*ORÇAMENTO!$AF$7)*OFFSET(ORÇAMENTO!$W$15,ROW(AP76)-ROW(AP$15),0),15-13*ORÇAMENTO!$AF$11)),
         0)</f>
        <v>0</v>
      </c>
      <c r="AQ76" s="453">
        <f ca="1">IF(AND($D76="Serviço",AQ$12&lt;&gt;0,$H76&gt;0,OR(AUTOEVENTO&lt;&gt;"manual",$M76&lt;&gt;$A$15)),
        IF(Import.TipoArredondamento&lt;&gt;"TransfereGOV",
              ROUND(OFFSET($P76,0,AQ$13),15-13*ORÇAMENTO!$AF$7)/$H76*OFFSET(ORÇAMENTO!$X$15,ROW(AQ76)-ROW(AQ$15),0),
              ROUND(ROUND(OFFSET($P76,0,AQ$13),15-13*ORÇAMENTO!$AF$7)*OFFSET(ORÇAMENTO!$W$15,ROW(AQ76)-ROW(AQ$15),0),15-13*ORÇAMENTO!$AF$11)),
         0)</f>
        <v>0</v>
      </c>
      <c r="AR76" s="453">
        <f ca="1">IF(AND($D76="Serviço",AR$12&lt;&gt;0,$H76&gt;0,OR(AUTOEVENTO&lt;&gt;"manual",$M76&lt;&gt;$A$15)),
        IF(Import.TipoArredondamento&lt;&gt;"TransfereGOV",
              ROUND(OFFSET($P76,0,AR$13),15-13*ORÇAMENTO!$AF$7)/$H76*OFFSET(ORÇAMENTO!$X$15,ROW(AR76)-ROW(AR$15),0),
              ROUND(ROUND(OFFSET($P76,0,AR$13),15-13*ORÇAMENTO!$AF$7)*OFFSET(ORÇAMENTO!$W$15,ROW(AR76)-ROW(AR$15),0),15-13*ORÇAMENTO!$AF$11)),
         0)</f>
        <v>0</v>
      </c>
      <c r="AS76" s="453">
        <f ca="1">IF(AND($D76="Serviço",AS$12&lt;&gt;0,$H76&gt;0,OR(AUTOEVENTO&lt;&gt;"manual",$M76&lt;&gt;$A$15)),
        IF(Import.TipoArredondamento&lt;&gt;"TransfereGOV",
              ROUND(OFFSET($P76,0,AS$13),15-13*ORÇAMENTO!$AF$7)/$H76*OFFSET(ORÇAMENTO!$X$15,ROW(AS76)-ROW(AS$15),0),
              ROUND(ROUND(OFFSET($P76,0,AS$13),15-13*ORÇAMENTO!$AF$7)*OFFSET(ORÇAMENTO!$W$15,ROW(AS76)-ROW(AS$15),0),15-13*ORÇAMENTO!$AF$11)),
         0)</f>
        <v>0</v>
      </c>
      <c r="AT76" s="453">
        <f ca="1">IF(AND($D76="Serviço",AT$12&lt;&gt;0,$H76&gt;0,OR(AUTOEVENTO&lt;&gt;"manual",$M76&lt;&gt;$A$15)),
        IF(Import.TipoArredondamento&lt;&gt;"TransfereGOV",
              ROUND(OFFSET($P76,0,AT$13),15-13*ORÇAMENTO!$AF$7)/$H76*OFFSET(ORÇAMENTO!$X$15,ROW(AT76)-ROW(AT$15),0),
              ROUND(ROUND(OFFSET($P76,0,AT$13),15-13*ORÇAMENTO!$AF$7)*OFFSET(ORÇAMENTO!$W$15,ROW(AT76)-ROW(AT$15),0),15-13*ORÇAMENTO!$AF$11)),
         0)</f>
        <v>0</v>
      </c>
      <c r="AU76" s="453">
        <f ca="1">IF(AND($D76="Serviço",AU$12&lt;&gt;0,$H76&gt;0,OR(AUTOEVENTO&lt;&gt;"manual",$M76&lt;&gt;$A$15)),
        IF(Import.TipoArredondamento&lt;&gt;"TransfereGOV",
              ROUND(OFFSET($P76,0,AU$13),15-13*ORÇAMENTO!$AF$7)/$H76*OFFSET(ORÇAMENTO!$X$15,ROW(AU76)-ROW(AU$15),0),
              ROUND(ROUND(OFFSET($P76,0,AU$13),15-13*ORÇAMENTO!$AF$7)*OFFSET(ORÇAMENTO!$W$15,ROW(AU76)-ROW(AU$15),0),15-13*ORÇAMENTO!$AF$11)),
         0)</f>
        <v>0</v>
      </c>
      <c r="AV76" s="453">
        <f ca="1">IF(AND($D76="Serviço",AV$12&lt;&gt;0,$H76&gt;0,OR(AUTOEVENTO&lt;&gt;"manual",$M76&lt;&gt;$A$15)),
        IF(Import.TipoArredondamento&lt;&gt;"TransfereGOV",
              ROUND(OFFSET($P76,0,AV$13),15-13*ORÇAMENTO!$AF$7)/$H76*OFFSET(ORÇAMENTO!$X$15,ROW(AV76)-ROW(AV$15),0),
              ROUND(ROUND(OFFSET($P76,0,AV$13),15-13*ORÇAMENTO!$AF$7)*OFFSET(ORÇAMENTO!$W$15,ROW(AV76)-ROW(AV$15),0),15-13*ORÇAMENTO!$AF$11)),
         0)</f>
        <v>0</v>
      </c>
      <c r="AW76" s="453">
        <f ca="1">IF(AND($D76="Serviço",AW$12&lt;&gt;0,$H76&gt;0,OR(AUTOEVENTO&lt;&gt;"manual",$M76&lt;&gt;$A$15)),
        IF(Import.TipoArredondamento&lt;&gt;"TransfereGOV",
              ROUND(OFFSET($P76,0,AW$13),15-13*ORÇAMENTO!$AF$7)/$H76*OFFSET(ORÇAMENTO!$X$15,ROW(AW76)-ROW(AW$15),0),
              ROUND(ROUND(OFFSET($P76,0,AW$13),15-13*ORÇAMENTO!$AF$7)*OFFSET(ORÇAMENTO!$W$15,ROW(AW76)-ROW(AW$15),0),15-13*ORÇAMENTO!$AF$11)),
         0)</f>
        <v>0</v>
      </c>
      <c r="AX76" s="453">
        <f ca="1">IF(AND($D76="Serviço",AX$12&lt;&gt;0,$H76&gt;0,OR(AUTOEVENTO&lt;&gt;"manual",$M76&lt;&gt;$A$15)),
        IF(Import.TipoArredondamento&lt;&gt;"TransfereGOV",
              ROUND(OFFSET($P76,0,AX$13),15-13*ORÇAMENTO!$AF$7)/$H76*OFFSET(ORÇAMENTO!$X$15,ROW(AX76)-ROW(AX$15),0),
              ROUND(ROUND(OFFSET($P76,0,AX$13),15-13*ORÇAMENTO!$AF$7)*OFFSET(ORÇAMENTO!$W$15,ROW(AX76)-ROW(AX$15),0),15-13*ORÇAMENTO!$AF$11)),
         0)</f>
        <v>0</v>
      </c>
      <c r="AY76" s="453">
        <f ca="1">IF(AND($D76="Serviço",AY$12&lt;&gt;0,$H76&gt;0,OR(AUTOEVENTO&lt;&gt;"manual",$M76&lt;&gt;$A$15)),
        IF(Import.TipoArredondamento&lt;&gt;"TransfereGOV",
              ROUND(OFFSET($P76,0,AY$13),15-13*ORÇAMENTO!$AF$7)/$H76*OFFSET(ORÇAMENTO!$X$15,ROW(AY76)-ROW(AY$15),0),
              ROUND(ROUND(OFFSET($P76,0,AY$13),15-13*ORÇAMENTO!$AF$7)*OFFSET(ORÇAMENTO!$W$15,ROW(AY76)-ROW(AY$15),0),15-13*ORÇAMENTO!$AF$11)),
         0)</f>
        <v>0</v>
      </c>
      <c r="AZ76" s="453">
        <f ca="1">IF(AND($D76="Serviço",AZ$12&lt;&gt;0,$H76&gt;0,OR(AUTOEVENTO&lt;&gt;"manual",$M76&lt;&gt;$A$15)),
        IF(Import.TipoArredondamento&lt;&gt;"TransfereGOV",
              ROUND(OFFSET($P76,0,AZ$13),15-13*ORÇAMENTO!$AF$7)/$H76*OFFSET(ORÇAMENTO!$X$15,ROW(AZ76)-ROW(AZ$15),0),
              ROUND(ROUND(OFFSET($P76,0,AZ$13),15-13*ORÇAMENTO!$AF$7)*OFFSET(ORÇAMENTO!$W$15,ROW(AZ76)-ROW(AZ$15),0),15-13*ORÇAMENTO!$AF$11)),
         0)</f>
        <v>0</v>
      </c>
      <c r="BA76" s="453">
        <f ca="1">IF(AND($D76="Serviço",BA$12&lt;&gt;0,$H76&gt;0,OR(AUTOEVENTO&lt;&gt;"manual",$M76&lt;&gt;$A$15)),
        IF(Import.TipoArredondamento&lt;&gt;"TransfereGOV",
              ROUND(OFFSET($P76,0,BA$13),15-13*ORÇAMENTO!$AF$7)/$H76*OFFSET(ORÇAMENTO!$X$15,ROW(BA76)-ROW(BA$15),0),
              ROUND(ROUND(OFFSET($P76,0,BA$13),15-13*ORÇAMENTO!$AF$7)*OFFSET(ORÇAMENTO!$W$15,ROW(BA76)-ROW(BA$15),0),15-13*ORÇAMENTO!$AF$11)),
         0)</f>
        <v>0</v>
      </c>
      <c r="BC76" s="171">
        <f ca="1">IF(OR($D76&lt;&gt;"Serviço",AND(AUTOEVENTO="Manual",$M76=$A$15)),0,
         IF(OFFSET(CRONOPLE!$F$15,$M76-$A$15,BC$13)=0,10^12,OFFSET(CRONOPLE!$F$15,$M76-$A$15,BC$13)))</f>
        <v>1000000000000</v>
      </c>
      <c r="BD76" s="171">
        <f ca="1">IF(OR($D76&lt;&gt;"Serviço",AND(AUTOEVENTO="Manual",$M76=$A$15)),0,
         IF(OFFSET(CRONOPLE!$F$15,$M76-$A$15,BD$13)=0,10^12,OFFSET(CRONOPLE!$F$15,$M76-$A$15,BD$13)))</f>
        <v>1000000000000</v>
      </c>
      <c r="BE76" s="171">
        <f ca="1">IF(OR($D76&lt;&gt;"Serviço",AND(AUTOEVENTO="Manual",$M76=$A$15)),0,
         IF(OFFSET(CRONOPLE!$F$15,$M76-$A$15,BE$13)=0,10^12,OFFSET(CRONOPLE!$F$15,$M76-$A$15,BE$13)))</f>
        <v>1000000000000</v>
      </c>
      <c r="BF76" s="171">
        <f ca="1">IF(OR($D76&lt;&gt;"Serviço",AND(AUTOEVENTO="Manual",$M76=$A$15)),0,
         IF(OFFSET(CRONOPLE!$F$15,$M76-$A$15,BF$13)=0,10^12,OFFSET(CRONOPLE!$F$15,$M76-$A$15,BF$13)))</f>
        <v>2</v>
      </c>
      <c r="BG76" s="171">
        <f ca="1">IF(OR($D76&lt;&gt;"Serviço",AND(AUTOEVENTO="Manual",$M76=$A$15)),0,
         IF(OFFSET(CRONOPLE!$F$15,$M76-$A$15,BG$13)=0,10^12,OFFSET(CRONOPLE!$F$15,$M76-$A$15,BG$13)))</f>
        <v>1000000000000</v>
      </c>
      <c r="BH76" s="171">
        <f ca="1">IF(OR($D76&lt;&gt;"Serviço",AND(AUTOEVENTO="Manual",$M76=$A$15)),0,
         IF(OFFSET(CRONOPLE!$F$15,$M76-$A$15,BH$13)=0,10^12,OFFSET(CRONOPLE!$F$15,$M76-$A$15,BH$13)))</f>
        <v>1000000000000</v>
      </c>
      <c r="BI76" s="171">
        <f ca="1">IF(OR($D76&lt;&gt;"Serviço",AND(AUTOEVENTO="Manual",$M76=$A$15)),0,
         IF(OFFSET(CRONOPLE!$F$15,$M76-$A$15,BI$13)=0,10^12,OFFSET(CRONOPLE!$F$15,$M76-$A$15,BI$13)))</f>
        <v>1000000000000</v>
      </c>
      <c r="BJ76" s="171">
        <f ca="1">IF(OR($D76&lt;&gt;"Serviço",AND(AUTOEVENTO="Manual",$M76=$A$15)),0,
         IF(OFFSET(CRONOPLE!$F$15,$M76-$A$15,BJ$13)=0,10^12,OFFSET(CRONOPLE!$F$15,$M76-$A$15,BJ$13)))</f>
        <v>1000000000000</v>
      </c>
      <c r="BK76" s="171">
        <f ca="1">IF(OR($D76&lt;&gt;"Serviço",AND(AUTOEVENTO="Manual",$M76=$A$15)),0,
         IF(OFFSET(CRONOPLE!$F$15,$M76-$A$15,BK$13)=0,10^12,OFFSET(CRONOPLE!$F$15,$M76-$A$15,BK$13)))</f>
        <v>1000000000000</v>
      </c>
      <c r="BL76" s="171">
        <f ca="1">IF(OR($D76&lt;&gt;"Serviço",AND(AUTOEVENTO="Manual",$M76=$A$15)),0,
         IF(OFFSET(CRONOPLE!$F$15,$M76-$A$15,BL$13)=0,10^12,OFFSET(CRONOPLE!$F$15,$M76-$A$15,BL$13)))</f>
        <v>1000000000000</v>
      </c>
      <c r="BM76" s="171">
        <f ca="1">IF(OR($D76&lt;&gt;"Serviço",AND(AUTOEVENTO="Manual",$M76=$A$15)),0,
         IF(OFFSET(CRONOPLE!$F$15,$M76-$A$15,BM$13)=0,10^12,OFFSET(CRONOPLE!$F$15,$M76-$A$15,BM$13)))</f>
        <v>1000000000000</v>
      </c>
      <c r="BN76" s="171">
        <f ca="1">IF(OR($D76&lt;&gt;"Serviço",AND(AUTOEVENTO="Manual",$M76=$A$15)),0,
         IF(OFFSET(CRONOPLE!$F$15,$M76-$A$15,BN$13)=0,10^12,OFFSET(CRONOPLE!$F$15,$M76-$A$15,BN$13)))</f>
        <v>1000000000000</v>
      </c>
      <c r="BO76" s="171">
        <f ca="1">IF(OR($D76&lt;&gt;"Serviço",AND(AUTOEVENTO="Manual",$M76=$A$15)),0,
         IF(OFFSET(CRONOPLE!$F$15,$M76-$A$15,BO$13)=0,10^12,OFFSET(CRONOPLE!$F$15,$M76-$A$15,BO$13)))</f>
        <v>1000000000000</v>
      </c>
      <c r="BP76" s="171">
        <f ca="1">IF(OR($D76&lt;&gt;"Serviço",AND(AUTOEVENTO="Manual",$M76=$A$15)),0,
         IF(OFFSET(CRONOPLE!$F$15,$M76-$A$15,BP$13)=0,10^12,OFFSET(CRONOPLE!$F$15,$M76-$A$15,BP$13)))</f>
        <v>1000000000000</v>
      </c>
      <c r="BQ76" s="171">
        <f ca="1">IF(OR($D76&lt;&gt;"Serviço",AND(AUTOEVENTO="Manual",$M76=$A$15)),0,
         IF(OFFSET(CRONOPLE!$F$15,$M76-$A$15,BQ$13)=0,10^12,OFFSET(CRONOPLE!$F$15,$M76-$A$15,BQ$13)))</f>
        <v>1000000000000</v>
      </c>
      <c r="BR76" s="171">
        <f ca="1">IF(OR($D76&lt;&gt;"Serviço",AND(AUTOEVENTO="Manual",$M76=$A$15)),0,
         IF(OFFSET(CRONOPLE!$F$15,$M76-$A$15,BR$13)=0,10^12,OFFSET(CRONOPLE!$F$15,$M76-$A$15,BR$13)))</f>
        <v>1000000000000</v>
      </c>
      <c r="BS76" s="171">
        <f ca="1">IF(OR($D76&lt;&gt;"Serviço",AND(AUTOEVENTO="Manual",$M76=$A$15)),0,
         IF(OFFSET(CRONOPLE!$F$15,$M76-$A$15,BS$13)=0,10^12,OFFSET(CRONOPLE!$F$15,$M76-$A$15,BS$13)))</f>
        <v>1000000000000</v>
      </c>
      <c r="BT76" s="171">
        <f ca="1">IF(OR($D76&lt;&gt;"Serviço",AND(AUTOEVENTO="Manual",$M76=$A$15)),0,
         IF(OFFSET(CRONOPLE!$F$15,$M76-$A$15,BT$13)=0,10^12,OFFSET(CRONOPLE!$F$15,$M76-$A$15,BT$13)))</f>
        <v>1000000000000</v>
      </c>
      <c r="BV76" s="172">
        <f ca="1">IF(OR($D76&lt;&gt;"Serviço",AND(AUTOEVENTO="Manual",$M76=$A$15),$M76&gt;(ROW(PLE.lastrow)-ROW(PLE.firstrow))),0,
           IF(OFFSET(PLE!$G$15,$M76-$A$15,BV$13)="",10^12,OFFSET(PLE!$G$15,$M76-$A$15,BV$13)))</f>
        <v>1000000000000</v>
      </c>
      <c r="BW76" s="172">
        <f ca="1">IF(OR($D76&lt;&gt;"Serviço",AND(AUTOEVENTO="Manual",$M76=$A$15),$M76&gt;(ROW(PLE.lastrow)-ROW(PLE.firstrow))),0,
           IF(OFFSET(PLE!$G$15,$M76-$A$15,BW$13)="",10^12,OFFSET(PLE!$G$15,$M76-$A$15,BW$13)))</f>
        <v>1000000000000</v>
      </c>
      <c r="BX76" s="172">
        <f ca="1">IF(OR($D76&lt;&gt;"Serviço",AND(AUTOEVENTO="Manual",$M76=$A$15),$M76&gt;(ROW(PLE.lastrow)-ROW(PLE.firstrow))),0,
           IF(OFFSET(PLE!$G$15,$M76-$A$15,BX$13)="",10^12,OFFSET(PLE!$G$15,$M76-$A$15,BX$13)))</f>
        <v>1000000000000</v>
      </c>
      <c r="BY76" s="172">
        <f ca="1">IF(OR($D76&lt;&gt;"Serviço",AND(AUTOEVENTO="Manual",$M76=$A$15),$M76&gt;(ROW(PLE.lastrow)-ROW(PLE.firstrow))),0,
           IF(OFFSET(PLE!$G$15,$M76-$A$15,BY$13)="",10^12,OFFSET(PLE!$G$15,$M76-$A$15,BY$13)))</f>
        <v>1000000000000</v>
      </c>
      <c r="BZ76" s="172">
        <f ca="1">IF(OR($D76&lt;&gt;"Serviço",AND(AUTOEVENTO="Manual",$M76=$A$15),$M76&gt;(ROW(PLE.lastrow)-ROW(PLE.firstrow))),0,
           IF(OFFSET(PLE!$G$15,$M76-$A$15,BZ$13)="",10^12,OFFSET(PLE!$G$15,$M76-$A$15,BZ$13)))</f>
        <v>1000000000000</v>
      </c>
      <c r="CA76" s="172">
        <f ca="1">IF(OR($D76&lt;&gt;"Serviço",AND(AUTOEVENTO="Manual",$M76=$A$15),$M76&gt;(ROW(PLE.lastrow)-ROW(PLE.firstrow))),0,
           IF(OFFSET(PLE!$G$15,$M76-$A$15,CA$13)="",10^12,OFFSET(PLE!$G$15,$M76-$A$15,CA$13)))</f>
        <v>1000000000000</v>
      </c>
      <c r="CB76" s="172">
        <f ca="1">IF(OR($D76&lt;&gt;"Serviço",AND(AUTOEVENTO="Manual",$M76=$A$15),$M76&gt;(ROW(PLE.lastrow)-ROW(PLE.firstrow))),0,
           IF(OFFSET(PLE!$G$15,$M76-$A$15,CB$13)="",10^12,OFFSET(PLE!$G$15,$M76-$A$15,CB$13)))</f>
        <v>1000000000000</v>
      </c>
      <c r="CC76" s="172">
        <f ca="1">IF(OR($D76&lt;&gt;"Serviço",AND(AUTOEVENTO="Manual",$M76=$A$15),$M76&gt;(ROW(PLE.lastrow)-ROW(PLE.firstrow))),0,
           IF(OFFSET(PLE!$G$15,$M76-$A$15,CC$13)="",10^12,OFFSET(PLE!$G$15,$M76-$A$15,CC$13)))</f>
        <v>1000000000000</v>
      </c>
      <c r="CD76" s="172">
        <f ca="1">IF(OR($D76&lt;&gt;"Serviço",AND(AUTOEVENTO="Manual",$M76=$A$15),$M76&gt;(ROW(PLE.lastrow)-ROW(PLE.firstrow))),0,
           IF(OFFSET(PLE!$G$15,$M76-$A$15,CD$13)="",10^12,OFFSET(PLE!$G$15,$M76-$A$15,CD$13)))</f>
        <v>1000000000000</v>
      </c>
      <c r="CE76" s="172">
        <f ca="1">IF(OR($D76&lt;&gt;"Serviço",AND(AUTOEVENTO="Manual",$M76=$A$15),$M76&gt;(ROW(PLE.lastrow)-ROW(PLE.firstrow))),0,
           IF(OFFSET(PLE!$G$15,$M76-$A$15,CE$13)="",10^12,OFFSET(PLE!$G$15,$M76-$A$15,CE$13)))</f>
        <v>1000000000000</v>
      </c>
      <c r="CF76" s="172">
        <f ca="1">IF(OR($D76&lt;&gt;"Serviço",AND(AUTOEVENTO="Manual",$M76=$A$15),$M76&gt;(ROW(PLE.lastrow)-ROW(PLE.firstrow))),0,
           IF(OFFSET(PLE!$G$15,$M76-$A$15,CF$13)="",10^12,OFFSET(PLE!$G$15,$M76-$A$15,CF$13)))</f>
        <v>1000000000000</v>
      </c>
      <c r="CG76" s="172">
        <f ca="1">IF(OR($D76&lt;&gt;"Serviço",AND(AUTOEVENTO="Manual",$M76=$A$15),$M76&gt;(ROW(PLE.lastrow)-ROW(PLE.firstrow))),0,
           IF(OFFSET(PLE!$G$15,$M76-$A$15,CG$13)="",10^12,OFFSET(PLE!$G$15,$M76-$A$15,CG$13)))</f>
        <v>1000000000000</v>
      </c>
      <c r="CH76" s="172">
        <f ca="1">IF(OR($D76&lt;&gt;"Serviço",AND(AUTOEVENTO="Manual",$M76=$A$15),$M76&gt;(ROW(PLE.lastrow)-ROW(PLE.firstrow))),0,
           IF(OFFSET(PLE!$G$15,$M76-$A$15,CH$13)="",10^12,OFFSET(PLE!$G$15,$M76-$A$15,CH$13)))</f>
        <v>1000000000000</v>
      </c>
      <c r="CI76" s="172">
        <f ca="1">IF(OR($D76&lt;&gt;"Serviço",AND(AUTOEVENTO="Manual",$M76=$A$15),$M76&gt;(ROW(PLE.lastrow)-ROW(PLE.firstrow))),0,
           IF(OFFSET(PLE!$G$15,$M76-$A$15,CI$13)="",10^12,OFFSET(PLE!$G$15,$M76-$A$15,CI$13)))</f>
        <v>1000000000000</v>
      </c>
      <c r="CJ76" s="172">
        <f ca="1">IF(OR($D76&lt;&gt;"Serviço",AND(AUTOEVENTO="Manual",$M76=$A$15),$M76&gt;(ROW(PLE.lastrow)-ROW(PLE.firstrow))),0,
           IF(OFFSET(PLE!$G$15,$M76-$A$15,CJ$13)="",10^12,OFFSET(PLE!$G$15,$M76-$A$15,CJ$13)))</f>
        <v>1000000000000</v>
      </c>
      <c r="CK76" s="172">
        <f ca="1">IF(OR($D76&lt;&gt;"Serviço",AND(AUTOEVENTO="Manual",$M76=$A$15),$M76&gt;(ROW(PLE.lastrow)-ROW(PLE.firstrow))),0,
           IF(OFFSET(PLE!$G$15,$M76-$A$15,CK$13)="",10^12,OFFSET(PLE!$G$15,$M76-$A$15,CK$13)))</f>
        <v>1000000000000</v>
      </c>
      <c r="CL76" s="172">
        <f ca="1">IF(OR($D76&lt;&gt;"Serviço",AND(AUTOEVENTO="Manual",$M76=$A$15),$M76&gt;(ROW(PLE.lastrow)-ROW(PLE.firstrow))),0,
           IF(OFFSET(PLE!$G$15,$M76-$A$15,CL$13)="",10^12,OFFSET(PLE!$G$15,$M76-$A$15,CL$13)))</f>
        <v>1000000000000</v>
      </c>
      <c r="CM76" s="172">
        <f ca="1">IF(OR($D76&lt;&gt;"Serviço",AND(AUTOEVENTO="Manual",$M76=$A$15),$M76&gt;(ROW(PLE.lastrow)-ROW(PLE.firstrow))),0,
           IF(OFFSET(PLE!$G$15,$M76-$A$15,CM$13)="",10^12,OFFSET(PLE!$G$15,$M76-$A$15,CM$13)))</f>
        <v>1000000000000</v>
      </c>
    </row>
    <row r="77" spans="1:91" ht="26.4" x14ac:dyDescent="0.25">
      <c r="A77" s="7" t="str">
        <f t="shared" ca="1" si="11"/>
        <v>59</v>
      </c>
      <c r="B77" s="7" t="str">
        <f ca="1">OFFSET(ORÇAMENTO!C$15,ROW(B77)-ROW(B$15),0)</f>
        <v>S</v>
      </c>
      <c r="C77" s="7" t="str">
        <f ca="1">OFFSET(ORÇAMENTO!L$15,ROW(C77)-ROW(C$15),0)</f>
        <v>F</v>
      </c>
      <c r="D77" s="116" t="str">
        <f ca="1">OFFSET(ORÇAMENTO!N$15,ROW(D77)-ROW(D$15),0)</f>
        <v>Serviço</v>
      </c>
      <c r="E77" s="117" t="str">
        <f ca="1">OFFSET(ORÇAMENTO!O$15,ROW(E77)-ROW(E$15),0)</f>
        <v>2.4.3.</v>
      </c>
      <c r="F77" s="163" t="str">
        <f ca="1">OFFSET(ORÇAMENTO!R$15,ROW(F77)-ROW(F$15),0)</f>
        <v>Transporte de material betuminoso com caminhão tanque distribuidor - rodovia pavimentada</v>
      </c>
      <c r="G77" s="164" t="str">
        <f ca="1">IF($D77&lt;&gt;"Serviço","",OFFSET(ORÇAMENTO!S$15,ROW(G77)-ROW(G$15),0))</f>
        <v>tkm</v>
      </c>
      <c r="H77" s="122" cm="1">
        <f t="array" aca="1" ref="H77" ca="1">IF($D77&lt;&gt;"Serviço",0,IF(ACOMPANHAMENTO="BM",ROUND(OFFSET(ORÇAMENTO!AJ$15,ROW(H77)-ROW(H$15),0),15-13*ORÇAMENTO!$AF$7),SUMPRODUCT(($Q$1:$AI$1=1)*ROUND($Q77:$AI77,15-13*ORÇAMENTO!$AF$7))))</f>
        <v>8.02</v>
      </c>
      <c r="I77" s="468"/>
      <c r="J77" s="651" t="e" cm="1">
        <f t="array" aca="1" ref="J77" ca="1">IF(OR(B77&lt;&gt;"S",CÁLCULO.FrentesPreenchidas=0),"",IF(AND(ACOMPANHAMENTO="PLE",AUTOEVENTO="Manual",OR(H77&gt;0,ORÇAMENTO!AC77="QUANT."),OR(K77="",M77=0,N77="")),"►E",IF(AND(ACOMPANHAMENTO="PLE",ORÇAMENTO!AC77="QUANT."),"►Q",IF(AND(ACOMPANHAMENTO="PLE",H77&lt;&gt;SUMPRODUCT(($Q$1:$AI$1=1)*ROUND(Q77:AI77,15))),"►S",IF(AND(COUNTIF($P$11:$AI$11,"▼")=0,H77&gt;0,I77=""),"◄M","")))))</f>
        <v>#NAME?</v>
      </c>
      <c r="K77" s="652"/>
      <c r="L77" s="165" t="s">
        <v>764</v>
      </c>
      <c r="M77" s="166">
        <f ca="1">IF($D77&lt;&gt;"Serviço","",
          IF(AUTOEVENTO="manual",$A77,
                IF(ISERROR(MATCH($A77,$A$15:OFFSET($A77,-1,0),0)),MAX($M$15:OFFSET(M77,-1,0))+1,
                      INDEX($M$15:OFFSET(M77,-1,0),MATCH($A77,$A$15:OFFSET($A77,-1,0),0)))))</f>
        <v>11</v>
      </c>
      <c r="N77" s="167" t="str">
        <f ca="1">IF($D77&lt;&gt;"Serviço","",
         IF(AUTOEVENTO="Manual",
                IF($A77=0,"&lt;-- defina o número do agrupador",
                       OFFSET(EVENTOS!$D$15,$A77-$A$15,0)),
                OFFSET($F$15,$A77,0)))</f>
        <v>LOMBADAS TIPO A (3,70m de comprimento x 0,10m altura)</v>
      </c>
      <c r="O77" s="168"/>
      <c r="Q77" s="168"/>
      <c r="R77" s="169"/>
      <c r="S77" s="169"/>
      <c r="T77" s="169">
        <f>TRUNC(T76/1000*337,2)</f>
        <v>8.02</v>
      </c>
      <c r="U77" s="169"/>
      <c r="V77" s="169"/>
      <c r="W77" s="169"/>
      <c r="X77" s="169"/>
      <c r="Y77" s="169"/>
      <c r="Z77" s="170"/>
      <c r="AA77" s="169"/>
      <c r="AB77" s="169"/>
      <c r="AC77" s="169"/>
      <c r="AD77" s="169"/>
      <c r="AE77" s="169"/>
      <c r="AF77" s="169"/>
      <c r="AG77" s="169"/>
      <c r="AH77" s="170"/>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L77" s="453">
        <f ca="1">IF(AND($D77="Serviço",AL$12&lt;&gt;0,$H77&gt;0,OR(AUTOEVENTO&lt;&gt;"manual",$M77&lt;&gt;$A$15)),
        IF(Import.TipoArredondamento&lt;&gt;"TransfereGOV",
              ROUND(OFFSET($P77,0,AL$13),15-13*ORÇAMENTO!$AF$7)/$H77*OFFSET(ORÇAMENTO!$X$15,ROW(AL77)-ROW(AL$15),0),
              ROUND(ROUND(OFFSET($P77,0,AL$13),15-13*ORÇAMENTO!$AF$7)*OFFSET(ORÇAMENTO!$W$15,ROW(AL77)-ROW(AL$15),0),15-13*ORÇAMENTO!$AF$11)),
         0)</f>
        <v>0</v>
      </c>
      <c r="AM77" s="453">
        <f ca="1">IF(AND($D77="Serviço",AM$12&lt;&gt;0,$H77&gt;0,OR(AUTOEVENTO&lt;&gt;"manual",$M77&lt;&gt;$A$15)),
        IF(Import.TipoArredondamento&lt;&gt;"TransfereGOV",
              ROUND(OFFSET($P77,0,AM$13),15-13*ORÇAMENTO!$AF$7)/$H77*OFFSET(ORÇAMENTO!$X$15,ROW(AM77)-ROW(AM$15),0),
              ROUND(ROUND(OFFSET($P77,0,AM$13),15-13*ORÇAMENTO!$AF$7)*OFFSET(ORÇAMENTO!$W$15,ROW(AM77)-ROW(AM$15),0),15-13*ORÇAMENTO!$AF$11)),
         0)</f>
        <v>20.45</v>
      </c>
      <c r="AN77" s="453">
        <f ca="1">IF(AND($D77="Serviço",AN$12&lt;&gt;0,$H77&gt;0,OR(AUTOEVENTO&lt;&gt;"manual",$M77&lt;&gt;$A$15)),
        IF(Import.TipoArredondamento&lt;&gt;"TransfereGOV",
              ROUND(OFFSET($P77,0,AN$13),15-13*ORÇAMENTO!$AF$7)/$H77*OFFSET(ORÇAMENTO!$X$15,ROW(AN77)-ROW(AN$15),0),
              ROUND(ROUND(OFFSET($P77,0,AN$13),15-13*ORÇAMENTO!$AF$7)*OFFSET(ORÇAMENTO!$W$15,ROW(AN77)-ROW(AN$15),0),15-13*ORÇAMENTO!$AF$11)),
         0)</f>
        <v>0</v>
      </c>
      <c r="AO77" s="453">
        <f ca="1">IF(AND($D77="Serviço",AO$12&lt;&gt;0,$H77&gt;0,OR(AUTOEVENTO&lt;&gt;"manual",$M77&lt;&gt;$A$15)),
        IF(Import.TipoArredondamento&lt;&gt;"TransfereGOV",
              ROUND(OFFSET($P77,0,AO$13),15-13*ORÇAMENTO!$AF$7)/$H77*OFFSET(ORÇAMENTO!$X$15,ROW(AO77)-ROW(AO$15),0),
              ROUND(ROUND(OFFSET($P77,0,AO$13),15-13*ORÇAMENTO!$AF$7)*OFFSET(ORÇAMENTO!$W$15,ROW(AO77)-ROW(AO$15),0),15-13*ORÇAMENTO!$AF$11)),
         0)</f>
        <v>0</v>
      </c>
      <c r="AP77" s="453">
        <f ca="1">IF(AND($D77="Serviço",AP$12&lt;&gt;0,$H77&gt;0,OR(AUTOEVENTO&lt;&gt;"manual",$M77&lt;&gt;$A$15)),
        IF(Import.TipoArredondamento&lt;&gt;"TransfereGOV",
              ROUND(OFFSET($P77,0,AP$13),15-13*ORÇAMENTO!$AF$7)/$H77*OFFSET(ORÇAMENTO!$X$15,ROW(AP77)-ROW(AP$15),0),
              ROUND(ROUND(OFFSET($P77,0,AP$13),15-13*ORÇAMENTO!$AF$7)*OFFSET(ORÇAMENTO!$W$15,ROW(AP77)-ROW(AP$15),0),15-13*ORÇAMENTO!$AF$11)),
         0)</f>
        <v>0</v>
      </c>
      <c r="AQ77" s="453">
        <f ca="1">IF(AND($D77="Serviço",AQ$12&lt;&gt;0,$H77&gt;0,OR(AUTOEVENTO&lt;&gt;"manual",$M77&lt;&gt;$A$15)),
        IF(Import.TipoArredondamento&lt;&gt;"TransfereGOV",
              ROUND(OFFSET($P77,0,AQ$13),15-13*ORÇAMENTO!$AF$7)/$H77*OFFSET(ORÇAMENTO!$X$15,ROW(AQ77)-ROW(AQ$15),0),
              ROUND(ROUND(OFFSET($P77,0,AQ$13),15-13*ORÇAMENTO!$AF$7)*OFFSET(ORÇAMENTO!$W$15,ROW(AQ77)-ROW(AQ$15),0),15-13*ORÇAMENTO!$AF$11)),
         0)</f>
        <v>0</v>
      </c>
      <c r="AR77" s="453">
        <f ca="1">IF(AND($D77="Serviço",AR$12&lt;&gt;0,$H77&gt;0,OR(AUTOEVENTO&lt;&gt;"manual",$M77&lt;&gt;$A$15)),
        IF(Import.TipoArredondamento&lt;&gt;"TransfereGOV",
              ROUND(OFFSET($P77,0,AR$13),15-13*ORÇAMENTO!$AF$7)/$H77*OFFSET(ORÇAMENTO!$X$15,ROW(AR77)-ROW(AR$15),0),
              ROUND(ROUND(OFFSET($P77,0,AR$13),15-13*ORÇAMENTO!$AF$7)*OFFSET(ORÇAMENTO!$W$15,ROW(AR77)-ROW(AR$15),0),15-13*ORÇAMENTO!$AF$11)),
         0)</f>
        <v>0</v>
      </c>
      <c r="AS77" s="453">
        <f ca="1">IF(AND($D77="Serviço",AS$12&lt;&gt;0,$H77&gt;0,OR(AUTOEVENTO&lt;&gt;"manual",$M77&lt;&gt;$A$15)),
        IF(Import.TipoArredondamento&lt;&gt;"TransfereGOV",
              ROUND(OFFSET($P77,0,AS$13),15-13*ORÇAMENTO!$AF$7)/$H77*OFFSET(ORÇAMENTO!$X$15,ROW(AS77)-ROW(AS$15),0),
              ROUND(ROUND(OFFSET($P77,0,AS$13),15-13*ORÇAMENTO!$AF$7)*OFFSET(ORÇAMENTO!$W$15,ROW(AS77)-ROW(AS$15),0),15-13*ORÇAMENTO!$AF$11)),
         0)</f>
        <v>0</v>
      </c>
      <c r="AT77" s="453">
        <f ca="1">IF(AND($D77="Serviço",AT$12&lt;&gt;0,$H77&gt;0,OR(AUTOEVENTO&lt;&gt;"manual",$M77&lt;&gt;$A$15)),
        IF(Import.TipoArredondamento&lt;&gt;"TransfereGOV",
              ROUND(OFFSET($P77,0,AT$13),15-13*ORÇAMENTO!$AF$7)/$H77*OFFSET(ORÇAMENTO!$X$15,ROW(AT77)-ROW(AT$15),0),
              ROUND(ROUND(OFFSET($P77,0,AT$13),15-13*ORÇAMENTO!$AF$7)*OFFSET(ORÇAMENTO!$W$15,ROW(AT77)-ROW(AT$15),0),15-13*ORÇAMENTO!$AF$11)),
         0)</f>
        <v>0</v>
      </c>
      <c r="AU77" s="453">
        <f ca="1">IF(AND($D77="Serviço",AU$12&lt;&gt;0,$H77&gt;0,OR(AUTOEVENTO&lt;&gt;"manual",$M77&lt;&gt;$A$15)),
        IF(Import.TipoArredondamento&lt;&gt;"TransfereGOV",
              ROUND(OFFSET($P77,0,AU$13),15-13*ORÇAMENTO!$AF$7)/$H77*OFFSET(ORÇAMENTO!$X$15,ROW(AU77)-ROW(AU$15),0),
              ROUND(ROUND(OFFSET($P77,0,AU$13),15-13*ORÇAMENTO!$AF$7)*OFFSET(ORÇAMENTO!$W$15,ROW(AU77)-ROW(AU$15),0),15-13*ORÇAMENTO!$AF$11)),
         0)</f>
        <v>0</v>
      </c>
      <c r="AV77" s="453">
        <f ca="1">IF(AND($D77="Serviço",AV$12&lt;&gt;0,$H77&gt;0,OR(AUTOEVENTO&lt;&gt;"manual",$M77&lt;&gt;$A$15)),
        IF(Import.TipoArredondamento&lt;&gt;"TransfereGOV",
              ROUND(OFFSET($P77,0,AV$13),15-13*ORÇAMENTO!$AF$7)/$H77*OFFSET(ORÇAMENTO!$X$15,ROW(AV77)-ROW(AV$15),0),
              ROUND(ROUND(OFFSET($P77,0,AV$13),15-13*ORÇAMENTO!$AF$7)*OFFSET(ORÇAMENTO!$W$15,ROW(AV77)-ROW(AV$15),0),15-13*ORÇAMENTO!$AF$11)),
         0)</f>
        <v>0</v>
      </c>
      <c r="AW77" s="453">
        <f ca="1">IF(AND($D77="Serviço",AW$12&lt;&gt;0,$H77&gt;0,OR(AUTOEVENTO&lt;&gt;"manual",$M77&lt;&gt;$A$15)),
        IF(Import.TipoArredondamento&lt;&gt;"TransfereGOV",
              ROUND(OFFSET($P77,0,AW$13),15-13*ORÇAMENTO!$AF$7)/$H77*OFFSET(ORÇAMENTO!$X$15,ROW(AW77)-ROW(AW$15),0),
              ROUND(ROUND(OFFSET($P77,0,AW$13),15-13*ORÇAMENTO!$AF$7)*OFFSET(ORÇAMENTO!$W$15,ROW(AW77)-ROW(AW$15),0),15-13*ORÇAMENTO!$AF$11)),
         0)</f>
        <v>0</v>
      </c>
      <c r="AX77" s="453">
        <f ca="1">IF(AND($D77="Serviço",AX$12&lt;&gt;0,$H77&gt;0,OR(AUTOEVENTO&lt;&gt;"manual",$M77&lt;&gt;$A$15)),
        IF(Import.TipoArredondamento&lt;&gt;"TransfereGOV",
              ROUND(OFFSET($P77,0,AX$13),15-13*ORÇAMENTO!$AF$7)/$H77*OFFSET(ORÇAMENTO!$X$15,ROW(AX77)-ROW(AX$15),0),
              ROUND(ROUND(OFFSET($P77,0,AX$13),15-13*ORÇAMENTO!$AF$7)*OFFSET(ORÇAMENTO!$W$15,ROW(AX77)-ROW(AX$15),0),15-13*ORÇAMENTO!$AF$11)),
         0)</f>
        <v>0</v>
      </c>
      <c r="AY77" s="453">
        <f ca="1">IF(AND($D77="Serviço",AY$12&lt;&gt;0,$H77&gt;0,OR(AUTOEVENTO&lt;&gt;"manual",$M77&lt;&gt;$A$15)),
        IF(Import.TipoArredondamento&lt;&gt;"TransfereGOV",
              ROUND(OFFSET($P77,0,AY$13),15-13*ORÇAMENTO!$AF$7)/$H77*OFFSET(ORÇAMENTO!$X$15,ROW(AY77)-ROW(AY$15),0),
              ROUND(ROUND(OFFSET($P77,0,AY$13),15-13*ORÇAMENTO!$AF$7)*OFFSET(ORÇAMENTO!$W$15,ROW(AY77)-ROW(AY$15),0),15-13*ORÇAMENTO!$AF$11)),
         0)</f>
        <v>0</v>
      </c>
      <c r="AZ77" s="453">
        <f ca="1">IF(AND($D77="Serviço",AZ$12&lt;&gt;0,$H77&gt;0,OR(AUTOEVENTO&lt;&gt;"manual",$M77&lt;&gt;$A$15)),
        IF(Import.TipoArredondamento&lt;&gt;"TransfereGOV",
              ROUND(OFFSET($P77,0,AZ$13),15-13*ORÇAMENTO!$AF$7)/$H77*OFFSET(ORÇAMENTO!$X$15,ROW(AZ77)-ROW(AZ$15),0),
              ROUND(ROUND(OFFSET($P77,0,AZ$13),15-13*ORÇAMENTO!$AF$7)*OFFSET(ORÇAMENTO!$W$15,ROW(AZ77)-ROW(AZ$15),0),15-13*ORÇAMENTO!$AF$11)),
         0)</f>
        <v>0</v>
      </c>
      <c r="BA77" s="453">
        <f ca="1">IF(AND($D77="Serviço",BA$12&lt;&gt;0,$H77&gt;0,OR(AUTOEVENTO&lt;&gt;"manual",$M77&lt;&gt;$A$15)),
        IF(Import.TipoArredondamento&lt;&gt;"TransfereGOV",
              ROUND(OFFSET($P77,0,BA$13),15-13*ORÇAMENTO!$AF$7)/$H77*OFFSET(ORÇAMENTO!$X$15,ROW(BA77)-ROW(BA$15),0),
              ROUND(ROUND(OFFSET($P77,0,BA$13),15-13*ORÇAMENTO!$AF$7)*OFFSET(ORÇAMENTO!$W$15,ROW(BA77)-ROW(BA$15),0),15-13*ORÇAMENTO!$AF$11)),
         0)</f>
        <v>0</v>
      </c>
      <c r="BC77" s="171">
        <f ca="1">IF(OR($D77&lt;&gt;"Serviço",AND(AUTOEVENTO="Manual",$M77=$A$15)),0,
         IF(OFFSET(CRONOPLE!$F$15,$M77-$A$15,BC$13)=0,10^12,OFFSET(CRONOPLE!$F$15,$M77-$A$15,BC$13)))</f>
        <v>1000000000000</v>
      </c>
      <c r="BD77" s="171">
        <f ca="1">IF(OR($D77&lt;&gt;"Serviço",AND(AUTOEVENTO="Manual",$M77=$A$15)),0,
         IF(OFFSET(CRONOPLE!$F$15,$M77-$A$15,BD$13)=0,10^12,OFFSET(CRONOPLE!$F$15,$M77-$A$15,BD$13)))</f>
        <v>1000000000000</v>
      </c>
      <c r="BE77" s="171">
        <f ca="1">IF(OR($D77&lt;&gt;"Serviço",AND(AUTOEVENTO="Manual",$M77=$A$15)),0,
         IF(OFFSET(CRONOPLE!$F$15,$M77-$A$15,BE$13)=0,10^12,OFFSET(CRONOPLE!$F$15,$M77-$A$15,BE$13)))</f>
        <v>1000000000000</v>
      </c>
      <c r="BF77" s="171">
        <f ca="1">IF(OR($D77&lt;&gt;"Serviço",AND(AUTOEVENTO="Manual",$M77=$A$15)),0,
         IF(OFFSET(CRONOPLE!$F$15,$M77-$A$15,BF$13)=0,10^12,OFFSET(CRONOPLE!$F$15,$M77-$A$15,BF$13)))</f>
        <v>2</v>
      </c>
      <c r="BG77" s="171">
        <f ca="1">IF(OR($D77&lt;&gt;"Serviço",AND(AUTOEVENTO="Manual",$M77=$A$15)),0,
         IF(OFFSET(CRONOPLE!$F$15,$M77-$A$15,BG$13)=0,10^12,OFFSET(CRONOPLE!$F$15,$M77-$A$15,BG$13)))</f>
        <v>1000000000000</v>
      </c>
      <c r="BH77" s="171">
        <f ca="1">IF(OR($D77&lt;&gt;"Serviço",AND(AUTOEVENTO="Manual",$M77=$A$15)),0,
         IF(OFFSET(CRONOPLE!$F$15,$M77-$A$15,BH$13)=0,10^12,OFFSET(CRONOPLE!$F$15,$M77-$A$15,BH$13)))</f>
        <v>1000000000000</v>
      </c>
      <c r="BI77" s="171">
        <f ca="1">IF(OR($D77&lt;&gt;"Serviço",AND(AUTOEVENTO="Manual",$M77=$A$15)),0,
         IF(OFFSET(CRONOPLE!$F$15,$M77-$A$15,BI$13)=0,10^12,OFFSET(CRONOPLE!$F$15,$M77-$A$15,BI$13)))</f>
        <v>1000000000000</v>
      </c>
      <c r="BJ77" s="171">
        <f ca="1">IF(OR($D77&lt;&gt;"Serviço",AND(AUTOEVENTO="Manual",$M77=$A$15)),0,
         IF(OFFSET(CRONOPLE!$F$15,$M77-$A$15,BJ$13)=0,10^12,OFFSET(CRONOPLE!$F$15,$M77-$A$15,BJ$13)))</f>
        <v>1000000000000</v>
      </c>
      <c r="BK77" s="171">
        <f ca="1">IF(OR($D77&lt;&gt;"Serviço",AND(AUTOEVENTO="Manual",$M77=$A$15)),0,
         IF(OFFSET(CRONOPLE!$F$15,$M77-$A$15,BK$13)=0,10^12,OFFSET(CRONOPLE!$F$15,$M77-$A$15,BK$13)))</f>
        <v>1000000000000</v>
      </c>
      <c r="BL77" s="171">
        <f ca="1">IF(OR($D77&lt;&gt;"Serviço",AND(AUTOEVENTO="Manual",$M77=$A$15)),0,
         IF(OFFSET(CRONOPLE!$F$15,$M77-$A$15,BL$13)=0,10^12,OFFSET(CRONOPLE!$F$15,$M77-$A$15,BL$13)))</f>
        <v>1000000000000</v>
      </c>
      <c r="BM77" s="171">
        <f ca="1">IF(OR($D77&lt;&gt;"Serviço",AND(AUTOEVENTO="Manual",$M77=$A$15)),0,
         IF(OFFSET(CRONOPLE!$F$15,$M77-$A$15,BM$13)=0,10^12,OFFSET(CRONOPLE!$F$15,$M77-$A$15,BM$13)))</f>
        <v>1000000000000</v>
      </c>
      <c r="BN77" s="171">
        <f ca="1">IF(OR($D77&lt;&gt;"Serviço",AND(AUTOEVENTO="Manual",$M77=$A$15)),0,
         IF(OFFSET(CRONOPLE!$F$15,$M77-$A$15,BN$13)=0,10^12,OFFSET(CRONOPLE!$F$15,$M77-$A$15,BN$13)))</f>
        <v>1000000000000</v>
      </c>
      <c r="BO77" s="171">
        <f ca="1">IF(OR($D77&lt;&gt;"Serviço",AND(AUTOEVENTO="Manual",$M77=$A$15)),0,
         IF(OFFSET(CRONOPLE!$F$15,$M77-$A$15,BO$13)=0,10^12,OFFSET(CRONOPLE!$F$15,$M77-$A$15,BO$13)))</f>
        <v>1000000000000</v>
      </c>
      <c r="BP77" s="171">
        <f ca="1">IF(OR($D77&lt;&gt;"Serviço",AND(AUTOEVENTO="Manual",$M77=$A$15)),0,
         IF(OFFSET(CRONOPLE!$F$15,$M77-$A$15,BP$13)=0,10^12,OFFSET(CRONOPLE!$F$15,$M77-$A$15,BP$13)))</f>
        <v>1000000000000</v>
      </c>
      <c r="BQ77" s="171">
        <f ca="1">IF(OR($D77&lt;&gt;"Serviço",AND(AUTOEVENTO="Manual",$M77=$A$15)),0,
         IF(OFFSET(CRONOPLE!$F$15,$M77-$A$15,BQ$13)=0,10^12,OFFSET(CRONOPLE!$F$15,$M77-$A$15,BQ$13)))</f>
        <v>1000000000000</v>
      </c>
      <c r="BR77" s="171">
        <f ca="1">IF(OR($D77&lt;&gt;"Serviço",AND(AUTOEVENTO="Manual",$M77=$A$15)),0,
         IF(OFFSET(CRONOPLE!$F$15,$M77-$A$15,BR$13)=0,10^12,OFFSET(CRONOPLE!$F$15,$M77-$A$15,BR$13)))</f>
        <v>1000000000000</v>
      </c>
      <c r="BS77" s="171">
        <f ca="1">IF(OR($D77&lt;&gt;"Serviço",AND(AUTOEVENTO="Manual",$M77=$A$15)),0,
         IF(OFFSET(CRONOPLE!$F$15,$M77-$A$15,BS$13)=0,10^12,OFFSET(CRONOPLE!$F$15,$M77-$A$15,BS$13)))</f>
        <v>1000000000000</v>
      </c>
      <c r="BT77" s="171">
        <f ca="1">IF(OR($D77&lt;&gt;"Serviço",AND(AUTOEVENTO="Manual",$M77=$A$15)),0,
         IF(OFFSET(CRONOPLE!$F$15,$M77-$A$15,BT$13)=0,10^12,OFFSET(CRONOPLE!$F$15,$M77-$A$15,BT$13)))</f>
        <v>1000000000000</v>
      </c>
      <c r="BV77" s="172">
        <f ca="1">IF(OR($D77&lt;&gt;"Serviço",AND(AUTOEVENTO="Manual",$M77=$A$15),$M77&gt;(ROW(PLE.lastrow)-ROW(PLE.firstrow))),0,
           IF(OFFSET(PLE!$G$15,$M77-$A$15,BV$13)="",10^12,OFFSET(PLE!$G$15,$M77-$A$15,BV$13)))</f>
        <v>1000000000000</v>
      </c>
      <c r="BW77" s="172">
        <f ca="1">IF(OR($D77&lt;&gt;"Serviço",AND(AUTOEVENTO="Manual",$M77=$A$15),$M77&gt;(ROW(PLE.lastrow)-ROW(PLE.firstrow))),0,
           IF(OFFSET(PLE!$G$15,$M77-$A$15,BW$13)="",10^12,OFFSET(PLE!$G$15,$M77-$A$15,BW$13)))</f>
        <v>1000000000000</v>
      </c>
      <c r="BX77" s="172">
        <f ca="1">IF(OR($D77&lt;&gt;"Serviço",AND(AUTOEVENTO="Manual",$M77=$A$15),$M77&gt;(ROW(PLE.lastrow)-ROW(PLE.firstrow))),0,
           IF(OFFSET(PLE!$G$15,$M77-$A$15,BX$13)="",10^12,OFFSET(PLE!$G$15,$M77-$A$15,BX$13)))</f>
        <v>1000000000000</v>
      </c>
      <c r="BY77" s="172">
        <f ca="1">IF(OR($D77&lt;&gt;"Serviço",AND(AUTOEVENTO="Manual",$M77=$A$15),$M77&gt;(ROW(PLE.lastrow)-ROW(PLE.firstrow))),0,
           IF(OFFSET(PLE!$G$15,$M77-$A$15,BY$13)="",10^12,OFFSET(PLE!$G$15,$M77-$A$15,BY$13)))</f>
        <v>1000000000000</v>
      </c>
      <c r="BZ77" s="172">
        <f ca="1">IF(OR($D77&lt;&gt;"Serviço",AND(AUTOEVENTO="Manual",$M77=$A$15),$M77&gt;(ROW(PLE.lastrow)-ROW(PLE.firstrow))),0,
           IF(OFFSET(PLE!$G$15,$M77-$A$15,BZ$13)="",10^12,OFFSET(PLE!$G$15,$M77-$A$15,BZ$13)))</f>
        <v>1000000000000</v>
      </c>
      <c r="CA77" s="172">
        <f ca="1">IF(OR($D77&lt;&gt;"Serviço",AND(AUTOEVENTO="Manual",$M77=$A$15),$M77&gt;(ROW(PLE.lastrow)-ROW(PLE.firstrow))),0,
           IF(OFFSET(PLE!$G$15,$M77-$A$15,CA$13)="",10^12,OFFSET(PLE!$G$15,$M77-$A$15,CA$13)))</f>
        <v>1000000000000</v>
      </c>
      <c r="CB77" s="172">
        <f ca="1">IF(OR($D77&lt;&gt;"Serviço",AND(AUTOEVENTO="Manual",$M77=$A$15),$M77&gt;(ROW(PLE.lastrow)-ROW(PLE.firstrow))),0,
           IF(OFFSET(PLE!$G$15,$M77-$A$15,CB$13)="",10^12,OFFSET(PLE!$G$15,$M77-$A$15,CB$13)))</f>
        <v>1000000000000</v>
      </c>
      <c r="CC77" s="172">
        <f ca="1">IF(OR($D77&lt;&gt;"Serviço",AND(AUTOEVENTO="Manual",$M77=$A$15),$M77&gt;(ROW(PLE.lastrow)-ROW(PLE.firstrow))),0,
           IF(OFFSET(PLE!$G$15,$M77-$A$15,CC$13)="",10^12,OFFSET(PLE!$G$15,$M77-$A$15,CC$13)))</f>
        <v>1000000000000</v>
      </c>
      <c r="CD77" s="172">
        <f ca="1">IF(OR($D77&lt;&gt;"Serviço",AND(AUTOEVENTO="Manual",$M77=$A$15),$M77&gt;(ROW(PLE.lastrow)-ROW(PLE.firstrow))),0,
           IF(OFFSET(PLE!$G$15,$M77-$A$15,CD$13)="",10^12,OFFSET(PLE!$G$15,$M77-$A$15,CD$13)))</f>
        <v>1000000000000</v>
      </c>
      <c r="CE77" s="172">
        <f ca="1">IF(OR($D77&lt;&gt;"Serviço",AND(AUTOEVENTO="Manual",$M77=$A$15),$M77&gt;(ROW(PLE.lastrow)-ROW(PLE.firstrow))),0,
           IF(OFFSET(PLE!$G$15,$M77-$A$15,CE$13)="",10^12,OFFSET(PLE!$G$15,$M77-$A$15,CE$13)))</f>
        <v>1000000000000</v>
      </c>
      <c r="CF77" s="172">
        <f ca="1">IF(OR($D77&lt;&gt;"Serviço",AND(AUTOEVENTO="Manual",$M77=$A$15),$M77&gt;(ROW(PLE.lastrow)-ROW(PLE.firstrow))),0,
           IF(OFFSET(PLE!$G$15,$M77-$A$15,CF$13)="",10^12,OFFSET(PLE!$G$15,$M77-$A$15,CF$13)))</f>
        <v>1000000000000</v>
      </c>
      <c r="CG77" s="172">
        <f ca="1">IF(OR($D77&lt;&gt;"Serviço",AND(AUTOEVENTO="Manual",$M77=$A$15),$M77&gt;(ROW(PLE.lastrow)-ROW(PLE.firstrow))),0,
           IF(OFFSET(PLE!$G$15,$M77-$A$15,CG$13)="",10^12,OFFSET(PLE!$G$15,$M77-$A$15,CG$13)))</f>
        <v>1000000000000</v>
      </c>
      <c r="CH77" s="172">
        <f ca="1">IF(OR($D77&lt;&gt;"Serviço",AND(AUTOEVENTO="Manual",$M77=$A$15),$M77&gt;(ROW(PLE.lastrow)-ROW(PLE.firstrow))),0,
           IF(OFFSET(PLE!$G$15,$M77-$A$15,CH$13)="",10^12,OFFSET(PLE!$G$15,$M77-$A$15,CH$13)))</f>
        <v>1000000000000</v>
      </c>
      <c r="CI77" s="172">
        <f ca="1">IF(OR($D77&lt;&gt;"Serviço",AND(AUTOEVENTO="Manual",$M77=$A$15),$M77&gt;(ROW(PLE.lastrow)-ROW(PLE.firstrow))),0,
           IF(OFFSET(PLE!$G$15,$M77-$A$15,CI$13)="",10^12,OFFSET(PLE!$G$15,$M77-$A$15,CI$13)))</f>
        <v>1000000000000</v>
      </c>
      <c r="CJ77" s="172">
        <f ca="1">IF(OR($D77&lt;&gt;"Serviço",AND(AUTOEVENTO="Manual",$M77=$A$15),$M77&gt;(ROW(PLE.lastrow)-ROW(PLE.firstrow))),0,
           IF(OFFSET(PLE!$G$15,$M77-$A$15,CJ$13)="",10^12,OFFSET(PLE!$G$15,$M77-$A$15,CJ$13)))</f>
        <v>1000000000000</v>
      </c>
      <c r="CK77" s="172">
        <f ca="1">IF(OR($D77&lt;&gt;"Serviço",AND(AUTOEVENTO="Manual",$M77=$A$15),$M77&gt;(ROW(PLE.lastrow)-ROW(PLE.firstrow))),0,
           IF(OFFSET(PLE!$G$15,$M77-$A$15,CK$13)="",10^12,OFFSET(PLE!$G$15,$M77-$A$15,CK$13)))</f>
        <v>1000000000000</v>
      </c>
      <c r="CL77" s="172">
        <f ca="1">IF(OR($D77&lt;&gt;"Serviço",AND(AUTOEVENTO="Manual",$M77=$A$15),$M77&gt;(ROW(PLE.lastrow)-ROW(PLE.firstrow))),0,
           IF(OFFSET(PLE!$G$15,$M77-$A$15,CL$13)="",10^12,OFFSET(PLE!$G$15,$M77-$A$15,CL$13)))</f>
        <v>1000000000000</v>
      </c>
      <c r="CM77" s="172">
        <f ca="1">IF(OR($D77&lt;&gt;"Serviço",AND(AUTOEVENTO="Manual",$M77=$A$15),$M77&gt;(ROW(PLE.lastrow)-ROW(PLE.firstrow))),0,
           IF(OFFSET(PLE!$G$15,$M77-$A$15,CM$13)="",10^12,OFFSET(PLE!$G$15,$M77-$A$15,CM$13)))</f>
        <v>1000000000000</v>
      </c>
    </row>
    <row r="78" spans="1:91" ht="26.4" x14ac:dyDescent="0.25">
      <c r="A78" s="7" t="str">
        <f t="shared" ca="1" si="11"/>
        <v>59</v>
      </c>
      <c r="B78" s="7" t="str">
        <f ca="1">OFFSET(ORÇAMENTO!C$15,ROW(B78)-ROW(B$15),0)</f>
        <v>S</v>
      </c>
      <c r="C78" s="7" t="str">
        <f ca="1">OFFSET(ORÇAMENTO!L$15,ROW(C78)-ROW(C$15),0)</f>
        <v>F</v>
      </c>
      <c r="D78" s="116" t="str">
        <f ca="1">OFFSET(ORÇAMENTO!N$15,ROW(D78)-ROW(D$15),0)</f>
        <v>Serviço</v>
      </c>
      <c r="E78" s="117" t="str">
        <f ca="1">OFFSET(ORÇAMENTO!O$15,ROW(E78)-ROW(E$15),0)</f>
        <v>2.4.4.</v>
      </c>
      <c r="F78" s="163" t="str">
        <f ca="1">OFFSET(ORÇAMENTO!R$15,ROW(F78)-ROW(F$15),0)</f>
        <v>Concreto asfáltico - faixa C-12,5 - areia extraída e brita produzida</v>
      </c>
      <c r="G78" s="164" t="str">
        <f ca="1">IF($D78&lt;&gt;"Serviço","",OFFSET(ORÇAMENTO!S$15,ROW(G78)-ROW(G$15),0))</f>
        <v>t</v>
      </c>
      <c r="H78" s="122" cm="1">
        <f t="array" aca="1" ref="H78" ca="1">IF($D78&lt;&gt;"Serviço",0,IF(ACOMPANHAMENTO="BM",ROUND(OFFSET(ORÇAMENTO!AJ$15,ROW(H78)-ROW(H$15),0),15-13*ORÇAMENTO!$AF$7),SUMPRODUCT(($Q$1:$AI$1=1)*ROUND($Q78:$AI78,15-13*ORÇAMENTO!$AF$7))))</f>
        <v>8.85</v>
      </c>
      <c r="I78" s="468"/>
      <c r="J78" s="651" t="e" cm="1">
        <f t="array" aca="1" ref="J78" ca="1">IF(OR(B78&lt;&gt;"S",CÁLCULO.FrentesPreenchidas=0),"",IF(AND(ACOMPANHAMENTO="PLE",AUTOEVENTO="Manual",OR(H78&gt;0,ORÇAMENTO!AC78="QUANT."),OR(K78="",M78=0,N78="")),"►E",IF(AND(ACOMPANHAMENTO="PLE",ORÇAMENTO!AC78="QUANT."),"►Q",IF(AND(ACOMPANHAMENTO="PLE",H78&lt;&gt;SUMPRODUCT(($Q$1:$AI$1=1)*ROUND(Q78:AI78,15))),"►S",IF(AND(COUNTIF($P$11:$AI$11,"▼")=0,H78&gt;0,I78=""),"◄M","")))))</f>
        <v>#NAME?</v>
      </c>
      <c r="K78" s="652"/>
      <c r="L78" s="165" t="s">
        <v>764</v>
      </c>
      <c r="M78" s="166">
        <f ca="1">IF($D78&lt;&gt;"Serviço","",
          IF(AUTOEVENTO="manual",$A78,
                IF(ISERROR(MATCH($A78,$A$15:OFFSET($A78,-1,0),0)),MAX($M$15:OFFSET(M78,-1,0))+1,
                      INDEX($M$15:OFFSET(M78,-1,0),MATCH($A78,$A$15:OFFSET($A78,-1,0),0)))))</f>
        <v>11</v>
      </c>
      <c r="N78" s="167" t="str">
        <f ca="1">IF($D78&lt;&gt;"Serviço","",
         IF(AUTOEVENTO="Manual",
                IF($A78=0,"&lt;-- defina o número do agrupador",
                       OFFSET(EVENTOS!$D$15,$A78-$A$15,0)),
                OFFSET($F$15,$A78,0)))</f>
        <v>LOMBADAS TIPO A (3,70m de comprimento x 0,10m altura)</v>
      </c>
      <c r="O78" s="168"/>
      <c r="Q78" s="168"/>
      <c r="R78" s="169"/>
      <c r="S78" s="169"/>
      <c r="T78" s="169">
        <f>TRUNC(3.529*2.51,2)</f>
        <v>8.85</v>
      </c>
      <c r="U78" s="169"/>
      <c r="V78" s="169"/>
      <c r="W78" s="169"/>
      <c r="X78" s="169"/>
      <c r="Y78" s="169"/>
      <c r="Z78" s="170"/>
      <c r="AA78" s="169"/>
      <c r="AB78" s="169"/>
      <c r="AC78" s="169"/>
      <c r="AD78" s="169"/>
      <c r="AE78" s="169"/>
      <c r="AF78" s="169"/>
      <c r="AG78" s="169"/>
      <c r="AH78" s="170"/>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L78" s="453">
        <f ca="1">IF(AND($D78="Serviço",AL$12&lt;&gt;0,$H78&gt;0,OR(AUTOEVENTO&lt;&gt;"manual",$M78&lt;&gt;$A$15)),
        IF(Import.TipoArredondamento&lt;&gt;"TransfereGOV",
              ROUND(OFFSET($P78,0,AL$13),15-13*ORÇAMENTO!$AF$7)/$H78*OFFSET(ORÇAMENTO!$X$15,ROW(AL78)-ROW(AL$15),0),
              ROUND(ROUND(OFFSET($P78,0,AL$13),15-13*ORÇAMENTO!$AF$7)*OFFSET(ORÇAMENTO!$W$15,ROW(AL78)-ROW(AL$15),0),15-13*ORÇAMENTO!$AF$11)),
         0)</f>
        <v>0</v>
      </c>
      <c r="AM78" s="453">
        <f ca="1">IF(AND($D78="Serviço",AM$12&lt;&gt;0,$H78&gt;0,OR(AUTOEVENTO&lt;&gt;"manual",$M78&lt;&gt;$A$15)),
        IF(Import.TipoArredondamento&lt;&gt;"TransfereGOV",
              ROUND(OFFSET($P78,0,AM$13),15-13*ORÇAMENTO!$AF$7)/$H78*OFFSET(ORÇAMENTO!$X$15,ROW(AM78)-ROW(AM$15),0),
              ROUND(ROUND(OFFSET($P78,0,AM$13),15-13*ORÇAMENTO!$AF$7)*OFFSET(ORÇAMENTO!$W$15,ROW(AM78)-ROW(AM$15),0),15-13*ORÇAMENTO!$AF$11)),
         0)</f>
        <v>1545.65</v>
      </c>
      <c r="AN78" s="453">
        <f ca="1">IF(AND($D78="Serviço",AN$12&lt;&gt;0,$H78&gt;0,OR(AUTOEVENTO&lt;&gt;"manual",$M78&lt;&gt;$A$15)),
        IF(Import.TipoArredondamento&lt;&gt;"TransfereGOV",
              ROUND(OFFSET($P78,0,AN$13),15-13*ORÇAMENTO!$AF$7)/$H78*OFFSET(ORÇAMENTO!$X$15,ROW(AN78)-ROW(AN$15),0),
              ROUND(ROUND(OFFSET($P78,0,AN$13),15-13*ORÇAMENTO!$AF$7)*OFFSET(ORÇAMENTO!$W$15,ROW(AN78)-ROW(AN$15),0),15-13*ORÇAMENTO!$AF$11)),
         0)</f>
        <v>0</v>
      </c>
      <c r="AO78" s="453">
        <f ca="1">IF(AND($D78="Serviço",AO$12&lt;&gt;0,$H78&gt;0,OR(AUTOEVENTO&lt;&gt;"manual",$M78&lt;&gt;$A$15)),
        IF(Import.TipoArredondamento&lt;&gt;"TransfereGOV",
              ROUND(OFFSET($P78,0,AO$13),15-13*ORÇAMENTO!$AF$7)/$H78*OFFSET(ORÇAMENTO!$X$15,ROW(AO78)-ROW(AO$15),0),
              ROUND(ROUND(OFFSET($P78,0,AO$13),15-13*ORÇAMENTO!$AF$7)*OFFSET(ORÇAMENTO!$W$15,ROW(AO78)-ROW(AO$15),0),15-13*ORÇAMENTO!$AF$11)),
         0)</f>
        <v>0</v>
      </c>
      <c r="AP78" s="453">
        <f ca="1">IF(AND($D78="Serviço",AP$12&lt;&gt;0,$H78&gt;0,OR(AUTOEVENTO&lt;&gt;"manual",$M78&lt;&gt;$A$15)),
        IF(Import.TipoArredondamento&lt;&gt;"TransfereGOV",
              ROUND(OFFSET($P78,0,AP$13),15-13*ORÇAMENTO!$AF$7)/$H78*OFFSET(ORÇAMENTO!$X$15,ROW(AP78)-ROW(AP$15),0),
              ROUND(ROUND(OFFSET($P78,0,AP$13),15-13*ORÇAMENTO!$AF$7)*OFFSET(ORÇAMENTO!$W$15,ROW(AP78)-ROW(AP$15),0),15-13*ORÇAMENTO!$AF$11)),
         0)</f>
        <v>0</v>
      </c>
      <c r="AQ78" s="453">
        <f ca="1">IF(AND($D78="Serviço",AQ$12&lt;&gt;0,$H78&gt;0,OR(AUTOEVENTO&lt;&gt;"manual",$M78&lt;&gt;$A$15)),
        IF(Import.TipoArredondamento&lt;&gt;"TransfereGOV",
              ROUND(OFFSET($P78,0,AQ$13),15-13*ORÇAMENTO!$AF$7)/$H78*OFFSET(ORÇAMENTO!$X$15,ROW(AQ78)-ROW(AQ$15),0),
              ROUND(ROUND(OFFSET($P78,0,AQ$13),15-13*ORÇAMENTO!$AF$7)*OFFSET(ORÇAMENTO!$W$15,ROW(AQ78)-ROW(AQ$15),0),15-13*ORÇAMENTO!$AF$11)),
         0)</f>
        <v>0</v>
      </c>
      <c r="AR78" s="453">
        <f ca="1">IF(AND($D78="Serviço",AR$12&lt;&gt;0,$H78&gt;0,OR(AUTOEVENTO&lt;&gt;"manual",$M78&lt;&gt;$A$15)),
        IF(Import.TipoArredondamento&lt;&gt;"TransfereGOV",
              ROUND(OFFSET($P78,0,AR$13),15-13*ORÇAMENTO!$AF$7)/$H78*OFFSET(ORÇAMENTO!$X$15,ROW(AR78)-ROW(AR$15),0),
              ROUND(ROUND(OFFSET($P78,0,AR$13),15-13*ORÇAMENTO!$AF$7)*OFFSET(ORÇAMENTO!$W$15,ROW(AR78)-ROW(AR$15),0),15-13*ORÇAMENTO!$AF$11)),
         0)</f>
        <v>0</v>
      </c>
      <c r="AS78" s="453">
        <f ca="1">IF(AND($D78="Serviço",AS$12&lt;&gt;0,$H78&gt;0,OR(AUTOEVENTO&lt;&gt;"manual",$M78&lt;&gt;$A$15)),
        IF(Import.TipoArredondamento&lt;&gt;"TransfereGOV",
              ROUND(OFFSET($P78,0,AS$13),15-13*ORÇAMENTO!$AF$7)/$H78*OFFSET(ORÇAMENTO!$X$15,ROW(AS78)-ROW(AS$15),0),
              ROUND(ROUND(OFFSET($P78,0,AS$13),15-13*ORÇAMENTO!$AF$7)*OFFSET(ORÇAMENTO!$W$15,ROW(AS78)-ROW(AS$15),0),15-13*ORÇAMENTO!$AF$11)),
         0)</f>
        <v>0</v>
      </c>
      <c r="AT78" s="453">
        <f ca="1">IF(AND($D78="Serviço",AT$12&lt;&gt;0,$H78&gt;0,OR(AUTOEVENTO&lt;&gt;"manual",$M78&lt;&gt;$A$15)),
        IF(Import.TipoArredondamento&lt;&gt;"TransfereGOV",
              ROUND(OFFSET($P78,0,AT$13),15-13*ORÇAMENTO!$AF$7)/$H78*OFFSET(ORÇAMENTO!$X$15,ROW(AT78)-ROW(AT$15),0),
              ROUND(ROUND(OFFSET($P78,0,AT$13),15-13*ORÇAMENTO!$AF$7)*OFFSET(ORÇAMENTO!$W$15,ROW(AT78)-ROW(AT$15),0),15-13*ORÇAMENTO!$AF$11)),
         0)</f>
        <v>0</v>
      </c>
      <c r="AU78" s="453">
        <f ca="1">IF(AND($D78="Serviço",AU$12&lt;&gt;0,$H78&gt;0,OR(AUTOEVENTO&lt;&gt;"manual",$M78&lt;&gt;$A$15)),
        IF(Import.TipoArredondamento&lt;&gt;"TransfereGOV",
              ROUND(OFFSET($P78,0,AU$13),15-13*ORÇAMENTO!$AF$7)/$H78*OFFSET(ORÇAMENTO!$X$15,ROW(AU78)-ROW(AU$15),0),
              ROUND(ROUND(OFFSET($P78,0,AU$13),15-13*ORÇAMENTO!$AF$7)*OFFSET(ORÇAMENTO!$W$15,ROW(AU78)-ROW(AU$15),0),15-13*ORÇAMENTO!$AF$11)),
         0)</f>
        <v>0</v>
      </c>
      <c r="AV78" s="453">
        <f ca="1">IF(AND($D78="Serviço",AV$12&lt;&gt;0,$H78&gt;0,OR(AUTOEVENTO&lt;&gt;"manual",$M78&lt;&gt;$A$15)),
        IF(Import.TipoArredondamento&lt;&gt;"TransfereGOV",
              ROUND(OFFSET($P78,0,AV$13),15-13*ORÇAMENTO!$AF$7)/$H78*OFFSET(ORÇAMENTO!$X$15,ROW(AV78)-ROW(AV$15),0),
              ROUND(ROUND(OFFSET($P78,0,AV$13),15-13*ORÇAMENTO!$AF$7)*OFFSET(ORÇAMENTO!$W$15,ROW(AV78)-ROW(AV$15),0),15-13*ORÇAMENTO!$AF$11)),
         0)</f>
        <v>0</v>
      </c>
      <c r="AW78" s="453">
        <f ca="1">IF(AND($D78="Serviço",AW$12&lt;&gt;0,$H78&gt;0,OR(AUTOEVENTO&lt;&gt;"manual",$M78&lt;&gt;$A$15)),
        IF(Import.TipoArredondamento&lt;&gt;"TransfereGOV",
              ROUND(OFFSET($P78,0,AW$13),15-13*ORÇAMENTO!$AF$7)/$H78*OFFSET(ORÇAMENTO!$X$15,ROW(AW78)-ROW(AW$15),0),
              ROUND(ROUND(OFFSET($P78,0,AW$13),15-13*ORÇAMENTO!$AF$7)*OFFSET(ORÇAMENTO!$W$15,ROW(AW78)-ROW(AW$15),0),15-13*ORÇAMENTO!$AF$11)),
         0)</f>
        <v>0</v>
      </c>
      <c r="AX78" s="453">
        <f ca="1">IF(AND($D78="Serviço",AX$12&lt;&gt;0,$H78&gt;0,OR(AUTOEVENTO&lt;&gt;"manual",$M78&lt;&gt;$A$15)),
        IF(Import.TipoArredondamento&lt;&gt;"TransfereGOV",
              ROUND(OFFSET($P78,0,AX$13),15-13*ORÇAMENTO!$AF$7)/$H78*OFFSET(ORÇAMENTO!$X$15,ROW(AX78)-ROW(AX$15),0),
              ROUND(ROUND(OFFSET($P78,0,AX$13),15-13*ORÇAMENTO!$AF$7)*OFFSET(ORÇAMENTO!$W$15,ROW(AX78)-ROW(AX$15),0),15-13*ORÇAMENTO!$AF$11)),
         0)</f>
        <v>0</v>
      </c>
      <c r="AY78" s="453">
        <f ca="1">IF(AND($D78="Serviço",AY$12&lt;&gt;0,$H78&gt;0,OR(AUTOEVENTO&lt;&gt;"manual",$M78&lt;&gt;$A$15)),
        IF(Import.TipoArredondamento&lt;&gt;"TransfereGOV",
              ROUND(OFFSET($P78,0,AY$13),15-13*ORÇAMENTO!$AF$7)/$H78*OFFSET(ORÇAMENTO!$X$15,ROW(AY78)-ROW(AY$15),0),
              ROUND(ROUND(OFFSET($P78,0,AY$13),15-13*ORÇAMENTO!$AF$7)*OFFSET(ORÇAMENTO!$W$15,ROW(AY78)-ROW(AY$15),0),15-13*ORÇAMENTO!$AF$11)),
         0)</f>
        <v>0</v>
      </c>
      <c r="AZ78" s="453">
        <f ca="1">IF(AND($D78="Serviço",AZ$12&lt;&gt;0,$H78&gt;0,OR(AUTOEVENTO&lt;&gt;"manual",$M78&lt;&gt;$A$15)),
        IF(Import.TipoArredondamento&lt;&gt;"TransfereGOV",
              ROUND(OFFSET($P78,0,AZ$13),15-13*ORÇAMENTO!$AF$7)/$H78*OFFSET(ORÇAMENTO!$X$15,ROW(AZ78)-ROW(AZ$15),0),
              ROUND(ROUND(OFFSET($P78,0,AZ$13),15-13*ORÇAMENTO!$AF$7)*OFFSET(ORÇAMENTO!$W$15,ROW(AZ78)-ROW(AZ$15),0),15-13*ORÇAMENTO!$AF$11)),
         0)</f>
        <v>0</v>
      </c>
      <c r="BA78" s="453">
        <f ca="1">IF(AND($D78="Serviço",BA$12&lt;&gt;0,$H78&gt;0,OR(AUTOEVENTO&lt;&gt;"manual",$M78&lt;&gt;$A$15)),
        IF(Import.TipoArredondamento&lt;&gt;"TransfereGOV",
              ROUND(OFFSET($P78,0,BA$13),15-13*ORÇAMENTO!$AF$7)/$H78*OFFSET(ORÇAMENTO!$X$15,ROW(BA78)-ROW(BA$15),0),
              ROUND(ROUND(OFFSET($P78,0,BA$13),15-13*ORÇAMENTO!$AF$7)*OFFSET(ORÇAMENTO!$W$15,ROW(BA78)-ROW(BA$15),0),15-13*ORÇAMENTO!$AF$11)),
         0)</f>
        <v>0</v>
      </c>
      <c r="BC78" s="171">
        <f ca="1">IF(OR($D78&lt;&gt;"Serviço",AND(AUTOEVENTO="Manual",$M78=$A$15)),0,
         IF(OFFSET(CRONOPLE!$F$15,$M78-$A$15,BC$13)=0,10^12,OFFSET(CRONOPLE!$F$15,$M78-$A$15,BC$13)))</f>
        <v>1000000000000</v>
      </c>
      <c r="BD78" s="171">
        <f ca="1">IF(OR($D78&lt;&gt;"Serviço",AND(AUTOEVENTO="Manual",$M78=$A$15)),0,
         IF(OFFSET(CRONOPLE!$F$15,$M78-$A$15,BD$13)=0,10^12,OFFSET(CRONOPLE!$F$15,$M78-$A$15,BD$13)))</f>
        <v>1000000000000</v>
      </c>
      <c r="BE78" s="171">
        <f ca="1">IF(OR($D78&lt;&gt;"Serviço",AND(AUTOEVENTO="Manual",$M78=$A$15)),0,
         IF(OFFSET(CRONOPLE!$F$15,$M78-$A$15,BE$13)=0,10^12,OFFSET(CRONOPLE!$F$15,$M78-$A$15,BE$13)))</f>
        <v>1000000000000</v>
      </c>
      <c r="BF78" s="171">
        <f ca="1">IF(OR($D78&lt;&gt;"Serviço",AND(AUTOEVENTO="Manual",$M78=$A$15)),0,
         IF(OFFSET(CRONOPLE!$F$15,$M78-$A$15,BF$13)=0,10^12,OFFSET(CRONOPLE!$F$15,$M78-$A$15,BF$13)))</f>
        <v>2</v>
      </c>
      <c r="BG78" s="171">
        <f ca="1">IF(OR($D78&lt;&gt;"Serviço",AND(AUTOEVENTO="Manual",$M78=$A$15)),0,
         IF(OFFSET(CRONOPLE!$F$15,$M78-$A$15,BG$13)=0,10^12,OFFSET(CRONOPLE!$F$15,$M78-$A$15,BG$13)))</f>
        <v>1000000000000</v>
      </c>
      <c r="BH78" s="171">
        <f ca="1">IF(OR($D78&lt;&gt;"Serviço",AND(AUTOEVENTO="Manual",$M78=$A$15)),0,
         IF(OFFSET(CRONOPLE!$F$15,$M78-$A$15,BH$13)=0,10^12,OFFSET(CRONOPLE!$F$15,$M78-$A$15,BH$13)))</f>
        <v>1000000000000</v>
      </c>
      <c r="BI78" s="171">
        <f ca="1">IF(OR($D78&lt;&gt;"Serviço",AND(AUTOEVENTO="Manual",$M78=$A$15)),0,
         IF(OFFSET(CRONOPLE!$F$15,$M78-$A$15,BI$13)=0,10^12,OFFSET(CRONOPLE!$F$15,$M78-$A$15,BI$13)))</f>
        <v>1000000000000</v>
      </c>
      <c r="BJ78" s="171">
        <f ca="1">IF(OR($D78&lt;&gt;"Serviço",AND(AUTOEVENTO="Manual",$M78=$A$15)),0,
         IF(OFFSET(CRONOPLE!$F$15,$M78-$A$15,BJ$13)=0,10^12,OFFSET(CRONOPLE!$F$15,$M78-$A$15,BJ$13)))</f>
        <v>1000000000000</v>
      </c>
      <c r="BK78" s="171">
        <f ca="1">IF(OR($D78&lt;&gt;"Serviço",AND(AUTOEVENTO="Manual",$M78=$A$15)),0,
         IF(OFFSET(CRONOPLE!$F$15,$M78-$A$15,BK$13)=0,10^12,OFFSET(CRONOPLE!$F$15,$M78-$A$15,BK$13)))</f>
        <v>1000000000000</v>
      </c>
      <c r="BL78" s="171">
        <f ca="1">IF(OR($D78&lt;&gt;"Serviço",AND(AUTOEVENTO="Manual",$M78=$A$15)),0,
         IF(OFFSET(CRONOPLE!$F$15,$M78-$A$15,BL$13)=0,10^12,OFFSET(CRONOPLE!$F$15,$M78-$A$15,BL$13)))</f>
        <v>1000000000000</v>
      </c>
      <c r="BM78" s="171">
        <f ca="1">IF(OR($D78&lt;&gt;"Serviço",AND(AUTOEVENTO="Manual",$M78=$A$15)),0,
         IF(OFFSET(CRONOPLE!$F$15,$M78-$A$15,BM$13)=0,10^12,OFFSET(CRONOPLE!$F$15,$M78-$A$15,BM$13)))</f>
        <v>1000000000000</v>
      </c>
      <c r="BN78" s="171">
        <f ca="1">IF(OR($D78&lt;&gt;"Serviço",AND(AUTOEVENTO="Manual",$M78=$A$15)),0,
         IF(OFFSET(CRONOPLE!$F$15,$M78-$A$15,BN$13)=0,10^12,OFFSET(CRONOPLE!$F$15,$M78-$A$15,BN$13)))</f>
        <v>1000000000000</v>
      </c>
      <c r="BO78" s="171">
        <f ca="1">IF(OR($D78&lt;&gt;"Serviço",AND(AUTOEVENTO="Manual",$M78=$A$15)),0,
         IF(OFFSET(CRONOPLE!$F$15,$M78-$A$15,BO$13)=0,10^12,OFFSET(CRONOPLE!$F$15,$M78-$A$15,BO$13)))</f>
        <v>1000000000000</v>
      </c>
      <c r="BP78" s="171">
        <f ca="1">IF(OR($D78&lt;&gt;"Serviço",AND(AUTOEVENTO="Manual",$M78=$A$15)),0,
         IF(OFFSET(CRONOPLE!$F$15,$M78-$A$15,BP$13)=0,10^12,OFFSET(CRONOPLE!$F$15,$M78-$A$15,BP$13)))</f>
        <v>1000000000000</v>
      </c>
      <c r="BQ78" s="171">
        <f ca="1">IF(OR($D78&lt;&gt;"Serviço",AND(AUTOEVENTO="Manual",$M78=$A$15)),0,
         IF(OFFSET(CRONOPLE!$F$15,$M78-$A$15,BQ$13)=0,10^12,OFFSET(CRONOPLE!$F$15,$M78-$A$15,BQ$13)))</f>
        <v>1000000000000</v>
      </c>
      <c r="BR78" s="171">
        <f ca="1">IF(OR($D78&lt;&gt;"Serviço",AND(AUTOEVENTO="Manual",$M78=$A$15)),0,
         IF(OFFSET(CRONOPLE!$F$15,$M78-$A$15,BR$13)=0,10^12,OFFSET(CRONOPLE!$F$15,$M78-$A$15,BR$13)))</f>
        <v>1000000000000</v>
      </c>
      <c r="BS78" s="171">
        <f ca="1">IF(OR($D78&lt;&gt;"Serviço",AND(AUTOEVENTO="Manual",$M78=$A$15)),0,
         IF(OFFSET(CRONOPLE!$F$15,$M78-$A$15,BS$13)=0,10^12,OFFSET(CRONOPLE!$F$15,$M78-$A$15,BS$13)))</f>
        <v>1000000000000</v>
      </c>
      <c r="BT78" s="171">
        <f ca="1">IF(OR($D78&lt;&gt;"Serviço",AND(AUTOEVENTO="Manual",$M78=$A$15)),0,
         IF(OFFSET(CRONOPLE!$F$15,$M78-$A$15,BT$13)=0,10^12,OFFSET(CRONOPLE!$F$15,$M78-$A$15,BT$13)))</f>
        <v>1000000000000</v>
      </c>
      <c r="BV78" s="172">
        <f ca="1">IF(OR($D78&lt;&gt;"Serviço",AND(AUTOEVENTO="Manual",$M78=$A$15),$M78&gt;(ROW(PLE.lastrow)-ROW(PLE.firstrow))),0,
           IF(OFFSET(PLE!$G$15,$M78-$A$15,BV$13)="",10^12,OFFSET(PLE!$G$15,$M78-$A$15,BV$13)))</f>
        <v>1000000000000</v>
      </c>
      <c r="BW78" s="172">
        <f ca="1">IF(OR($D78&lt;&gt;"Serviço",AND(AUTOEVENTO="Manual",$M78=$A$15),$M78&gt;(ROW(PLE.lastrow)-ROW(PLE.firstrow))),0,
           IF(OFFSET(PLE!$G$15,$M78-$A$15,BW$13)="",10^12,OFFSET(PLE!$G$15,$M78-$A$15,BW$13)))</f>
        <v>1000000000000</v>
      </c>
      <c r="BX78" s="172">
        <f ca="1">IF(OR($D78&lt;&gt;"Serviço",AND(AUTOEVENTO="Manual",$M78=$A$15),$M78&gt;(ROW(PLE.lastrow)-ROW(PLE.firstrow))),0,
           IF(OFFSET(PLE!$G$15,$M78-$A$15,BX$13)="",10^12,OFFSET(PLE!$G$15,$M78-$A$15,BX$13)))</f>
        <v>1000000000000</v>
      </c>
      <c r="BY78" s="172">
        <f ca="1">IF(OR($D78&lt;&gt;"Serviço",AND(AUTOEVENTO="Manual",$M78=$A$15),$M78&gt;(ROW(PLE.lastrow)-ROW(PLE.firstrow))),0,
           IF(OFFSET(PLE!$G$15,$M78-$A$15,BY$13)="",10^12,OFFSET(PLE!$G$15,$M78-$A$15,BY$13)))</f>
        <v>1000000000000</v>
      </c>
      <c r="BZ78" s="172">
        <f ca="1">IF(OR($D78&lt;&gt;"Serviço",AND(AUTOEVENTO="Manual",$M78=$A$15),$M78&gt;(ROW(PLE.lastrow)-ROW(PLE.firstrow))),0,
           IF(OFFSET(PLE!$G$15,$M78-$A$15,BZ$13)="",10^12,OFFSET(PLE!$G$15,$M78-$A$15,BZ$13)))</f>
        <v>1000000000000</v>
      </c>
      <c r="CA78" s="172">
        <f ca="1">IF(OR($D78&lt;&gt;"Serviço",AND(AUTOEVENTO="Manual",$M78=$A$15),$M78&gt;(ROW(PLE.lastrow)-ROW(PLE.firstrow))),0,
           IF(OFFSET(PLE!$G$15,$M78-$A$15,CA$13)="",10^12,OFFSET(PLE!$G$15,$M78-$A$15,CA$13)))</f>
        <v>1000000000000</v>
      </c>
      <c r="CB78" s="172">
        <f ca="1">IF(OR($D78&lt;&gt;"Serviço",AND(AUTOEVENTO="Manual",$M78=$A$15),$M78&gt;(ROW(PLE.lastrow)-ROW(PLE.firstrow))),0,
           IF(OFFSET(PLE!$G$15,$M78-$A$15,CB$13)="",10^12,OFFSET(PLE!$G$15,$M78-$A$15,CB$13)))</f>
        <v>1000000000000</v>
      </c>
      <c r="CC78" s="172">
        <f ca="1">IF(OR($D78&lt;&gt;"Serviço",AND(AUTOEVENTO="Manual",$M78=$A$15),$M78&gt;(ROW(PLE.lastrow)-ROW(PLE.firstrow))),0,
           IF(OFFSET(PLE!$G$15,$M78-$A$15,CC$13)="",10^12,OFFSET(PLE!$G$15,$M78-$A$15,CC$13)))</f>
        <v>1000000000000</v>
      </c>
      <c r="CD78" s="172">
        <f ca="1">IF(OR($D78&lt;&gt;"Serviço",AND(AUTOEVENTO="Manual",$M78=$A$15),$M78&gt;(ROW(PLE.lastrow)-ROW(PLE.firstrow))),0,
           IF(OFFSET(PLE!$G$15,$M78-$A$15,CD$13)="",10^12,OFFSET(PLE!$G$15,$M78-$A$15,CD$13)))</f>
        <v>1000000000000</v>
      </c>
      <c r="CE78" s="172">
        <f ca="1">IF(OR($D78&lt;&gt;"Serviço",AND(AUTOEVENTO="Manual",$M78=$A$15),$M78&gt;(ROW(PLE.lastrow)-ROW(PLE.firstrow))),0,
           IF(OFFSET(PLE!$G$15,$M78-$A$15,CE$13)="",10^12,OFFSET(PLE!$G$15,$M78-$A$15,CE$13)))</f>
        <v>1000000000000</v>
      </c>
      <c r="CF78" s="172">
        <f ca="1">IF(OR($D78&lt;&gt;"Serviço",AND(AUTOEVENTO="Manual",$M78=$A$15),$M78&gt;(ROW(PLE.lastrow)-ROW(PLE.firstrow))),0,
           IF(OFFSET(PLE!$G$15,$M78-$A$15,CF$13)="",10^12,OFFSET(PLE!$G$15,$M78-$A$15,CF$13)))</f>
        <v>1000000000000</v>
      </c>
      <c r="CG78" s="172">
        <f ca="1">IF(OR($D78&lt;&gt;"Serviço",AND(AUTOEVENTO="Manual",$M78=$A$15),$M78&gt;(ROW(PLE.lastrow)-ROW(PLE.firstrow))),0,
           IF(OFFSET(PLE!$G$15,$M78-$A$15,CG$13)="",10^12,OFFSET(PLE!$G$15,$M78-$A$15,CG$13)))</f>
        <v>1000000000000</v>
      </c>
      <c r="CH78" s="172">
        <f ca="1">IF(OR($D78&lt;&gt;"Serviço",AND(AUTOEVENTO="Manual",$M78=$A$15),$M78&gt;(ROW(PLE.lastrow)-ROW(PLE.firstrow))),0,
           IF(OFFSET(PLE!$G$15,$M78-$A$15,CH$13)="",10^12,OFFSET(PLE!$G$15,$M78-$A$15,CH$13)))</f>
        <v>1000000000000</v>
      </c>
      <c r="CI78" s="172">
        <f ca="1">IF(OR($D78&lt;&gt;"Serviço",AND(AUTOEVENTO="Manual",$M78=$A$15),$M78&gt;(ROW(PLE.lastrow)-ROW(PLE.firstrow))),0,
           IF(OFFSET(PLE!$G$15,$M78-$A$15,CI$13)="",10^12,OFFSET(PLE!$G$15,$M78-$A$15,CI$13)))</f>
        <v>1000000000000</v>
      </c>
      <c r="CJ78" s="172">
        <f ca="1">IF(OR($D78&lt;&gt;"Serviço",AND(AUTOEVENTO="Manual",$M78=$A$15),$M78&gt;(ROW(PLE.lastrow)-ROW(PLE.firstrow))),0,
           IF(OFFSET(PLE!$G$15,$M78-$A$15,CJ$13)="",10^12,OFFSET(PLE!$G$15,$M78-$A$15,CJ$13)))</f>
        <v>1000000000000</v>
      </c>
      <c r="CK78" s="172">
        <f ca="1">IF(OR($D78&lt;&gt;"Serviço",AND(AUTOEVENTO="Manual",$M78=$A$15),$M78&gt;(ROW(PLE.lastrow)-ROW(PLE.firstrow))),0,
           IF(OFFSET(PLE!$G$15,$M78-$A$15,CK$13)="",10^12,OFFSET(PLE!$G$15,$M78-$A$15,CK$13)))</f>
        <v>1000000000000</v>
      </c>
      <c r="CL78" s="172">
        <f ca="1">IF(OR($D78&lt;&gt;"Serviço",AND(AUTOEVENTO="Manual",$M78=$A$15),$M78&gt;(ROW(PLE.lastrow)-ROW(PLE.firstrow))),0,
           IF(OFFSET(PLE!$G$15,$M78-$A$15,CL$13)="",10^12,OFFSET(PLE!$G$15,$M78-$A$15,CL$13)))</f>
        <v>1000000000000</v>
      </c>
      <c r="CM78" s="172">
        <f ca="1">IF(OR($D78&lt;&gt;"Serviço",AND(AUTOEVENTO="Manual",$M78=$A$15),$M78&gt;(ROW(PLE.lastrow)-ROW(PLE.firstrow))),0,
           IF(OFFSET(PLE!$G$15,$M78-$A$15,CM$13)="",10^12,OFFSET(PLE!$G$15,$M78-$A$15,CM$13)))</f>
        <v>1000000000000</v>
      </c>
    </row>
    <row r="79" spans="1:91" ht="26.4" x14ac:dyDescent="0.25">
      <c r="A79" s="7" t="str">
        <f t="shared" ca="1" si="11"/>
        <v>59</v>
      </c>
      <c r="B79" s="7" t="str">
        <f ca="1">OFFSET(ORÇAMENTO!C$15,ROW(B79)-ROW(B$15),0)</f>
        <v>S</v>
      </c>
      <c r="C79" s="7" t="str">
        <f ca="1">OFFSET(ORÇAMENTO!L$15,ROW(C79)-ROW(C$15),0)</f>
        <v>F</v>
      </c>
      <c r="D79" s="116" t="str">
        <f ca="1">OFFSET(ORÇAMENTO!N$15,ROW(D79)-ROW(D$15),0)</f>
        <v>Serviço</v>
      </c>
      <c r="E79" s="117" t="str">
        <f ca="1">OFFSET(ORÇAMENTO!O$15,ROW(E79)-ROW(E$15),0)</f>
        <v>2.4.5.</v>
      </c>
      <c r="F79" s="163" t="str">
        <f ca="1">OFFSET(ORÇAMENTO!R$15,ROW(F79)-ROW(F$15),0)</f>
        <v>Transporte com caminhão basculante de 10 m³ - rodovia pavimentada</v>
      </c>
      <c r="G79" s="164" t="str">
        <f ca="1">IF($D79&lt;&gt;"Serviço","",OFFSET(ORÇAMENTO!S$15,ROW(G79)-ROW(G$15),0))</f>
        <v>tkm</v>
      </c>
      <c r="H79" s="122" cm="1">
        <f t="array" aca="1" ref="H79" ca="1">IF($D79&lt;&gt;"Serviço",0,IF(ACOMPANHAMENTO="BM",ROUND(OFFSET(ORÇAMENTO!AJ$15,ROW(H79)-ROW(H$15),0),15-13*ORÇAMENTO!$AF$7),SUMPRODUCT(($Q$1:$AI$1=1)*ROUND($Q79:$AI79,15-13*ORÇAMENTO!$AF$7))))</f>
        <v>185.85</v>
      </c>
      <c r="I79" s="468"/>
      <c r="J79" s="651" t="e" cm="1">
        <f t="array" aca="1" ref="J79" ca="1">IF(OR(B79&lt;&gt;"S",CÁLCULO.FrentesPreenchidas=0),"",IF(AND(ACOMPANHAMENTO="PLE",AUTOEVENTO="Manual",OR(H79&gt;0,ORÇAMENTO!AC79="QUANT."),OR(K79="",M79=0,N79="")),"►E",IF(AND(ACOMPANHAMENTO="PLE",ORÇAMENTO!AC79="QUANT."),"►Q",IF(AND(ACOMPANHAMENTO="PLE",H79&lt;&gt;SUMPRODUCT(($Q$1:$AI$1=1)*ROUND(Q79:AI79,15))),"►S",IF(AND(COUNTIF($P$11:$AI$11,"▼")=0,H79&gt;0,I79=""),"◄M","")))))</f>
        <v>#NAME?</v>
      </c>
      <c r="K79" s="652"/>
      <c r="L79" s="165" t="s">
        <v>764</v>
      </c>
      <c r="M79" s="166">
        <f ca="1">IF($D79&lt;&gt;"Serviço","",
          IF(AUTOEVENTO="manual",$A79,
                IF(ISERROR(MATCH($A79,$A$15:OFFSET($A79,-1,0),0)),MAX($M$15:OFFSET(M79,-1,0))+1,
                      INDEX($M$15:OFFSET(M79,-1,0),MATCH($A79,$A$15:OFFSET($A79,-1,0),0)))))</f>
        <v>11</v>
      </c>
      <c r="N79" s="167" t="str">
        <f ca="1">IF($D79&lt;&gt;"Serviço","",
         IF(AUTOEVENTO="Manual",
                IF($A79=0,"&lt;-- defina o número do agrupador",
                       OFFSET(EVENTOS!$D$15,$A79-$A$15,0)),
                OFFSET($F$15,$A79,0)))</f>
        <v>LOMBADAS TIPO A (3,70m de comprimento x 0,10m altura)</v>
      </c>
      <c r="O79" s="168"/>
      <c r="Q79" s="168"/>
      <c r="R79" s="169"/>
      <c r="S79" s="169"/>
      <c r="T79" s="169">
        <f>T78*21</f>
        <v>185.85</v>
      </c>
      <c r="U79" s="169"/>
      <c r="V79" s="169"/>
      <c r="W79" s="169"/>
      <c r="X79" s="169"/>
      <c r="Y79" s="169"/>
      <c r="Z79" s="170"/>
      <c r="AA79" s="169"/>
      <c r="AB79" s="169"/>
      <c r="AC79" s="169"/>
      <c r="AD79" s="169"/>
      <c r="AE79" s="169"/>
      <c r="AF79" s="169"/>
      <c r="AG79" s="169"/>
      <c r="AH79" s="170"/>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L79" s="453">
        <f ca="1">IF(AND($D79="Serviço",AL$12&lt;&gt;0,$H79&gt;0,OR(AUTOEVENTO&lt;&gt;"manual",$M79&lt;&gt;$A$15)),
        IF(Import.TipoArredondamento&lt;&gt;"TransfereGOV",
              ROUND(OFFSET($P79,0,AL$13),15-13*ORÇAMENTO!$AF$7)/$H79*OFFSET(ORÇAMENTO!$X$15,ROW(AL79)-ROW(AL$15),0),
              ROUND(ROUND(OFFSET($P79,0,AL$13),15-13*ORÇAMENTO!$AF$7)*OFFSET(ORÇAMENTO!$W$15,ROW(AL79)-ROW(AL$15),0),15-13*ORÇAMENTO!$AF$11)),
         0)</f>
        <v>0</v>
      </c>
      <c r="AM79" s="453">
        <f ca="1">IF(AND($D79="Serviço",AM$12&lt;&gt;0,$H79&gt;0,OR(AUTOEVENTO&lt;&gt;"manual",$M79&lt;&gt;$A$15)),
        IF(Import.TipoArredondamento&lt;&gt;"TransfereGOV",
              ROUND(OFFSET($P79,0,AM$13),15-13*ORÇAMENTO!$AF$7)/$H79*OFFSET(ORÇAMENTO!$X$15,ROW(AM79)-ROW(AM$15),0),
              ROUND(ROUND(OFFSET($P79,0,AM$13),15-13*ORÇAMENTO!$AF$7)*OFFSET(ORÇAMENTO!$W$15,ROW(AM79)-ROW(AM$15),0),15-13*ORÇAMENTO!$AF$11)),
         0)</f>
        <v>187.71</v>
      </c>
      <c r="AN79" s="453">
        <f ca="1">IF(AND($D79="Serviço",AN$12&lt;&gt;0,$H79&gt;0,OR(AUTOEVENTO&lt;&gt;"manual",$M79&lt;&gt;$A$15)),
        IF(Import.TipoArredondamento&lt;&gt;"TransfereGOV",
              ROUND(OFFSET($P79,0,AN$13),15-13*ORÇAMENTO!$AF$7)/$H79*OFFSET(ORÇAMENTO!$X$15,ROW(AN79)-ROW(AN$15),0),
              ROUND(ROUND(OFFSET($P79,0,AN$13),15-13*ORÇAMENTO!$AF$7)*OFFSET(ORÇAMENTO!$W$15,ROW(AN79)-ROW(AN$15),0),15-13*ORÇAMENTO!$AF$11)),
         0)</f>
        <v>0</v>
      </c>
      <c r="AO79" s="453">
        <f ca="1">IF(AND($D79="Serviço",AO$12&lt;&gt;0,$H79&gt;0,OR(AUTOEVENTO&lt;&gt;"manual",$M79&lt;&gt;$A$15)),
        IF(Import.TipoArredondamento&lt;&gt;"TransfereGOV",
              ROUND(OFFSET($P79,0,AO$13),15-13*ORÇAMENTO!$AF$7)/$H79*OFFSET(ORÇAMENTO!$X$15,ROW(AO79)-ROW(AO$15),0),
              ROUND(ROUND(OFFSET($P79,0,AO$13),15-13*ORÇAMENTO!$AF$7)*OFFSET(ORÇAMENTO!$W$15,ROW(AO79)-ROW(AO$15),0),15-13*ORÇAMENTO!$AF$11)),
         0)</f>
        <v>0</v>
      </c>
      <c r="AP79" s="453">
        <f ca="1">IF(AND($D79="Serviço",AP$12&lt;&gt;0,$H79&gt;0,OR(AUTOEVENTO&lt;&gt;"manual",$M79&lt;&gt;$A$15)),
        IF(Import.TipoArredondamento&lt;&gt;"TransfereGOV",
              ROUND(OFFSET($P79,0,AP$13),15-13*ORÇAMENTO!$AF$7)/$H79*OFFSET(ORÇAMENTO!$X$15,ROW(AP79)-ROW(AP$15),0),
              ROUND(ROUND(OFFSET($P79,0,AP$13),15-13*ORÇAMENTO!$AF$7)*OFFSET(ORÇAMENTO!$W$15,ROW(AP79)-ROW(AP$15),0),15-13*ORÇAMENTO!$AF$11)),
         0)</f>
        <v>0</v>
      </c>
      <c r="AQ79" s="453">
        <f ca="1">IF(AND($D79="Serviço",AQ$12&lt;&gt;0,$H79&gt;0,OR(AUTOEVENTO&lt;&gt;"manual",$M79&lt;&gt;$A$15)),
        IF(Import.TipoArredondamento&lt;&gt;"TransfereGOV",
              ROUND(OFFSET($P79,0,AQ$13),15-13*ORÇAMENTO!$AF$7)/$H79*OFFSET(ORÇAMENTO!$X$15,ROW(AQ79)-ROW(AQ$15),0),
              ROUND(ROUND(OFFSET($P79,0,AQ$13),15-13*ORÇAMENTO!$AF$7)*OFFSET(ORÇAMENTO!$W$15,ROW(AQ79)-ROW(AQ$15),0),15-13*ORÇAMENTO!$AF$11)),
         0)</f>
        <v>0</v>
      </c>
      <c r="AR79" s="453">
        <f ca="1">IF(AND($D79="Serviço",AR$12&lt;&gt;0,$H79&gt;0,OR(AUTOEVENTO&lt;&gt;"manual",$M79&lt;&gt;$A$15)),
        IF(Import.TipoArredondamento&lt;&gt;"TransfereGOV",
              ROUND(OFFSET($P79,0,AR$13),15-13*ORÇAMENTO!$AF$7)/$H79*OFFSET(ORÇAMENTO!$X$15,ROW(AR79)-ROW(AR$15),0),
              ROUND(ROUND(OFFSET($P79,0,AR$13),15-13*ORÇAMENTO!$AF$7)*OFFSET(ORÇAMENTO!$W$15,ROW(AR79)-ROW(AR$15),0),15-13*ORÇAMENTO!$AF$11)),
         0)</f>
        <v>0</v>
      </c>
      <c r="AS79" s="453">
        <f ca="1">IF(AND($D79="Serviço",AS$12&lt;&gt;0,$H79&gt;0,OR(AUTOEVENTO&lt;&gt;"manual",$M79&lt;&gt;$A$15)),
        IF(Import.TipoArredondamento&lt;&gt;"TransfereGOV",
              ROUND(OFFSET($P79,0,AS$13),15-13*ORÇAMENTO!$AF$7)/$H79*OFFSET(ORÇAMENTO!$X$15,ROW(AS79)-ROW(AS$15),0),
              ROUND(ROUND(OFFSET($P79,0,AS$13),15-13*ORÇAMENTO!$AF$7)*OFFSET(ORÇAMENTO!$W$15,ROW(AS79)-ROW(AS$15),0),15-13*ORÇAMENTO!$AF$11)),
         0)</f>
        <v>0</v>
      </c>
      <c r="AT79" s="453">
        <f ca="1">IF(AND($D79="Serviço",AT$12&lt;&gt;0,$H79&gt;0,OR(AUTOEVENTO&lt;&gt;"manual",$M79&lt;&gt;$A$15)),
        IF(Import.TipoArredondamento&lt;&gt;"TransfereGOV",
              ROUND(OFFSET($P79,0,AT$13),15-13*ORÇAMENTO!$AF$7)/$H79*OFFSET(ORÇAMENTO!$X$15,ROW(AT79)-ROW(AT$15),0),
              ROUND(ROUND(OFFSET($P79,0,AT$13),15-13*ORÇAMENTO!$AF$7)*OFFSET(ORÇAMENTO!$W$15,ROW(AT79)-ROW(AT$15),0),15-13*ORÇAMENTO!$AF$11)),
         0)</f>
        <v>0</v>
      </c>
      <c r="AU79" s="453">
        <f ca="1">IF(AND($D79="Serviço",AU$12&lt;&gt;0,$H79&gt;0,OR(AUTOEVENTO&lt;&gt;"manual",$M79&lt;&gt;$A$15)),
        IF(Import.TipoArredondamento&lt;&gt;"TransfereGOV",
              ROUND(OFFSET($P79,0,AU$13),15-13*ORÇAMENTO!$AF$7)/$H79*OFFSET(ORÇAMENTO!$X$15,ROW(AU79)-ROW(AU$15),0),
              ROUND(ROUND(OFFSET($P79,0,AU$13),15-13*ORÇAMENTO!$AF$7)*OFFSET(ORÇAMENTO!$W$15,ROW(AU79)-ROW(AU$15),0),15-13*ORÇAMENTO!$AF$11)),
         0)</f>
        <v>0</v>
      </c>
      <c r="AV79" s="453">
        <f ca="1">IF(AND($D79="Serviço",AV$12&lt;&gt;0,$H79&gt;0,OR(AUTOEVENTO&lt;&gt;"manual",$M79&lt;&gt;$A$15)),
        IF(Import.TipoArredondamento&lt;&gt;"TransfereGOV",
              ROUND(OFFSET($P79,0,AV$13),15-13*ORÇAMENTO!$AF$7)/$H79*OFFSET(ORÇAMENTO!$X$15,ROW(AV79)-ROW(AV$15),0),
              ROUND(ROUND(OFFSET($P79,0,AV$13),15-13*ORÇAMENTO!$AF$7)*OFFSET(ORÇAMENTO!$W$15,ROW(AV79)-ROW(AV$15),0),15-13*ORÇAMENTO!$AF$11)),
         0)</f>
        <v>0</v>
      </c>
      <c r="AW79" s="453">
        <f ca="1">IF(AND($D79="Serviço",AW$12&lt;&gt;0,$H79&gt;0,OR(AUTOEVENTO&lt;&gt;"manual",$M79&lt;&gt;$A$15)),
        IF(Import.TipoArredondamento&lt;&gt;"TransfereGOV",
              ROUND(OFFSET($P79,0,AW$13),15-13*ORÇAMENTO!$AF$7)/$H79*OFFSET(ORÇAMENTO!$X$15,ROW(AW79)-ROW(AW$15),0),
              ROUND(ROUND(OFFSET($P79,0,AW$13),15-13*ORÇAMENTO!$AF$7)*OFFSET(ORÇAMENTO!$W$15,ROW(AW79)-ROW(AW$15),0),15-13*ORÇAMENTO!$AF$11)),
         0)</f>
        <v>0</v>
      </c>
      <c r="AX79" s="453">
        <f ca="1">IF(AND($D79="Serviço",AX$12&lt;&gt;0,$H79&gt;0,OR(AUTOEVENTO&lt;&gt;"manual",$M79&lt;&gt;$A$15)),
        IF(Import.TipoArredondamento&lt;&gt;"TransfereGOV",
              ROUND(OFFSET($P79,0,AX$13),15-13*ORÇAMENTO!$AF$7)/$H79*OFFSET(ORÇAMENTO!$X$15,ROW(AX79)-ROW(AX$15),0),
              ROUND(ROUND(OFFSET($P79,0,AX$13),15-13*ORÇAMENTO!$AF$7)*OFFSET(ORÇAMENTO!$W$15,ROW(AX79)-ROW(AX$15),0),15-13*ORÇAMENTO!$AF$11)),
         0)</f>
        <v>0</v>
      </c>
      <c r="AY79" s="453">
        <f ca="1">IF(AND($D79="Serviço",AY$12&lt;&gt;0,$H79&gt;0,OR(AUTOEVENTO&lt;&gt;"manual",$M79&lt;&gt;$A$15)),
        IF(Import.TipoArredondamento&lt;&gt;"TransfereGOV",
              ROUND(OFFSET($P79,0,AY$13),15-13*ORÇAMENTO!$AF$7)/$H79*OFFSET(ORÇAMENTO!$X$15,ROW(AY79)-ROW(AY$15),0),
              ROUND(ROUND(OFFSET($P79,0,AY$13),15-13*ORÇAMENTO!$AF$7)*OFFSET(ORÇAMENTO!$W$15,ROW(AY79)-ROW(AY$15),0),15-13*ORÇAMENTO!$AF$11)),
         0)</f>
        <v>0</v>
      </c>
      <c r="AZ79" s="453">
        <f ca="1">IF(AND($D79="Serviço",AZ$12&lt;&gt;0,$H79&gt;0,OR(AUTOEVENTO&lt;&gt;"manual",$M79&lt;&gt;$A$15)),
        IF(Import.TipoArredondamento&lt;&gt;"TransfereGOV",
              ROUND(OFFSET($P79,0,AZ$13),15-13*ORÇAMENTO!$AF$7)/$H79*OFFSET(ORÇAMENTO!$X$15,ROW(AZ79)-ROW(AZ$15),0),
              ROUND(ROUND(OFFSET($P79,0,AZ$13),15-13*ORÇAMENTO!$AF$7)*OFFSET(ORÇAMENTO!$W$15,ROW(AZ79)-ROW(AZ$15),0),15-13*ORÇAMENTO!$AF$11)),
         0)</f>
        <v>0</v>
      </c>
      <c r="BA79" s="453">
        <f ca="1">IF(AND($D79="Serviço",BA$12&lt;&gt;0,$H79&gt;0,OR(AUTOEVENTO&lt;&gt;"manual",$M79&lt;&gt;$A$15)),
        IF(Import.TipoArredondamento&lt;&gt;"TransfereGOV",
              ROUND(OFFSET($P79,0,BA$13),15-13*ORÇAMENTO!$AF$7)/$H79*OFFSET(ORÇAMENTO!$X$15,ROW(BA79)-ROW(BA$15),0),
              ROUND(ROUND(OFFSET($P79,0,BA$13),15-13*ORÇAMENTO!$AF$7)*OFFSET(ORÇAMENTO!$W$15,ROW(BA79)-ROW(BA$15),0),15-13*ORÇAMENTO!$AF$11)),
         0)</f>
        <v>0</v>
      </c>
      <c r="BC79" s="171">
        <f ca="1">IF(OR($D79&lt;&gt;"Serviço",AND(AUTOEVENTO="Manual",$M79=$A$15)),0,
         IF(OFFSET(CRONOPLE!$F$15,$M79-$A$15,BC$13)=0,10^12,OFFSET(CRONOPLE!$F$15,$M79-$A$15,BC$13)))</f>
        <v>1000000000000</v>
      </c>
      <c r="BD79" s="171">
        <f ca="1">IF(OR($D79&lt;&gt;"Serviço",AND(AUTOEVENTO="Manual",$M79=$A$15)),0,
         IF(OFFSET(CRONOPLE!$F$15,$M79-$A$15,BD$13)=0,10^12,OFFSET(CRONOPLE!$F$15,$M79-$A$15,BD$13)))</f>
        <v>1000000000000</v>
      </c>
      <c r="BE79" s="171">
        <f ca="1">IF(OR($D79&lt;&gt;"Serviço",AND(AUTOEVENTO="Manual",$M79=$A$15)),0,
         IF(OFFSET(CRONOPLE!$F$15,$M79-$A$15,BE$13)=0,10^12,OFFSET(CRONOPLE!$F$15,$M79-$A$15,BE$13)))</f>
        <v>1000000000000</v>
      </c>
      <c r="BF79" s="171">
        <f ca="1">IF(OR($D79&lt;&gt;"Serviço",AND(AUTOEVENTO="Manual",$M79=$A$15)),0,
         IF(OFFSET(CRONOPLE!$F$15,$M79-$A$15,BF$13)=0,10^12,OFFSET(CRONOPLE!$F$15,$M79-$A$15,BF$13)))</f>
        <v>2</v>
      </c>
      <c r="BG79" s="171">
        <f ca="1">IF(OR($D79&lt;&gt;"Serviço",AND(AUTOEVENTO="Manual",$M79=$A$15)),0,
         IF(OFFSET(CRONOPLE!$F$15,$M79-$A$15,BG$13)=0,10^12,OFFSET(CRONOPLE!$F$15,$M79-$A$15,BG$13)))</f>
        <v>1000000000000</v>
      </c>
      <c r="BH79" s="171">
        <f ca="1">IF(OR($D79&lt;&gt;"Serviço",AND(AUTOEVENTO="Manual",$M79=$A$15)),0,
         IF(OFFSET(CRONOPLE!$F$15,$M79-$A$15,BH$13)=0,10^12,OFFSET(CRONOPLE!$F$15,$M79-$A$15,BH$13)))</f>
        <v>1000000000000</v>
      </c>
      <c r="BI79" s="171">
        <f ca="1">IF(OR($D79&lt;&gt;"Serviço",AND(AUTOEVENTO="Manual",$M79=$A$15)),0,
         IF(OFFSET(CRONOPLE!$F$15,$M79-$A$15,BI$13)=0,10^12,OFFSET(CRONOPLE!$F$15,$M79-$A$15,BI$13)))</f>
        <v>1000000000000</v>
      </c>
      <c r="BJ79" s="171">
        <f ca="1">IF(OR($D79&lt;&gt;"Serviço",AND(AUTOEVENTO="Manual",$M79=$A$15)),0,
         IF(OFFSET(CRONOPLE!$F$15,$M79-$A$15,BJ$13)=0,10^12,OFFSET(CRONOPLE!$F$15,$M79-$A$15,BJ$13)))</f>
        <v>1000000000000</v>
      </c>
      <c r="BK79" s="171">
        <f ca="1">IF(OR($D79&lt;&gt;"Serviço",AND(AUTOEVENTO="Manual",$M79=$A$15)),0,
         IF(OFFSET(CRONOPLE!$F$15,$M79-$A$15,BK$13)=0,10^12,OFFSET(CRONOPLE!$F$15,$M79-$A$15,BK$13)))</f>
        <v>1000000000000</v>
      </c>
      <c r="BL79" s="171">
        <f ca="1">IF(OR($D79&lt;&gt;"Serviço",AND(AUTOEVENTO="Manual",$M79=$A$15)),0,
         IF(OFFSET(CRONOPLE!$F$15,$M79-$A$15,BL$13)=0,10^12,OFFSET(CRONOPLE!$F$15,$M79-$A$15,BL$13)))</f>
        <v>1000000000000</v>
      </c>
      <c r="BM79" s="171">
        <f ca="1">IF(OR($D79&lt;&gt;"Serviço",AND(AUTOEVENTO="Manual",$M79=$A$15)),0,
         IF(OFFSET(CRONOPLE!$F$15,$M79-$A$15,BM$13)=0,10^12,OFFSET(CRONOPLE!$F$15,$M79-$A$15,BM$13)))</f>
        <v>1000000000000</v>
      </c>
      <c r="BN79" s="171">
        <f ca="1">IF(OR($D79&lt;&gt;"Serviço",AND(AUTOEVENTO="Manual",$M79=$A$15)),0,
         IF(OFFSET(CRONOPLE!$F$15,$M79-$A$15,BN$13)=0,10^12,OFFSET(CRONOPLE!$F$15,$M79-$A$15,BN$13)))</f>
        <v>1000000000000</v>
      </c>
      <c r="BO79" s="171">
        <f ca="1">IF(OR($D79&lt;&gt;"Serviço",AND(AUTOEVENTO="Manual",$M79=$A$15)),0,
         IF(OFFSET(CRONOPLE!$F$15,$M79-$A$15,BO$13)=0,10^12,OFFSET(CRONOPLE!$F$15,$M79-$A$15,BO$13)))</f>
        <v>1000000000000</v>
      </c>
      <c r="BP79" s="171">
        <f ca="1">IF(OR($D79&lt;&gt;"Serviço",AND(AUTOEVENTO="Manual",$M79=$A$15)),0,
         IF(OFFSET(CRONOPLE!$F$15,$M79-$A$15,BP$13)=0,10^12,OFFSET(CRONOPLE!$F$15,$M79-$A$15,BP$13)))</f>
        <v>1000000000000</v>
      </c>
      <c r="BQ79" s="171">
        <f ca="1">IF(OR($D79&lt;&gt;"Serviço",AND(AUTOEVENTO="Manual",$M79=$A$15)),0,
         IF(OFFSET(CRONOPLE!$F$15,$M79-$A$15,BQ$13)=0,10^12,OFFSET(CRONOPLE!$F$15,$M79-$A$15,BQ$13)))</f>
        <v>1000000000000</v>
      </c>
      <c r="BR79" s="171">
        <f ca="1">IF(OR($D79&lt;&gt;"Serviço",AND(AUTOEVENTO="Manual",$M79=$A$15)),0,
         IF(OFFSET(CRONOPLE!$F$15,$M79-$A$15,BR$13)=0,10^12,OFFSET(CRONOPLE!$F$15,$M79-$A$15,BR$13)))</f>
        <v>1000000000000</v>
      </c>
      <c r="BS79" s="171">
        <f ca="1">IF(OR($D79&lt;&gt;"Serviço",AND(AUTOEVENTO="Manual",$M79=$A$15)),0,
         IF(OFFSET(CRONOPLE!$F$15,$M79-$A$15,BS$13)=0,10^12,OFFSET(CRONOPLE!$F$15,$M79-$A$15,BS$13)))</f>
        <v>1000000000000</v>
      </c>
      <c r="BT79" s="171">
        <f ca="1">IF(OR($D79&lt;&gt;"Serviço",AND(AUTOEVENTO="Manual",$M79=$A$15)),0,
         IF(OFFSET(CRONOPLE!$F$15,$M79-$A$15,BT$13)=0,10^12,OFFSET(CRONOPLE!$F$15,$M79-$A$15,BT$13)))</f>
        <v>1000000000000</v>
      </c>
      <c r="BV79" s="172">
        <f ca="1">IF(OR($D79&lt;&gt;"Serviço",AND(AUTOEVENTO="Manual",$M79=$A$15),$M79&gt;(ROW(PLE.lastrow)-ROW(PLE.firstrow))),0,
           IF(OFFSET(PLE!$G$15,$M79-$A$15,BV$13)="",10^12,OFFSET(PLE!$G$15,$M79-$A$15,BV$13)))</f>
        <v>1000000000000</v>
      </c>
      <c r="BW79" s="172">
        <f ca="1">IF(OR($D79&lt;&gt;"Serviço",AND(AUTOEVENTO="Manual",$M79=$A$15),$M79&gt;(ROW(PLE.lastrow)-ROW(PLE.firstrow))),0,
           IF(OFFSET(PLE!$G$15,$M79-$A$15,BW$13)="",10^12,OFFSET(PLE!$G$15,$M79-$A$15,BW$13)))</f>
        <v>1000000000000</v>
      </c>
      <c r="BX79" s="172">
        <f ca="1">IF(OR($D79&lt;&gt;"Serviço",AND(AUTOEVENTO="Manual",$M79=$A$15),$M79&gt;(ROW(PLE.lastrow)-ROW(PLE.firstrow))),0,
           IF(OFFSET(PLE!$G$15,$M79-$A$15,BX$13)="",10^12,OFFSET(PLE!$G$15,$M79-$A$15,BX$13)))</f>
        <v>1000000000000</v>
      </c>
      <c r="BY79" s="172">
        <f ca="1">IF(OR($D79&lt;&gt;"Serviço",AND(AUTOEVENTO="Manual",$M79=$A$15),$M79&gt;(ROW(PLE.lastrow)-ROW(PLE.firstrow))),0,
           IF(OFFSET(PLE!$G$15,$M79-$A$15,BY$13)="",10^12,OFFSET(PLE!$G$15,$M79-$A$15,BY$13)))</f>
        <v>1000000000000</v>
      </c>
      <c r="BZ79" s="172">
        <f ca="1">IF(OR($D79&lt;&gt;"Serviço",AND(AUTOEVENTO="Manual",$M79=$A$15),$M79&gt;(ROW(PLE.lastrow)-ROW(PLE.firstrow))),0,
           IF(OFFSET(PLE!$G$15,$M79-$A$15,BZ$13)="",10^12,OFFSET(PLE!$G$15,$M79-$A$15,BZ$13)))</f>
        <v>1000000000000</v>
      </c>
      <c r="CA79" s="172">
        <f ca="1">IF(OR($D79&lt;&gt;"Serviço",AND(AUTOEVENTO="Manual",$M79=$A$15),$M79&gt;(ROW(PLE.lastrow)-ROW(PLE.firstrow))),0,
           IF(OFFSET(PLE!$G$15,$M79-$A$15,CA$13)="",10^12,OFFSET(PLE!$G$15,$M79-$A$15,CA$13)))</f>
        <v>1000000000000</v>
      </c>
      <c r="CB79" s="172">
        <f ca="1">IF(OR($D79&lt;&gt;"Serviço",AND(AUTOEVENTO="Manual",$M79=$A$15),$M79&gt;(ROW(PLE.lastrow)-ROW(PLE.firstrow))),0,
           IF(OFFSET(PLE!$G$15,$M79-$A$15,CB$13)="",10^12,OFFSET(PLE!$G$15,$M79-$A$15,CB$13)))</f>
        <v>1000000000000</v>
      </c>
      <c r="CC79" s="172">
        <f ca="1">IF(OR($D79&lt;&gt;"Serviço",AND(AUTOEVENTO="Manual",$M79=$A$15),$M79&gt;(ROW(PLE.lastrow)-ROW(PLE.firstrow))),0,
           IF(OFFSET(PLE!$G$15,$M79-$A$15,CC$13)="",10^12,OFFSET(PLE!$G$15,$M79-$A$15,CC$13)))</f>
        <v>1000000000000</v>
      </c>
      <c r="CD79" s="172">
        <f ca="1">IF(OR($D79&lt;&gt;"Serviço",AND(AUTOEVENTO="Manual",$M79=$A$15),$M79&gt;(ROW(PLE.lastrow)-ROW(PLE.firstrow))),0,
           IF(OFFSET(PLE!$G$15,$M79-$A$15,CD$13)="",10^12,OFFSET(PLE!$G$15,$M79-$A$15,CD$13)))</f>
        <v>1000000000000</v>
      </c>
      <c r="CE79" s="172">
        <f ca="1">IF(OR($D79&lt;&gt;"Serviço",AND(AUTOEVENTO="Manual",$M79=$A$15),$M79&gt;(ROW(PLE.lastrow)-ROW(PLE.firstrow))),0,
           IF(OFFSET(PLE!$G$15,$M79-$A$15,CE$13)="",10^12,OFFSET(PLE!$G$15,$M79-$A$15,CE$13)))</f>
        <v>1000000000000</v>
      </c>
      <c r="CF79" s="172">
        <f ca="1">IF(OR($D79&lt;&gt;"Serviço",AND(AUTOEVENTO="Manual",$M79=$A$15),$M79&gt;(ROW(PLE.lastrow)-ROW(PLE.firstrow))),0,
           IF(OFFSET(PLE!$G$15,$M79-$A$15,CF$13)="",10^12,OFFSET(PLE!$G$15,$M79-$A$15,CF$13)))</f>
        <v>1000000000000</v>
      </c>
      <c r="CG79" s="172">
        <f ca="1">IF(OR($D79&lt;&gt;"Serviço",AND(AUTOEVENTO="Manual",$M79=$A$15),$M79&gt;(ROW(PLE.lastrow)-ROW(PLE.firstrow))),0,
           IF(OFFSET(PLE!$G$15,$M79-$A$15,CG$13)="",10^12,OFFSET(PLE!$G$15,$M79-$A$15,CG$13)))</f>
        <v>1000000000000</v>
      </c>
      <c r="CH79" s="172">
        <f ca="1">IF(OR($D79&lt;&gt;"Serviço",AND(AUTOEVENTO="Manual",$M79=$A$15),$M79&gt;(ROW(PLE.lastrow)-ROW(PLE.firstrow))),0,
           IF(OFFSET(PLE!$G$15,$M79-$A$15,CH$13)="",10^12,OFFSET(PLE!$G$15,$M79-$A$15,CH$13)))</f>
        <v>1000000000000</v>
      </c>
      <c r="CI79" s="172">
        <f ca="1">IF(OR($D79&lt;&gt;"Serviço",AND(AUTOEVENTO="Manual",$M79=$A$15),$M79&gt;(ROW(PLE.lastrow)-ROW(PLE.firstrow))),0,
           IF(OFFSET(PLE!$G$15,$M79-$A$15,CI$13)="",10^12,OFFSET(PLE!$G$15,$M79-$A$15,CI$13)))</f>
        <v>1000000000000</v>
      </c>
      <c r="CJ79" s="172">
        <f ca="1">IF(OR($D79&lt;&gt;"Serviço",AND(AUTOEVENTO="Manual",$M79=$A$15),$M79&gt;(ROW(PLE.lastrow)-ROW(PLE.firstrow))),0,
           IF(OFFSET(PLE!$G$15,$M79-$A$15,CJ$13)="",10^12,OFFSET(PLE!$G$15,$M79-$A$15,CJ$13)))</f>
        <v>1000000000000</v>
      </c>
      <c r="CK79" s="172">
        <f ca="1">IF(OR($D79&lt;&gt;"Serviço",AND(AUTOEVENTO="Manual",$M79=$A$15),$M79&gt;(ROW(PLE.lastrow)-ROW(PLE.firstrow))),0,
           IF(OFFSET(PLE!$G$15,$M79-$A$15,CK$13)="",10^12,OFFSET(PLE!$G$15,$M79-$A$15,CK$13)))</f>
        <v>1000000000000</v>
      </c>
      <c r="CL79" s="172">
        <f ca="1">IF(OR($D79&lt;&gt;"Serviço",AND(AUTOEVENTO="Manual",$M79=$A$15),$M79&gt;(ROW(PLE.lastrow)-ROW(PLE.firstrow))),0,
           IF(OFFSET(PLE!$G$15,$M79-$A$15,CL$13)="",10^12,OFFSET(PLE!$G$15,$M79-$A$15,CL$13)))</f>
        <v>1000000000000</v>
      </c>
      <c r="CM79" s="172">
        <f ca="1">IF(OR($D79&lt;&gt;"Serviço",AND(AUTOEVENTO="Manual",$M79=$A$15),$M79&gt;(ROW(PLE.lastrow)-ROW(PLE.firstrow))),0,
           IF(OFFSET(PLE!$G$15,$M79-$A$15,CM$13)="",10^12,OFFSET(PLE!$G$15,$M79-$A$15,CM$13)))</f>
        <v>1000000000000</v>
      </c>
    </row>
    <row r="80" spans="1:91" ht="26.4" x14ac:dyDescent="0.25">
      <c r="A80" s="7" t="str">
        <f t="shared" ca="1" si="11"/>
        <v>59</v>
      </c>
      <c r="B80" s="7" t="str">
        <f ca="1">OFFSET(ORÇAMENTO!C$15,ROW(B80)-ROW(B$15),0)</f>
        <v>S</v>
      </c>
      <c r="C80" s="7" t="str">
        <f ca="1">OFFSET(ORÇAMENTO!L$15,ROW(C80)-ROW(C$15),0)</f>
        <v>F</v>
      </c>
      <c r="D80" s="116" t="str">
        <f ca="1">OFFSET(ORÇAMENTO!N$15,ROW(D80)-ROW(D$15),0)</f>
        <v>Serviço</v>
      </c>
      <c r="E80" s="117" t="str">
        <f ca="1">OFFSET(ORÇAMENTO!O$15,ROW(E80)-ROW(E$15),0)</f>
        <v>2.4.6.</v>
      </c>
      <c r="F80" s="163" t="str">
        <f ca="1">OFFSET(ORÇAMENTO!R$15,ROW(F80)-ROW(F$15),0)</f>
        <v>CIMENTO ASFÁLTICO CAP 50-70, COLETADO NA ANP, ACRESCIDO DE IMPOSTOS (ICMS, PIS, CONFINS)</v>
      </c>
      <c r="G80" s="164" t="str">
        <f ca="1">IF($D80&lt;&gt;"Serviço","",OFFSET(ORÇAMENTO!S$15,ROW(G80)-ROW(G$15),0))</f>
        <v>KG</v>
      </c>
      <c r="H80" s="122" cm="1">
        <f t="array" aca="1" ref="H80" ca="1">IF($D80&lt;&gt;"Serviço",0,IF(ACOMPANHAMENTO="BM",ROUND(OFFSET(ORÇAMENTO!AJ$15,ROW(H80)-ROW(H$15),0),15-13*ORÇAMENTO!$AF$7),SUMPRODUCT(($Q$1:$AI$1=1)*ROUND($Q80:$AI80,15-13*ORÇAMENTO!$AF$7))))</f>
        <v>501.39</v>
      </c>
      <c r="I80" s="468"/>
      <c r="J80" s="651" t="e" cm="1">
        <f t="array" aca="1" ref="J80" ca="1">IF(OR(B80&lt;&gt;"S",CÁLCULO.FrentesPreenchidas=0),"",IF(AND(ACOMPANHAMENTO="PLE",AUTOEVENTO="Manual",OR(H80&gt;0,ORÇAMENTO!AC80="QUANT."),OR(K80="",M80=0,N80="")),"►E",IF(AND(ACOMPANHAMENTO="PLE",ORÇAMENTO!AC80="QUANT."),"►Q",IF(AND(ACOMPANHAMENTO="PLE",H80&lt;&gt;SUMPRODUCT(($Q$1:$AI$1=1)*ROUND(Q80:AI80,15))),"►S",IF(AND(COUNTIF($P$11:$AI$11,"▼")=0,H80&gt;0,I80=""),"◄M","")))))</f>
        <v>#NAME?</v>
      </c>
      <c r="K80" s="652"/>
      <c r="L80" s="165" t="s">
        <v>764</v>
      </c>
      <c r="M80" s="166">
        <f ca="1">IF($D80&lt;&gt;"Serviço","",
          IF(AUTOEVENTO="manual",$A80,
                IF(ISERROR(MATCH($A80,$A$15:OFFSET($A80,-1,0),0)),MAX($M$15:OFFSET(M80,-1,0))+1,
                      INDEX($M$15:OFFSET(M80,-1,0),MATCH($A80,$A$15:OFFSET($A80,-1,0),0)))))</f>
        <v>11</v>
      </c>
      <c r="N80" s="167" t="str">
        <f ca="1">IF($D80&lt;&gt;"Serviço","",
         IF(AUTOEVENTO="Manual",
                IF($A80=0,"&lt;-- defina o número do agrupador",
                       OFFSET(EVENTOS!$D$15,$A80-$A$15,0)),
                OFFSET($F$15,$A80,0)))</f>
        <v>LOMBADAS TIPO A (3,70m de comprimento x 0,10m altura)</v>
      </c>
      <c r="O80" s="168"/>
      <c r="Q80" s="168"/>
      <c r="R80" s="169"/>
      <c r="S80" s="169"/>
      <c r="T80" s="169">
        <v>501.39</v>
      </c>
      <c r="U80" s="169"/>
      <c r="V80" s="169"/>
      <c r="W80" s="169"/>
      <c r="X80" s="169"/>
      <c r="Y80" s="169"/>
      <c r="Z80" s="170"/>
      <c r="AA80" s="169"/>
      <c r="AB80" s="169"/>
      <c r="AC80" s="169"/>
      <c r="AD80" s="169"/>
      <c r="AE80" s="169"/>
      <c r="AF80" s="169"/>
      <c r="AG80" s="169"/>
      <c r="AH80" s="170"/>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L80" s="453">
        <f ca="1">IF(AND($D80="Serviço",AL$12&lt;&gt;0,$H80&gt;0,OR(AUTOEVENTO&lt;&gt;"manual",$M80&lt;&gt;$A$15)),
        IF(Import.TipoArredondamento&lt;&gt;"TransfereGOV",
              ROUND(OFFSET($P80,0,AL$13),15-13*ORÇAMENTO!$AF$7)/$H80*OFFSET(ORÇAMENTO!$X$15,ROW(AL80)-ROW(AL$15),0),
              ROUND(ROUND(OFFSET($P80,0,AL$13),15-13*ORÇAMENTO!$AF$7)*OFFSET(ORÇAMENTO!$W$15,ROW(AL80)-ROW(AL$15),0),15-13*ORÇAMENTO!$AF$11)),
         0)</f>
        <v>0</v>
      </c>
      <c r="AM80" s="453">
        <f ca="1">IF(AND($D80="Serviço",AM$12&lt;&gt;0,$H80&gt;0,OR(AUTOEVENTO&lt;&gt;"manual",$M80&lt;&gt;$A$15)),
        IF(Import.TipoArredondamento&lt;&gt;"TransfereGOV",
              ROUND(OFFSET($P80,0,AM$13),15-13*ORÇAMENTO!$AF$7)/$H80*OFFSET(ORÇAMENTO!$X$15,ROW(AM80)-ROW(AM$15),0),
              ROUND(ROUND(OFFSET($P80,0,AM$13),15-13*ORÇAMENTO!$AF$7)*OFFSET(ORÇAMENTO!$W$15,ROW(AM80)-ROW(AM$15),0),15-13*ORÇAMENTO!$AF$11)),
         0)</f>
        <v>2802.77</v>
      </c>
      <c r="AN80" s="453">
        <f ca="1">IF(AND($D80="Serviço",AN$12&lt;&gt;0,$H80&gt;0,OR(AUTOEVENTO&lt;&gt;"manual",$M80&lt;&gt;$A$15)),
        IF(Import.TipoArredondamento&lt;&gt;"TransfereGOV",
              ROUND(OFFSET($P80,0,AN$13),15-13*ORÇAMENTO!$AF$7)/$H80*OFFSET(ORÇAMENTO!$X$15,ROW(AN80)-ROW(AN$15),0),
              ROUND(ROUND(OFFSET($P80,0,AN$13),15-13*ORÇAMENTO!$AF$7)*OFFSET(ORÇAMENTO!$W$15,ROW(AN80)-ROW(AN$15),0),15-13*ORÇAMENTO!$AF$11)),
         0)</f>
        <v>0</v>
      </c>
      <c r="AO80" s="453">
        <f ca="1">IF(AND($D80="Serviço",AO$12&lt;&gt;0,$H80&gt;0,OR(AUTOEVENTO&lt;&gt;"manual",$M80&lt;&gt;$A$15)),
        IF(Import.TipoArredondamento&lt;&gt;"TransfereGOV",
              ROUND(OFFSET($P80,0,AO$13),15-13*ORÇAMENTO!$AF$7)/$H80*OFFSET(ORÇAMENTO!$X$15,ROW(AO80)-ROW(AO$15),0),
              ROUND(ROUND(OFFSET($P80,0,AO$13),15-13*ORÇAMENTO!$AF$7)*OFFSET(ORÇAMENTO!$W$15,ROW(AO80)-ROW(AO$15),0),15-13*ORÇAMENTO!$AF$11)),
         0)</f>
        <v>0</v>
      </c>
      <c r="AP80" s="453">
        <f ca="1">IF(AND($D80="Serviço",AP$12&lt;&gt;0,$H80&gt;0,OR(AUTOEVENTO&lt;&gt;"manual",$M80&lt;&gt;$A$15)),
        IF(Import.TipoArredondamento&lt;&gt;"TransfereGOV",
              ROUND(OFFSET($P80,0,AP$13),15-13*ORÇAMENTO!$AF$7)/$H80*OFFSET(ORÇAMENTO!$X$15,ROW(AP80)-ROW(AP$15),0),
              ROUND(ROUND(OFFSET($P80,0,AP$13),15-13*ORÇAMENTO!$AF$7)*OFFSET(ORÇAMENTO!$W$15,ROW(AP80)-ROW(AP$15),0),15-13*ORÇAMENTO!$AF$11)),
         0)</f>
        <v>0</v>
      </c>
      <c r="AQ80" s="453">
        <f ca="1">IF(AND($D80="Serviço",AQ$12&lt;&gt;0,$H80&gt;0,OR(AUTOEVENTO&lt;&gt;"manual",$M80&lt;&gt;$A$15)),
        IF(Import.TipoArredondamento&lt;&gt;"TransfereGOV",
              ROUND(OFFSET($P80,0,AQ$13),15-13*ORÇAMENTO!$AF$7)/$H80*OFFSET(ORÇAMENTO!$X$15,ROW(AQ80)-ROW(AQ$15),0),
              ROUND(ROUND(OFFSET($P80,0,AQ$13),15-13*ORÇAMENTO!$AF$7)*OFFSET(ORÇAMENTO!$W$15,ROW(AQ80)-ROW(AQ$15),0),15-13*ORÇAMENTO!$AF$11)),
         0)</f>
        <v>0</v>
      </c>
      <c r="AR80" s="453">
        <f ca="1">IF(AND($D80="Serviço",AR$12&lt;&gt;0,$H80&gt;0,OR(AUTOEVENTO&lt;&gt;"manual",$M80&lt;&gt;$A$15)),
        IF(Import.TipoArredondamento&lt;&gt;"TransfereGOV",
              ROUND(OFFSET($P80,0,AR$13),15-13*ORÇAMENTO!$AF$7)/$H80*OFFSET(ORÇAMENTO!$X$15,ROW(AR80)-ROW(AR$15),0),
              ROUND(ROUND(OFFSET($P80,0,AR$13),15-13*ORÇAMENTO!$AF$7)*OFFSET(ORÇAMENTO!$W$15,ROW(AR80)-ROW(AR$15),0),15-13*ORÇAMENTO!$AF$11)),
         0)</f>
        <v>0</v>
      </c>
      <c r="AS80" s="453">
        <f ca="1">IF(AND($D80="Serviço",AS$12&lt;&gt;0,$H80&gt;0,OR(AUTOEVENTO&lt;&gt;"manual",$M80&lt;&gt;$A$15)),
        IF(Import.TipoArredondamento&lt;&gt;"TransfereGOV",
              ROUND(OFFSET($P80,0,AS$13),15-13*ORÇAMENTO!$AF$7)/$H80*OFFSET(ORÇAMENTO!$X$15,ROW(AS80)-ROW(AS$15),0),
              ROUND(ROUND(OFFSET($P80,0,AS$13),15-13*ORÇAMENTO!$AF$7)*OFFSET(ORÇAMENTO!$W$15,ROW(AS80)-ROW(AS$15),0),15-13*ORÇAMENTO!$AF$11)),
         0)</f>
        <v>0</v>
      </c>
      <c r="AT80" s="453">
        <f ca="1">IF(AND($D80="Serviço",AT$12&lt;&gt;0,$H80&gt;0,OR(AUTOEVENTO&lt;&gt;"manual",$M80&lt;&gt;$A$15)),
        IF(Import.TipoArredondamento&lt;&gt;"TransfereGOV",
              ROUND(OFFSET($P80,0,AT$13),15-13*ORÇAMENTO!$AF$7)/$H80*OFFSET(ORÇAMENTO!$X$15,ROW(AT80)-ROW(AT$15),0),
              ROUND(ROUND(OFFSET($P80,0,AT$13),15-13*ORÇAMENTO!$AF$7)*OFFSET(ORÇAMENTO!$W$15,ROW(AT80)-ROW(AT$15),0),15-13*ORÇAMENTO!$AF$11)),
         0)</f>
        <v>0</v>
      </c>
      <c r="AU80" s="453">
        <f ca="1">IF(AND($D80="Serviço",AU$12&lt;&gt;0,$H80&gt;0,OR(AUTOEVENTO&lt;&gt;"manual",$M80&lt;&gt;$A$15)),
        IF(Import.TipoArredondamento&lt;&gt;"TransfereGOV",
              ROUND(OFFSET($P80,0,AU$13),15-13*ORÇAMENTO!$AF$7)/$H80*OFFSET(ORÇAMENTO!$X$15,ROW(AU80)-ROW(AU$15),0),
              ROUND(ROUND(OFFSET($P80,0,AU$13),15-13*ORÇAMENTO!$AF$7)*OFFSET(ORÇAMENTO!$W$15,ROW(AU80)-ROW(AU$15),0),15-13*ORÇAMENTO!$AF$11)),
         0)</f>
        <v>0</v>
      </c>
      <c r="AV80" s="453">
        <f ca="1">IF(AND($D80="Serviço",AV$12&lt;&gt;0,$H80&gt;0,OR(AUTOEVENTO&lt;&gt;"manual",$M80&lt;&gt;$A$15)),
        IF(Import.TipoArredondamento&lt;&gt;"TransfereGOV",
              ROUND(OFFSET($P80,0,AV$13),15-13*ORÇAMENTO!$AF$7)/$H80*OFFSET(ORÇAMENTO!$X$15,ROW(AV80)-ROW(AV$15),0),
              ROUND(ROUND(OFFSET($P80,0,AV$13),15-13*ORÇAMENTO!$AF$7)*OFFSET(ORÇAMENTO!$W$15,ROW(AV80)-ROW(AV$15),0),15-13*ORÇAMENTO!$AF$11)),
         0)</f>
        <v>0</v>
      </c>
      <c r="AW80" s="453">
        <f ca="1">IF(AND($D80="Serviço",AW$12&lt;&gt;0,$H80&gt;0,OR(AUTOEVENTO&lt;&gt;"manual",$M80&lt;&gt;$A$15)),
        IF(Import.TipoArredondamento&lt;&gt;"TransfereGOV",
              ROUND(OFFSET($P80,0,AW$13),15-13*ORÇAMENTO!$AF$7)/$H80*OFFSET(ORÇAMENTO!$X$15,ROW(AW80)-ROW(AW$15),0),
              ROUND(ROUND(OFFSET($P80,0,AW$13),15-13*ORÇAMENTO!$AF$7)*OFFSET(ORÇAMENTO!$W$15,ROW(AW80)-ROW(AW$15),0),15-13*ORÇAMENTO!$AF$11)),
         0)</f>
        <v>0</v>
      </c>
      <c r="AX80" s="453">
        <f ca="1">IF(AND($D80="Serviço",AX$12&lt;&gt;0,$H80&gt;0,OR(AUTOEVENTO&lt;&gt;"manual",$M80&lt;&gt;$A$15)),
        IF(Import.TipoArredondamento&lt;&gt;"TransfereGOV",
              ROUND(OFFSET($P80,0,AX$13),15-13*ORÇAMENTO!$AF$7)/$H80*OFFSET(ORÇAMENTO!$X$15,ROW(AX80)-ROW(AX$15),0),
              ROUND(ROUND(OFFSET($P80,0,AX$13),15-13*ORÇAMENTO!$AF$7)*OFFSET(ORÇAMENTO!$W$15,ROW(AX80)-ROW(AX$15),0),15-13*ORÇAMENTO!$AF$11)),
         0)</f>
        <v>0</v>
      </c>
      <c r="AY80" s="453">
        <f ca="1">IF(AND($D80="Serviço",AY$12&lt;&gt;0,$H80&gt;0,OR(AUTOEVENTO&lt;&gt;"manual",$M80&lt;&gt;$A$15)),
        IF(Import.TipoArredondamento&lt;&gt;"TransfereGOV",
              ROUND(OFFSET($P80,0,AY$13),15-13*ORÇAMENTO!$AF$7)/$H80*OFFSET(ORÇAMENTO!$X$15,ROW(AY80)-ROW(AY$15),0),
              ROUND(ROUND(OFFSET($P80,0,AY$13),15-13*ORÇAMENTO!$AF$7)*OFFSET(ORÇAMENTO!$W$15,ROW(AY80)-ROW(AY$15),0),15-13*ORÇAMENTO!$AF$11)),
         0)</f>
        <v>0</v>
      </c>
      <c r="AZ80" s="453">
        <f ca="1">IF(AND($D80="Serviço",AZ$12&lt;&gt;0,$H80&gt;0,OR(AUTOEVENTO&lt;&gt;"manual",$M80&lt;&gt;$A$15)),
        IF(Import.TipoArredondamento&lt;&gt;"TransfereGOV",
              ROUND(OFFSET($P80,0,AZ$13),15-13*ORÇAMENTO!$AF$7)/$H80*OFFSET(ORÇAMENTO!$X$15,ROW(AZ80)-ROW(AZ$15),0),
              ROUND(ROUND(OFFSET($P80,0,AZ$13),15-13*ORÇAMENTO!$AF$7)*OFFSET(ORÇAMENTO!$W$15,ROW(AZ80)-ROW(AZ$15),0),15-13*ORÇAMENTO!$AF$11)),
         0)</f>
        <v>0</v>
      </c>
      <c r="BA80" s="453">
        <f ca="1">IF(AND($D80="Serviço",BA$12&lt;&gt;0,$H80&gt;0,OR(AUTOEVENTO&lt;&gt;"manual",$M80&lt;&gt;$A$15)),
        IF(Import.TipoArredondamento&lt;&gt;"TransfereGOV",
              ROUND(OFFSET($P80,0,BA$13),15-13*ORÇAMENTO!$AF$7)/$H80*OFFSET(ORÇAMENTO!$X$15,ROW(BA80)-ROW(BA$15),0),
              ROUND(ROUND(OFFSET($P80,0,BA$13),15-13*ORÇAMENTO!$AF$7)*OFFSET(ORÇAMENTO!$W$15,ROW(BA80)-ROW(BA$15),0),15-13*ORÇAMENTO!$AF$11)),
         0)</f>
        <v>0</v>
      </c>
      <c r="BC80" s="171">
        <f ca="1">IF(OR($D80&lt;&gt;"Serviço",AND(AUTOEVENTO="Manual",$M80=$A$15)),0,
         IF(OFFSET(CRONOPLE!$F$15,$M80-$A$15,BC$13)=0,10^12,OFFSET(CRONOPLE!$F$15,$M80-$A$15,BC$13)))</f>
        <v>1000000000000</v>
      </c>
      <c r="BD80" s="171">
        <f ca="1">IF(OR($D80&lt;&gt;"Serviço",AND(AUTOEVENTO="Manual",$M80=$A$15)),0,
         IF(OFFSET(CRONOPLE!$F$15,$M80-$A$15,BD$13)=0,10^12,OFFSET(CRONOPLE!$F$15,$M80-$A$15,BD$13)))</f>
        <v>1000000000000</v>
      </c>
      <c r="BE80" s="171">
        <f ca="1">IF(OR($D80&lt;&gt;"Serviço",AND(AUTOEVENTO="Manual",$M80=$A$15)),0,
         IF(OFFSET(CRONOPLE!$F$15,$M80-$A$15,BE$13)=0,10^12,OFFSET(CRONOPLE!$F$15,$M80-$A$15,BE$13)))</f>
        <v>1000000000000</v>
      </c>
      <c r="BF80" s="171">
        <f ca="1">IF(OR($D80&lt;&gt;"Serviço",AND(AUTOEVENTO="Manual",$M80=$A$15)),0,
         IF(OFFSET(CRONOPLE!$F$15,$M80-$A$15,BF$13)=0,10^12,OFFSET(CRONOPLE!$F$15,$M80-$A$15,BF$13)))</f>
        <v>2</v>
      </c>
      <c r="BG80" s="171">
        <f ca="1">IF(OR($D80&lt;&gt;"Serviço",AND(AUTOEVENTO="Manual",$M80=$A$15)),0,
         IF(OFFSET(CRONOPLE!$F$15,$M80-$A$15,BG$13)=0,10^12,OFFSET(CRONOPLE!$F$15,$M80-$A$15,BG$13)))</f>
        <v>1000000000000</v>
      </c>
      <c r="BH80" s="171">
        <f ca="1">IF(OR($D80&lt;&gt;"Serviço",AND(AUTOEVENTO="Manual",$M80=$A$15)),0,
         IF(OFFSET(CRONOPLE!$F$15,$M80-$A$15,BH$13)=0,10^12,OFFSET(CRONOPLE!$F$15,$M80-$A$15,BH$13)))</f>
        <v>1000000000000</v>
      </c>
      <c r="BI80" s="171">
        <f ca="1">IF(OR($D80&lt;&gt;"Serviço",AND(AUTOEVENTO="Manual",$M80=$A$15)),0,
         IF(OFFSET(CRONOPLE!$F$15,$M80-$A$15,BI$13)=0,10^12,OFFSET(CRONOPLE!$F$15,$M80-$A$15,BI$13)))</f>
        <v>1000000000000</v>
      </c>
      <c r="BJ80" s="171">
        <f ca="1">IF(OR($D80&lt;&gt;"Serviço",AND(AUTOEVENTO="Manual",$M80=$A$15)),0,
         IF(OFFSET(CRONOPLE!$F$15,$M80-$A$15,BJ$13)=0,10^12,OFFSET(CRONOPLE!$F$15,$M80-$A$15,BJ$13)))</f>
        <v>1000000000000</v>
      </c>
      <c r="BK80" s="171">
        <f ca="1">IF(OR($D80&lt;&gt;"Serviço",AND(AUTOEVENTO="Manual",$M80=$A$15)),0,
         IF(OFFSET(CRONOPLE!$F$15,$M80-$A$15,BK$13)=0,10^12,OFFSET(CRONOPLE!$F$15,$M80-$A$15,BK$13)))</f>
        <v>1000000000000</v>
      </c>
      <c r="BL80" s="171">
        <f ca="1">IF(OR($D80&lt;&gt;"Serviço",AND(AUTOEVENTO="Manual",$M80=$A$15)),0,
         IF(OFFSET(CRONOPLE!$F$15,$M80-$A$15,BL$13)=0,10^12,OFFSET(CRONOPLE!$F$15,$M80-$A$15,BL$13)))</f>
        <v>1000000000000</v>
      </c>
      <c r="BM80" s="171">
        <f ca="1">IF(OR($D80&lt;&gt;"Serviço",AND(AUTOEVENTO="Manual",$M80=$A$15)),0,
         IF(OFFSET(CRONOPLE!$F$15,$M80-$A$15,BM$13)=0,10^12,OFFSET(CRONOPLE!$F$15,$M80-$A$15,BM$13)))</f>
        <v>1000000000000</v>
      </c>
      <c r="BN80" s="171">
        <f ca="1">IF(OR($D80&lt;&gt;"Serviço",AND(AUTOEVENTO="Manual",$M80=$A$15)),0,
         IF(OFFSET(CRONOPLE!$F$15,$M80-$A$15,BN$13)=0,10^12,OFFSET(CRONOPLE!$F$15,$M80-$A$15,BN$13)))</f>
        <v>1000000000000</v>
      </c>
      <c r="BO80" s="171">
        <f ca="1">IF(OR($D80&lt;&gt;"Serviço",AND(AUTOEVENTO="Manual",$M80=$A$15)),0,
         IF(OFFSET(CRONOPLE!$F$15,$M80-$A$15,BO$13)=0,10^12,OFFSET(CRONOPLE!$F$15,$M80-$A$15,BO$13)))</f>
        <v>1000000000000</v>
      </c>
      <c r="BP80" s="171">
        <f ca="1">IF(OR($D80&lt;&gt;"Serviço",AND(AUTOEVENTO="Manual",$M80=$A$15)),0,
         IF(OFFSET(CRONOPLE!$F$15,$M80-$A$15,BP$13)=0,10^12,OFFSET(CRONOPLE!$F$15,$M80-$A$15,BP$13)))</f>
        <v>1000000000000</v>
      </c>
      <c r="BQ80" s="171">
        <f ca="1">IF(OR($D80&lt;&gt;"Serviço",AND(AUTOEVENTO="Manual",$M80=$A$15)),0,
         IF(OFFSET(CRONOPLE!$F$15,$M80-$A$15,BQ$13)=0,10^12,OFFSET(CRONOPLE!$F$15,$M80-$A$15,BQ$13)))</f>
        <v>1000000000000</v>
      </c>
      <c r="BR80" s="171">
        <f ca="1">IF(OR($D80&lt;&gt;"Serviço",AND(AUTOEVENTO="Manual",$M80=$A$15)),0,
         IF(OFFSET(CRONOPLE!$F$15,$M80-$A$15,BR$13)=0,10^12,OFFSET(CRONOPLE!$F$15,$M80-$A$15,BR$13)))</f>
        <v>1000000000000</v>
      </c>
      <c r="BS80" s="171">
        <f ca="1">IF(OR($D80&lt;&gt;"Serviço",AND(AUTOEVENTO="Manual",$M80=$A$15)),0,
         IF(OFFSET(CRONOPLE!$F$15,$M80-$A$15,BS$13)=0,10^12,OFFSET(CRONOPLE!$F$15,$M80-$A$15,BS$13)))</f>
        <v>1000000000000</v>
      </c>
      <c r="BT80" s="171">
        <f ca="1">IF(OR($D80&lt;&gt;"Serviço",AND(AUTOEVENTO="Manual",$M80=$A$15)),0,
         IF(OFFSET(CRONOPLE!$F$15,$M80-$A$15,BT$13)=0,10^12,OFFSET(CRONOPLE!$F$15,$M80-$A$15,BT$13)))</f>
        <v>1000000000000</v>
      </c>
      <c r="BV80" s="172">
        <f ca="1">IF(OR($D80&lt;&gt;"Serviço",AND(AUTOEVENTO="Manual",$M80=$A$15),$M80&gt;(ROW(PLE.lastrow)-ROW(PLE.firstrow))),0,
           IF(OFFSET(PLE!$G$15,$M80-$A$15,BV$13)="",10^12,OFFSET(PLE!$G$15,$M80-$A$15,BV$13)))</f>
        <v>1000000000000</v>
      </c>
      <c r="BW80" s="172">
        <f ca="1">IF(OR($D80&lt;&gt;"Serviço",AND(AUTOEVENTO="Manual",$M80=$A$15),$M80&gt;(ROW(PLE.lastrow)-ROW(PLE.firstrow))),0,
           IF(OFFSET(PLE!$G$15,$M80-$A$15,BW$13)="",10^12,OFFSET(PLE!$G$15,$M80-$A$15,BW$13)))</f>
        <v>1000000000000</v>
      </c>
      <c r="BX80" s="172">
        <f ca="1">IF(OR($D80&lt;&gt;"Serviço",AND(AUTOEVENTO="Manual",$M80=$A$15),$M80&gt;(ROW(PLE.lastrow)-ROW(PLE.firstrow))),0,
           IF(OFFSET(PLE!$G$15,$M80-$A$15,BX$13)="",10^12,OFFSET(PLE!$G$15,$M80-$A$15,BX$13)))</f>
        <v>1000000000000</v>
      </c>
      <c r="BY80" s="172">
        <f ca="1">IF(OR($D80&lt;&gt;"Serviço",AND(AUTOEVENTO="Manual",$M80=$A$15),$M80&gt;(ROW(PLE.lastrow)-ROW(PLE.firstrow))),0,
           IF(OFFSET(PLE!$G$15,$M80-$A$15,BY$13)="",10^12,OFFSET(PLE!$G$15,$M80-$A$15,BY$13)))</f>
        <v>1000000000000</v>
      </c>
      <c r="BZ80" s="172">
        <f ca="1">IF(OR($D80&lt;&gt;"Serviço",AND(AUTOEVENTO="Manual",$M80=$A$15),$M80&gt;(ROW(PLE.lastrow)-ROW(PLE.firstrow))),0,
           IF(OFFSET(PLE!$G$15,$M80-$A$15,BZ$13)="",10^12,OFFSET(PLE!$G$15,$M80-$A$15,BZ$13)))</f>
        <v>1000000000000</v>
      </c>
      <c r="CA80" s="172">
        <f ca="1">IF(OR($D80&lt;&gt;"Serviço",AND(AUTOEVENTO="Manual",$M80=$A$15),$M80&gt;(ROW(PLE.lastrow)-ROW(PLE.firstrow))),0,
           IF(OFFSET(PLE!$G$15,$M80-$A$15,CA$13)="",10^12,OFFSET(PLE!$G$15,$M80-$A$15,CA$13)))</f>
        <v>1000000000000</v>
      </c>
      <c r="CB80" s="172">
        <f ca="1">IF(OR($D80&lt;&gt;"Serviço",AND(AUTOEVENTO="Manual",$M80=$A$15),$M80&gt;(ROW(PLE.lastrow)-ROW(PLE.firstrow))),0,
           IF(OFFSET(PLE!$G$15,$M80-$A$15,CB$13)="",10^12,OFFSET(PLE!$G$15,$M80-$A$15,CB$13)))</f>
        <v>1000000000000</v>
      </c>
      <c r="CC80" s="172">
        <f ca="1">IF(OR($D80&lt;&gt;"Serviço",AND(AUTOEVENTO="Manual",$M80=$A$15),$M80&gt;(ROW(PLE.lastrow)-ROW(PLE.firstrow))),0,
           IF(OFFSET(PLE!$G$15,$M80-$A$15,CC$13)="",10^12,OFFSET(PLE!$G$15,$M80-$A$15,CC$13)))</f>
        <v>1000000000000</v>
      </c>
      <c r="CD80" s="172">
        <f ca="1">IF(OR($D80&lt;&gt;"Serviço",AND(AUTOEVENTO="Manual",$M80=$A$15),$M80&gt;(ROW(PLE.lastrow)-ROW(PLE.firstrow))),0,
           IF(OFFSET(PLE!$G$15,$M80-$A$15,CD$13)="",10^12,OFFSET(PLE!$G$15,$M80-$A$15,CD$13)))</f>
        <v>1000000000000</v>
      </c>
      <c r="CE80" s="172">
        <f ca="1">IF(OR($D80&lt;&gt;"Serviço",AND(AUTOEVENTO="Manual",$M80=$A$15),$M80&gt;(ROW(PLE.lastrow)-ROW(PLE.firstrow))),0,
           IF(OFFSET(PLE!$G$15,$M80-$A$15,CE$13)="",10^12,OFFSET(PLE!$G$15,$M80-$A$15,CE$13)))</f>
        <v>1000000000000</v>
      </c>
      <c r="CF80" s="172">
        <f ca="1">IF(OR($D80&lt;&gt;"Serviço",AND(AUTOEVENTO="Manual",$M80=$A$15),$M80&gt;(ROW(PLE.lastrow)-ROW(PLE.firstrow))),0,
           IF(OFFSET(PLE!$G$15,$M80-$A$15,CF$13)="",10^12,OFFSET(PLE!$G$15,$M80-$A$15,CF$13)))</f>
        <v>1000000000000</v>
      </c>
      <c r="CG80" s="172">
        <f ca="1">IF(OR($D80&lt;&gt;"Serviço",AND(AUTOEVENTO="Manual",$M80=$A$15),$M80&gt;(ROW(PLE.lastrow)-ROW(PLE.firstrow))),0,
           IF(OFFSET(PLE!$G$15,$M80-$A$15,CG$13)="",10^12,OFFSET(PLE!$G$15,$M80-$A$15,CG$13)))</f>
        <v>1000000000000</v>
      </c>
      <c r="CH80" s="172">
        <f ca="1">IF(OR($D80&lt;&gt;"Serviço",AND(AUTOEVENTO="Manual",$M80=$A$15),$M80&gt;(ROW(PLE.lastrow)-ROW(PLE.firstrow))),0,
           IF(OFFSET(PLE!$G$15,$M80-$A$15,CH$13)="",10^12,OFFSET(PLE!$G$15,$M80-$A$15,CH$13)))</f>
        <v>1000000000000</v>
      </c>
      <c r="CI80" s="172">
        <f ca="1">IF(OR($D80&lt;&gt;"Serviço",AND(AUTOEVENTO="Manual",$M80=$A$15),$M80&gt;(ROW(PLE.lastrow)-ROW(PLE.firstrow))),0,
           IF(OFFSET(PLE!$G$15,$M80-$A$15,CI$13)="",10^12,OFFSET(PLE!$G$15,$M80-$A$15,CI$13)))</f>
        <v>1000000000000</v>
      </c>
      <c r="CJ80" s="172">
        <f ca="1">IF(OR($D80&lt;&gt;"Serviço",AND(AUTOEVENTO="Manual",$M80=$A$15),$M80&gt;(ROW(PLE.lastrow)-ROW(PLE.firstrow))),0,
           IF(OFFSET(PLE!$G$15,$M80-$A$15,CJ$13)="",10^12,OFFSET(PLE!$G$15,$M80-$A$15,CJ$13)))</f>
        <v>1000000000000</v>
      </c>
      <c r="CK80" s="172">
        <f ca="1">IF(OR($D80&lt;&gt;"Serviço",AND(AUTOEVENTO="Manual",$M80=$A$15),$M80&gt;(ROW(PLE.lastrow)-ROW(PLE.firstrow))),0,
           IF(OFFSET(PLE!$G$15,$M80-$A$15,CK$13)="",10^12,OFFSET(PLE!$G$15,$M80-$A$15,CK$13)))</f>
        <v>1000000000000</v>
      </c>
      <c r="CL80" s="172">
        <f ca="1">IF(OR($D80&lt;&gt;"Serviço",AND(AUTOEVENTO="Manual",$M80=$A$15),$M80&gt;(ROW(PLE.lastrow)-ROW(PLE.firstrow))),0,
           IF(OFFSET(PLE!$G$15,$M80-$A$15,CL$13)="",10^12,OFFSET(PLE!$G$15,$M80-$A$15,CL$13)))</f>
        <v>1000000000000</v>
      </c>
      <c r="CM80" s="172">
        <f ca="1">IF(OR($D80&lt;&gt;"Serviço",AND(AUTOEVENTO="Manual",$M80=$A$15),$M80&gt;(ROW(PLE.lastrow)-ROW(PLE.firstrow))),0,
           IF(OFFSET(PLE!$G$15,$M80-$A$15,CM$13)="",10^12,OFFSET(PLE!$G$15,$M80-$A$15,CM$13)))</f>
        <v>1000000000000</v>
      </c>
    </row>
    <row r="81" spans="1:91" ht="26.4" x14ac:dyDescent="0.25">
      <c r="A81" s="7" t="str">
        <f t="shared" ca="1" si="11"/>
        <v>59</v>
      </c>
      <c r="B81" s="7" t="str">
        <f ca="1">OFFSET(ORÇAMENTO!C$15,ROW(B81)-ROW(B$15),0)</f>
        <v>S</v>
      </c>
      <c r="C81" s="7" t="str">
        <f ca="1">OFFSET(ORÇAMENTO!L$15,ROW(C81)-ROW(C$15),0)</f>
        <v>F</v>
      </c>
      <c r="D81" s="116" t="str">
        <f ca="1">OFFSET(ORÇAMENTO!N$15,ROW(D81)-ROW(D$15),0)</f>
        <v>Serviço</v>
      </c>
      <c r="E81" s="117" t="str">
        <f ca="1">OFFSET(ORÇAMENTO!O$15,ROW(E81)-ROW(E$15),0)</f>
        <v>2.4.7.</v>
      </c>
      <c r="F81" s="163" t="str">
        <f ca="1">OFFSET(ORÇAMENTO!R$15,ROW(F81)-ROW(F$15),0)</f>
        <v>Transporte de material betuminoso com caminhão tanque distribuidor - rodovia pavimentada</v>
      </c>
      <c r="G81" s="164" t="str">
        <f ca="1">IF($D81&lt;&gt;"Serviço","",OFFSET(ORÇAMENTO!S$15,ROW(G81)-ROW(G$15),0))</f>
        <v>tkm</v>
      </c>
      <c r="H81" s="122" cm="1">
        <f t="array" aca="1" ref="H81" ca="1">IF($D81&lt;&gt;"Serviço",0,IF(ACOMPANHAMENTO="BM",ROUND(OFFSET(ORÇAMENTO!AJ$15,ROW(H81)-ROW(H$15),0),15-13*ORÇAMENTO!$AF$7),SUMPRODUCT(($Q$1:$AI$1=1)*ROUND($Q81:$AI81,15-13*ORÇAMENTO!$AF$7))))</f>
        <v>168.96</v>
      </c>
      <c r="I81" s="468"/>
      <c r="J81" s="651" t="e" cm="1">
        <f t="array" aca="1" ref="J81" ca="1">IF(OR(B81&lt;&gt;"S",CÁLCULO.FrentesPreenchidas=0),"",IF(AND(ACOMPANHAMENTO="PLE",AUTOEVENTO="Manual",OR(H81&gt;0,ORÇAMENTO!AC81="QUANT."),OR(K81="",M81=0,N81="")),"►E",IF(AND(ACOMPANHAMENTO="PLE",ORÇAMENTO!AC81="QUANT."),"►Q",IF(AND(ACOMPANHAMENTO="PLE",H81&lt;&gt;SUMPRODUCT(($Q$1:$AI$1=1)*ROUND(Q81:AI81,15))),"►S",IF(AND(COUNTIF($P$11:$AI$11,"▼")=0,H81&gt;0,I81=""),"◄M","")))))</f>
        <v>#NAME?</v>
      </c>
      <c r="K81" s="652"/>
      <c r="L81" s="165" t="s">
        <v>764</v>
      </c>
      <c r="M81" s="166">
        <f ca="1">IF($D81&lt;&gt;"Serviço","",
          IF(AUTOEVENTO="manual",$A81,
                IF(ISERROR(MATCH($A81,$A$15:OFFSET($A81,-1,0),0)),MAX($M$15:OFFSET(M81,-1,0))+1,
                      INDEX($M$15:OFFSET(M81,-1,0),MATCH($A81,$A$15:OFFSET($A81,-1,0),0)))))</f>
        <v>11</v>
      </c>
      <c r="N81" s="167" t="str">
        <f ca="1">IF($D81&lt;&gt;"Serviço","",
         IF(AUTOEVENTO="Manual",
                IF($A81=0,"&lt;-- defina o número do agrupador",
                       OFFSET(EVENTOS!$D$15,$A81-$A$15,0)),
                OFFSET($F$15,$A81,0)))</f>
        <v>LOMBADAS TIPO A (3,70m de comprimento x 0,10m altura)</v>
      </c>
      <c r="O81" s="168"/>
      <c r="Q81" s="168"/>
      <c r="R81" s="169"/>
      <c r="S81" s="169"/>
      <c r="T81" s="169">
        <f>TRUNC(T80/1000*337,2)</f>
        <v>168.96</v>
      </c>
      <c r="U81" s="169"/>
      <c r="V81" s="169"/>
      <c r="W81" s="169"/>
      <c r="X81" s="169"/>
      <c r="Y81" s="169"/>
      <c r="Z81" s="170"/>
      <c r="AA81" s="169"/>
      <c r="AB81" s="169"/>
      <c r="AC81" s="169"/>
      <c r="AD81" s="169"/>
      <c r="AE81" s="169"/>
      <c r="AF81" s="169"/>
      <c r="AG81" s="169"/>
      <c r="AH81" s="170"/>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L81" s="453">
        <f ca="1">IF(AND($D81="Serviço",AL$12&lt;&gt;0,$H81&gt;0,OR(AUTOEVENTO&lt;&gt;"manual",$M81&lt;&gt;$A$15)),
        IF(Import.TipoArredondamento&lt;&gt;"TransfereGOV",
              ROUND(OFFSET($P81,0,AL$13),15-13*ORÇAMENTO!$AF$7)/$H81*OFFSET(ORÇAMENTO!$X$15,ROW(AL81)-ROW(AL$15),0),
              ROUND(ROUND(OFFSET($P81,0,AL$13),15-13*ORÇAMENTO!$AF$7)*OFFSET(ORÇAMENTO!$W$15,ROW(AL81)-ROW(AL$15),0),15-13*ORÇAMENTO!$AF$11)),
         0)</f>
        <v>0</v>
      </c>
      <c r="AM81" s="453">
        <f ca="1">IF(AND($D81="Serviço",AM$12&lt;&gt;0,$H81&gt;0,OR(AUTOEVENTO&lt;&gt;"manual",$M81&lt;&gt;$A$15)),
        IF(Import.TipoArredondamento&lt;&gt;"TransfereGOV",
              ROUND(OFFSET($P81,0,AM$13),15-13*ORÇAMENTO!$AF$7)/$H81*OFFSET(ORÇAMENTO!$X$15,ROW(AM81)-ROW(AM$15),0),
              ROUND(ROUND(OFFSET($P81,0,AM$13),15-13*ORÇAMENTO!$AF$7)*OFFSET(ORÇAMENTO!$W$15,ROW(AM81)-ROW(AM$15),0),15-13*ORÇAMENTO!$AF$11)),
         0)</f>
        <v>430.85</v>
      </c>
      <c r="AN81" s="453">
        <f ca="1">IF(AND($D81="Serviço",AN$12&lt;&gt;0,$H81&gt;0,OR(AUTOEVENTO&lt;&gt;"manual",$M81&lt;&gt;$A$15)),
        IF(Import.TipoArredondamento&lt;&gt;"TransfereGOV",
              ROUND(OFFSET($P81,0,AN$13),15-13*ORÇAMENTO!$AF$7)/$H81*OFFSET(ORÇAMENTO!$X$15,ROW(AN81)-ROW(AN$15),0),
              ROUND(ROUND(OFFSET($P81,0,AN$13),15-13*ORÇAMENTO!$AF$7)*OFFSET(ORÇAMENTO!$W$15,ROW(AN81)-ROW(AN$15),0),15-13*ORÇAMENTO!$AF$11)),
         0)</f>
        <v>0</v>
      </c>
      <c r="AO81" s="453">
        <f ca="1">IF(AND($D81="Serviço",AO$12&lt;&gt;0,$H81&gt;0,OR(AUTOEVENTO&lt;&gt;"manual",$M81&lt;&gt;$A$15)),
        IF(Import.TipoArredondamento&lt;&gt;"TransfereGOV",
              ROUND(OFFSET($P81,0,AO$13),15-13*ORÇAMENTO!$AF$7)/$H81*OFFSET(ORÇAMENTO!$X$15,ROW(AO81)-ROW(AO$15),0),
              ROUND(ROUND(OFFSET($P81,0,AO$13),15-13*ORÇAMENTO!$AF$7)*OFFSET(ORÇAMENTO!$W$15,ROW(AO81)-ROW(AO$15),0),15-13*ORÇAMENTO!$AF$11)),
         0)</f>
        <v>0</v>
      </c>
      <c r="AP81" s="453">
        <f ca="1">IF(AND($D81="Serviço",AP$12&lt;&gt;0,$H81&gt;0,OR(AUTOEVENTO&lt;&gt;"manual",$M81&lt;&gt;$A$15)),
        IF(Import.TipoArredondamento&lt;&gt;"TransfereGOV",
              ROUND(OFFSET($P81,0,AP$13),15-13*ORÇAMENTO!$AF$7)/$H81*OFFSET(ORÇAMENTO!$X$15,ROW(AP81)-ROW(AP$15),0),
              ROUND(ROUND(OFFSET($P81,0,AP$13),15-13*ORÇAMENTO!$AF$7)*OFFSET(ORÇAMENTO!$W$15,ROW(AP81)-ROW(AP$15),0),15-13*ORÇAMENTO!$AF$11)),
         0)</f>
        <v>0</v>
      </c>
      <c r="AQ81" s="453">
        <f ca="1">IF(AND($D81="Serviço",AQ$12&lt;&gt;0,$H81&gt;0,OR(AUTOEVENTO&lt;&gt;"manual",$M81&lt;&gt;$A$15)),
        IF(Import.TipoArredondamento&lt;&gt;"TransfereGOV",
              ROUND(OFFSET($P81,0,AQ$13),15-13*ORÇAMENTO!$AF$7)/$H81*OFFSET(ORÇAMENTO!$X$15,ROW(AQ81)-ROW(AQ$15),0),
              ROUND(ROUND(OFFSET($P81,0,AQ$13),15-13*ORÇAMENTO!$AF$7)*OFFSET(ORÇAMENTO!$W$15,ROW(AQ81)-ROW(AQ$15),0),15-13*ORÇAMENTO!$AF$11)),
         0)</f>
        <v>0</v>
      </c>
      <c r="AR81" s="453">
        <f ca="1">IF(AND($D81="Serviço",AR$12&lt;&gt;0,$H81&gt;0,OR(AUTOEVENTO&lt;&gt;"manual",$M81&lt;&gt;$A$15)),
        IF(Import.TipoArredondamento&lt;&gt;"TransfereGOV",
              ROUND(OFFSET($P81,0,AR$13),15-13*ORÇAMENTO!$AF$7)/$H81*OFFSET(ORÇAMENTO!$X$15,ROW(AR81)-ROW(AR$15),0),
              ROUND(ROUND(OFFSET($P81,0,AR$13),15-13*ORÇAMENTO!$AF$7)*OFFSET(ORÇAMENTO!$W$15,ROW(AR81)-ROW(AR$15),0),15-13*ORÇAMENTO!$AF$11)),
         0)</f>
        <v>0</v>
      </c>
      <c r="AS81" s="453">
        <f ca="1">IF(AND($D81="Serviço",AS$12&lt;&gt;0,$H81&gt;0,OR(AUTOEVENTO&lt;&gt;"manual",$M81&lt;&gt;$A$15)),
        IF(Import.TipoArredondamento&lt;&gt;"TransfereGOV",
              ROUND(OFFSET($P81,0,AS$13),15-13*ORÇAMENTO!$AF$7)/$H81*OFFSET(ORÇAMENTO!$X$15,ROW(AS81)-ROW(AS$15),0),
              ROUND(ROUND(OFFSET($P81,0,AS$13),15-13*ORÇAMENTO!$AF$7)*OFFSET(ORÇAMENTO!$W$15,ROW(AS81)-ROW(AS$15),0),15-13*ORÇAMENTO!$AF$11)),
         0)</f>
        <v>0</v>
      </c>
      <c r="AT81" s="453">
        <f ca="1">IF(AND($D81="Serviço",AT$12&lt;&gt;0,$H81&gt;0,OR(AUTOEVENTO&lt;&gt;"manual",$M81&lt;&gt;$A$15)),
        IF(Import.TipoArredondamento&lt;&gt;"TransfereGOV",
              ROUND(OFFSET($P81,0,AT$13),15-13*ORÇAMENTO!$AF$7)/$H81*OFFSET(ORÇAMENTO!$X$15,ROW(AT81)-ROW(AT$15),0),
              ROUND(ROUND(OFFSET($P81,0,AT$13),15-13*ORÇAMENTO!$AF$7)*OFFSET(ORÇAMENTO!$W$15,ROW(AT81)-ROW(AT$15),0),15-13*ORÇAMENTO!$AF$11)),
         0)</f>
        <v>0</v>
      </c>
      <c r="AU81" s="453">
        <f ca="1">IF(AND($D81="Serviço",AU$12&lt;&gt;0,$H81&gt;0,OR(AUTOEVENTO&lt;&gt;"manual",$M81&lt;&gt;$A$15)),
        IF(Import.TipoArredondamento&lt;&gt;"TransfereGOV",
              ROUND(OFFSET($P81,0,AU$13),15-13*ORÇAMENTO!$AF$7)/$H81*OFFSET(ORÇAMENTO!$X$15,ROW(AU81)-ROW(AU$15),0),
              ROUND(ROUND(OFFSET($P81,0,AU$13),15-13*ORÇAMENTO!$AF$7)*OFFSET(ORÇAMENTO!$W$15,ROW(AU81)-ROW(AU$15),0),15-13*ORÇAMENTO!$AF$11)),
         0)</f>
        <v>0</v>
      </c>
      <c r="AV81" s="453">
        <f ca="1">IF(AND($D81="Serviço",AV$12&lt;&gt;0,$H81&gt;0,OR(AUTOEVENTO&lt;&gt;"manual",$M81&lt;&gt;$A$15)),
        IF(Import.TipoArredondamento&lt;&gt;"TransfereGOV",
              ROUND(OFFSET($P81,0,AV$13),15-13*ORÇAMENTO!$AF$7)/$H81*OFFSET(ORÇAMENTO!$X$15,ROW(AV81)-ROW(AV$15),0),
              ROUND(ROUND(OFFSET($P81,0,AV$13),15-13*ORÇAMENTO!$AF$7)*OFFSET(ORÇAMENTO!$W$15,ROW(AV81)-ROW(AV$15),0),15-13*ORÇAMENTO!$AF$11)),
         0)</f>
        <v>0</v>
      </c>
      <c r="AW81" s="453">
        <f ca="1">IF(AND($D81="Serviço",AW$12&lt;&gt;0,$H81&gt;0,OR(AUTOEVENTO&lt;&gt;"manual",$M81&lt;&gt;$A$15)),
        IF(Import.TipoArredondamento&lt;&gt;"TransfereGOV",
              ROUND(OFFSET($P81,0,AW$13),15-13*ORÇAMENTO!$AF$7)/$H81*OFFSET(ORÇAMENTO!$X$15,ROW(AW81)-ROW(AW$15),0),
              ROUND(ROUND(OFFSET($P81,0,AW$13),15-13*ORÇAMENTO!$AF$7)*OFFSET(ORÇAMENTO!$W$15,ROW(AW81)-ROW(AW$15),0),15-13*ORÇAMENTO!$AF$11)),
         0)</f>
        <v>0</v>
      </c>
      <c r="AX81" s="453">
        <f ca="1">IF(AND($D81="Serviço",AX$12&lt;&gt;0,$H81&gt;0,OR(AUTOEVENTO&lt;&gt;"manual",$M81&lt;&gt;$A$15)),
        IF(Import.TipoArredondamento&lt;&gt;"TransfereGOV",
              ROUND(OFFSET($P81,0,AX$13),15-13*ORÇAMENTO!$AF$7)/$H81*OFFSET(ORÇAMENTO!$X$15,ROW(AX81)-ROW(AX$15),0),
              ROUND(ROUND(OFFSET($P81,0,AX$13),15-13*ORÇAMENTO!$AF$7)*OFFSET(ORÇAMENTO!$W$15,ROW(AX81)-ROW(AX$15),0),15-13*ORÇAMENTO!$AF$11)),
         0)</f>
        <v>0</v>
      </c>
      <c r="AY81" s="453">
        <f ca="1">IF(AND($D81="Serviço",AY$12&lt;&gt;0,$H81&gt;0,OR(AUTOEVENTO&lt;&gt;"manual",$M81&lt;&gt;$A$15)),
        IF(Import.TipoArredondamento&lt;&gt;"TransfereGOV",
              ROUND(OFFSET($P81,0,AY$13),15-13*ORÇAMENTO!$AF$7)/$H81*OFFSET(ORÇAMENTO!$X$15,ROW(AY81)-ROW(AY$15),0),
              ROUND(ROUND(OFFSET($P81,0,AY$13),15-13*ORÇAMENTO!$AF$7)*OFFSET(ORÇAMENTO!$W$15,ROW(AY81)-ROW(AY$15),0),15-13*ORÇAMENTO!$AF$11)),
         0)</f>
        <v>0</v>
      </c>
      <c r="AZ81" s="453">
        <f ca="1">IF(AND($D81="Serviço",AZ$12&lt;&gt;0,$H81&gt;0,OR(AUTOEVENTO&lt;&gt;"manual",$M81&lt;&gt;$A$15)),
        IF(Import.TipoArredondamento&lt;&gt;"TransfereGOV",
              ROUND(OFFSET($P81,0,AZ$13),15-13*ORÇAMENTO!$AF$7)/$H81*OFFSET(ORÇAMENTO!$X$15,ROW(AZ81)-ROW(AZ$15),0),
              ROUND(ROUND(OFFSET($P81,0,AZ$13),15-13*ORÇAMENTO!$AF$7)*OFFSET(ORÇAMENTO!$W$15,ROW(AZ81)-ROW(AZ$15),0),15-13*ORÇAMENTO!$AF$11)),
         0)</f>
        <v>0</v>
      </c>
      <c r="BA81" s="453">
        <f ca="1">IF(AND($D81="Serviço",BA$12&lt;&gt;0,$H81&gt;0,OR(AUTOEVENTO&lt;&gt;"manual",$M81&lt;&gt;$A$15)),
        IF(Import.TipoArredondamento&lt;&gt;"TransfereGOV",
              ROUND(OFFSET($P81,0,BA$13),15-13*ORÇAMENTO!$AF$7)/$H81*OFFSET(ORÇAMENTO!$X$15,ROW(BA81)-ROW(BA$15),0),
              ROUND(ROUND(OFFSET($P81,0,BA$13),15-13*ORÇAMENTO!$AF$7)*OFFSET(ORÇAMENTO!$W$15,ROW(BA81)-ROW(BA$15),0),15-13*ORÇAMENTO!$AF$11)),
         0)</f>
        <v>0</v>
      </c>
      <c r="BC81" s="171">
        <f ca="1">IF(OR($D81&lt;&gt;"Serviço",AND(AUTOEVENTO="Manual",$M81=$A$15)),0,
         IF(OFFSET(CRONOPLE!$F$15,$M81-$A$15,BC$13)=0,10^12,OFFSET(CRONOPLE!$F$15,$M81-$A$15,BC$13)))</f>
        <v>1000000000000</v>
      </c>
      <c r="BD81" s="171">
        <f ca="1">IF(OR($D81&lt;&gt;"Serviço",AND(AUTOEVENTO="Manual",$M81=$A$15)),0,
         IF(OFFSET(CRONOPLE!$F$15,$M81-$A$15,BD$13)=0,10^12,OFFSET(CRONOPLE!$F$15,$M81-$A$15,BD$13)))</f>
        <v>1000000000000</v>
      </c>
      <c r="BE81" s="171">
        <f ca="1">IF(OR($D81&lt;&gt;"Serviço",AND(AUTOEVENTO="Manual",$M81=$A$15)),0,
         IF(OFFSET(CRONOPLE!$F$15,$M81-$A$15,BE$13)=0,10^12,OFFSET(CRONOPLE!$F$15,$M81-$A$15,BE$13)))</f>
        <v>1000000000000</v>
      </c>
      <c r="BF81" s="171">
        <f ca="1">IF(OR($D81&lt;&gt;"Serviço",AND(AUTOEVENTO="Manual",$M81=$A$15)),0,
         IF(OFFSET(CRONOPLE!$F$15,$M81-$A$15,BF$13)=0,10^12,OFFSET(CRONOPLE!$F$15,$M81-$A$15,BF$13)))</f>
        <v>2</v>
      </c>
      <c r="BG81" s="171">
        <f ca="1">IF(OR($D81&lt;&gt;"Serviço",AND(AUTOEVENTO="Manual",$M81=$A$15)),0,
         IF(OFFSET(CRONOPLE!$F$15,$M81-$A$15,BG$13)=0,10^12,OFFSET(CRONOPLE!$F$15,$M81-$A$15,BG$13)))</f>
        <v>1000000000000</v>
      </c>
      <c r="BH81" s="171">
        <f ca="1">IF(OR($D81&lt;&gt;"Serviço",AND(AUTOEVENTO="Manual",$M81=$A$15)),0,
         IF(OFFSET(CRONOPLE!$F$15,$M81-$A$15,BH$13)=0,10^12,OFFSET(CRONOPLE!$F$15,$M81-$A$15,BH$13)))</f>
        <v>1000000000000</v>
      </c>
      <c r="BI81" s="171">
        <f ca="1">IF(OR($D81&lt;&gt;"Serviço",AND(AUTOEVENTO="Manual",$M81=$A$15)),0,
         IF(OFFSET(CRONOPLE!$F$15,$M81-$A$15,BI$13)=0,10^12,OFFSET(CRONOPLE!$F$15,$M81-$A$15,BI$13)))</f>
        <v>1000000000000</v>
      </c>
      <c r="BJ81" s="171">
        <f ca="1">IF(OR($D81&lt;&gt;"Serviço",AND(AUTOEVENTO="Manual",$M81=$A$15)),0,
         IF(OFFSET(CRONOPLE!$F$15,$M81-$A$15,BJ$13)=0,10^12,OFFSET(CRONOPLE!$F$15,$M81-$A$15,BJ$13)))</f>
        <v>1000000000000</v>
      </c>
      <c r="BK81" s="171">
        <f ca="1">IF(OR($D81&lt;&gt;"Serviço",AND(AUTOEVENTO="Manual",$M81=$A$15)),0,
         IF(OFFSET(CRONOPLE!$F$15,$M81-$A$15,BK$13)=0,10^12,OFFSET(CRONOPLE!$F$15,$M81-$A$15,BK$13)))</f>
        <v>1000000000000</v>
      </c>
      <c r="BL81" s="171">
        <f ca="1">IF(OR($D81&lt;&gt;"Serviço",AND(AUTOEVENTO="Manual",$M81=$A$15)),0,
         IF(OFFSET(CRONOPLE!$F$15,$M81-$A$15,BL$13)=0,10^12,OFFSET(CRONOPLE!$F$15,$M81-$A$15,BL$13)))</f>
        <v>1000000000000</v>
      </c>
      <c r="BM81" s="171">
        <f ca="1">IF(OR($D81&lt;&gt;"Serviço",AND(AUTOEVENTO="Manual",$M81=$A$15)),0,
         IF(OFFSET(CRONOPLE!$F$15,$M81-$A$15,BM$13)=0,10^12,OFFSET(CRONOPLE!$F$15,$M81-$A$15,BM$13)))</f>
        <v>1000000000000</v>
      </c>
      <c r="BN81" s="171">
        <f ca="1">IF(OR($D81&lt;&gt;"Serviço",AND(AUTOEVENTO="Manual",$M81=$A$15)),0,
         IF(OFFSET(CRONOPLE!$F$15,$M81-$A$15,BN$13)=0,10^12,OFFSET(CRONOPLE!$F$15,$M81-$A$15,BN$13)))</f>
        <v>1000000000000</v>
      </c>
      <c r="BO81" s="171">
        <f ca="1">IF(OR($D81&lt;&gt;"Serviço",AND(AUTOEVENTO="Manual",$M81=$A$15)),0,
         IF(OFFSET(CRONOPLE!$F$15,$M81-$A$15,BO$13)=0,10^12,OFFSET(CRONOPLE!$F$15,$M81-$A$15,BO$13)))</f>
        <v>1000000000000</v>
      </c>
      <c r="BP81" s="171">
        <f ca="1">IF(OR($D81&lt;&gt;"Serviço",AND(AUTOEVENTO="Manual",$M81=$A$15)),0,
         IF(OFFSET(CRONOPLE!$F$15,$M81-$A$15,BP$13)=0,10^12,OFFSET(CRONOPLE!$F$15,$M81-$A$15,BP$13)))</f>
        <v>1000000000000</v>
      </c>
      <c r="BQ81" s="171">
        <f ca="1">IF(OR($D81&lt;&gt;"Serviço",AND(AUTOEVENTO="Manual",$M81=$A$15)),0,
         IF(OFFSET(CRONOPLE!$F$15,$M81-$A$15,BQ$13)=0,10^12,OFFSET(CRONOPLE!$F$15,$M81-$A$15,BQ$13)))</f>
        <v>1000000000000</v>
      </c>
      <c r="BR81" s="171">
        <f ca="1">IF(OR($D81&lt;&gt;"Serviço",AND(AUTOEVENTO="Manual",$M81=$A$15)),0,
         IF(OFFSET(CRONOPLE!$F$15,$M81-$A$15,BR$13)=0,10^12,OFFSET(CRONOPLE!$F$15,$M81-$A$15,BR$13)))</f>
        <v>1000000000000</v>
      </c>
      <c r="BS81" s="171">
        <f ca="1">IF(OR($D81&lt;&gt;"Serviço",AND(AUTOEVENTO="Manual",$M81=$A$15)),0,
         IF(OFFSET(CRONOPLE!$F$15,$M81-$A$15,BS$13)=0,10^12,OFFSET(CRONOPLE!$F$15,$M81-$A$15,BS$13)))</f>
        <v>1000000000000</v>
      </c>
      <c r="BT81" s="171">
        <f ca="1">IF(OR($D81&lt;&gt;"Serviço",AND(AUTOEVENTO="Manual",$M81=$A$15)),0,
         IF(OFFSET(CRONOPLE!$F$15,$M81-$A$15,BT$13)=0,10^12,OFFSET(CRONOPLE!$F$15,$M81-$A$15,BT$13)))</f>
        <v>1000000000000</v>
      </c>
      <c r="BV81" s="172">
        <f ca="1">IF(OR($D81&lt;&gt;"Serviço",AND(AUTOEVENTO="Manual",$M81=$A$15),$M81&gt;(ROW(PLE.lastrow)-ROW(PLE.firstrow))),0,
           IF(OFFSET(PLE!$G$15,$M81-$A$15,BV$13)="",10^12,OFFSET(PLE!$G$15,$M81-$A$15,BV$13)))</f>
        <v>1000000000000</v>
      </c>
      <c r="BW81" s="172">
        <f ca="1">IF(OR($D81&lt;&gt;"Serviço",AND(AUTOEVENTO="Manual",$M81=$A$15),$M81&gt;(ROW(PLE.lastrow)-ROW(PLE.firstrow))),0,
           IF(OFFSET(PLE!$G$15,$M81-$A$15,BW$13)="",10^12,OFFSET(PLE!$G$15,$M81-$A$15,BW$13)))</f>
        <v>1000000000000</v>
      </c>
      <c r="BX81" s="172">
        <f ca="1">IF(OR($D81&lt;&gt;"Serviço",AND(AUTOEVENTO="Manual",$M81=$A$15),$M81&gt;(ROW(PLE.lastrow)-ROW(PLE.firstrow))),0,
           IF(OFFSET(PLE!$G$15,$M81-$A$15,BX$13)="",10^12,OFFSET(PLE!$G$15,$M81-$A$15,BX$13)))</f>
        <v>1000000000000</v>
      </c>
      <c r="BY81" s="172">
        <f ca="1">IF(OR($D81&lt;&gt;"Serviço",AND(AUTOEVENTO="Manual",$M81=$A$15),$M81&gt;(ROW(PLE.lastrow)-ROW(PLE.firstrow))),0,
           IF(OFFSET(PLE!$G$15,$M81-$A$15,BY$13)="",10^12,OFFSET(PLE!$G$15,$M81-$A$15,BY$13)))</f>
        <v>1000000000000</v>
      </c>
      <c r="BZ81" s="172">
        <f ca="1">IF(OR($D81&lt;&gt;"Serviço",AND(AUTOEVENTO="Manual",$M81=$A$15),$M81&gt;(ROW(PLE.lastrow)-ROW(PLE.firstrow))),0,
           IF(OFFSET(PLE!$G$15,$M81-$A$15,BZ$13)="",10^12,OFFSET(PLE!$G$15,$M81-$A$15,BZ$13)))</f>
        <v>1000000000000</v>
      </c>
      <c r="CA81" s="172">
        <f ca="1">IF(OR($D81&lt;&gt;"Serviço",AND(AUTOEVENTO="Manual",$M81=$A$15),$M81&gt;(ROW(PLE.lastrow)-ROW(PLE.firstrow))),0,
           IF(OFFSET(PLE!$G$15,$M81-$A$15,CA$13)="",10^12,OFFSET(PLE!$G$15,$M81-$A$15,CA$13)))</f>
        <v>1000000000000</v>
      </c>
      <c r="CB81" s="172">
        <f ca="1">IF(OR($D81&lt;&gt;"Serviço",AND(AUTOEVENTO="Manual",$M81=$A$15),$M81&gt;(ROW(PLE.lastrow)-ROW(PLE.firstrow))),0,
           IF(OFFSET(PLE!$G$15,$M81-$A$15,CB$13)="",10^12,OFFSET(PLE!$G$15,$M81-$A$15,CB$13)))</f>
        <v>1000000000000</v>
      </c>
      <c r="CC81" s="172">
        <f ca="1">IF(OR($D81&lt;&gt;"Serviço",AND(AUTOEVENTO="Manual",$M81=$A$15),$M81&gt;(ROW(PLE.lastrow)-ROW(PLE.firstrow))),0,
           IF(OFFSET(PLE!$G$15,$M81-$A$15,CC$13)="",10^12,OFFSET(PLE!$G$15,$M81-$A$15,CC$13)))</f>
        <v>1000000000000</v>
      </c>
      <c r="CD81" s="172">
        <f ca="1">IF(OR($D81&lt;&gt;"Serviço",AND(AUTOEVENTO="Manual",$M81=$A$15),$M81&gt;(ROW(PLE.lastrow)-ROW(PLE.firstrow))),0,
           IF(OFFSET(PLE!$G$15,$M81-$A$15,CD$13)="",10^12,OFFSET(PLE!$G$15,$M81-$A$15,CD$13)))</f>
        <v>1000000000000</v>
      </c>
      <c r="CE81" s="172">
        <f ca="1">IF(OR($D81&lt;&gt;"Serviço",AND(AUTOEVENTO="Manual",$M81=$A$15),$M81&gt;(ROW(PLE.lastrow)-ROW(PLE.firstrow))),0,
           IF(OFFSET(PLE!$G$15,$M81-$A$15,CE$13)="",10^12,OFFSET(PLE!$G$15,$M81-$A$15,CE$13)))</f>
        <v>1000000000000</v>
      </c>
      <c r="CF81" s="172">
        <f ca="1">IF(OR($D81&lt;&gt;"Serviço",AND(AUTOEVENTO="Manual",$M81=$A$15),$M81&gt;(ROW(PLE.lastrow)-ROW(PLE.firstrow))),0,
           IF(OFFSET(PLE!$G$15,$M81-$A$15,CF$13)="",10^12,OFFSET(PLE!$G$15,$M81-$A$15,CF$13)))</f>
        <v>1000000000000</v>
      </c>
      <c r="CG81" s="172">
        <f ca="1">IF(OR($D81&lt;&gt;"Serviço",AND(AUTOEVENTO="Manual",$M81=$A$15),$M81&gt;(ROW(PLE.lastrow)-ROW(PLE.firstrow))),0,
           IF(OFFSET(PLE!$G$15,$M81-$A$15,CG$13)="",10^12,OFFSET(PLE!$G$15,$M81-$A$15,CG$13)))</f>
        <v>1000000000000</v>
      </c>
      <c r="CH81" s="172">
        <f ca="1">IF(OR($D81&lt;&gt;"Serviço",AND(AUTOEVENTO="Manual",$M81=$A$15),$M81&gt;(ROW(PLE.lastrow)-ROW(PLE.firstrow))),0,
           IF(OFFSET(PLE!$G$15,$M81-$A$15,CH$13)="",10^12,OFFSET(PLE!$G$15,$M81-$A$15,CH$13)))</f>
        <v>1000000000000</v>
      </c>
      <c r="CI81" s="172">
        <f ca="1">IF(OR($D81&lt;&gt;"Serviço",AND(AUTOEVENTO="Manual",$M81=$A$15),$M81&gt;(ROW(PLE.lastrow)-ROW(PLE.firstrow))),0,
           IF(OFFSET(PLE!$G$15,$M81-$A$15,CI$13)="",10^12,OFFSET(PLE!$G$15,$M81-$A$15,CI$13)))</f>
        <v>1000000000000</v>
      </c>
      <c r="CJ81" s="172">
        <f ca="1">IF(OR($D81&lt;&gt;"Serviço",AND(AUTOEVENTO="Manual",$M81=$A$15),$M81&gt;(ROW(PLE.lastrow)-ROW(PLE.firstrow))),0,
           IF(OFFSET(PLE!$G$15,$M81-$A$15,CJ$13)="",10^12,OFFSET(PLE!$G$15,$M81-$A$15,CJ$13)))</f>
        <v>1000000000000</v>
      </c>
      <c r="CK81" s="172">
        <f ca="1">IF(OR($D81&lt;&gt;"Serviço",AND(AUTOEVENTO="Manual",$M81=$A$15),$M81&gt;(ROW(PLE.lastrow)-ROW(PLE.firstrow))),0,
           IF(OFFSET(PLE!$G$15,$M81-$A$15,CK$13)="",10^12,OFFSET(PLE!$G$15,$M81-$A$15,CK$13)))</f>
        <v>1000000000000</v>
      </c>
      <c r="CL81" s="172">
        <f ca="1">IF(OR($D81&lt;&gt;"Serviço",AND(AUTOEVENTO="Manual",$M81=$A$15),$M81&gt;(ROW(PLE.lastrow)-ROW(PLE.firstrow))),0,
           IF(OFFSET(PLE!$G$15,$M81-$A$15,CL$13)="",10^12,OFFSET(PLE!$G$15,$M81-$A$15,CL$13)))</f>
        <v>1000000000000</v>
      </c>
      <c r="CM81" s="172">
        <f ca="1">IF(OR($D81&lt;&gt;"Serviço",AND(AUTOEVENTO="Manual",$M81=$A$15),$M81&gt;(ROW(PLE.lastrow)-ROW(PLE.firstrow))),0,
           IF(OFFSET(PLE!$G$15,$M81-$A$15,CM$13)="",10^12,OFFSET(PLE!$G$15,$M81-$A$15,CM$13)))</f>
        <v>1000000000000</v>
      </c>
    </row>
    <row r="82" spans="1:91" ht="13.2" x14ac:dyDescent="0.25">
      <c r="A82" s="7" t="str">
        <f t="shared" ca="1" si="11"/>
        <v>67.</v>
      </c>
      <c r="B82" s="7">
        <f ca="1">OFFSET(ORÇAMENTO!C$15,ROW(B82)-ROW(B$15),0)</f>
        <v>2</v>
      </c>
      <c r="C82" s="7" t="str">
        <f ca="1">OFFSET(ORÇAMENTO!L$15,ROW(C82)-ROW(C$15),0)</f>
        <v>F</v>
      </c>
      <c r="D82" s="116" t="str">
        <f ca="1">OFFSET(ORÇAMENTO!N$15,ROW(D82)-ROW(D$15),0)</f>
        <v>Nível 2</v>
      </c>
      <c r="E82" s="117" t="str">
        <f ca="1">OFFSET(ORÇAMENTO!O$15,ROW(E82)-ROW(E$15),0)</f>
        <v>2.5.</v>
      </c>
      <c r="F82" s="163" t="str">
        <f ca="1">OFFSET(ORÇAMENTO!R$15,ROW(F82)-ROW(F$15),0)</f>
        <v>SINALIZAÇÃO</v>
      </c>
      <c r="G82" s="164" t="str">
        <f ca="1">IF($D82&lt;&gt;"Serviço","",OFFSET(ORÇAMENTO!S$15,ROW(G82)-ROW(G$15),0))</f>
        <v/>
      </c>
      <c r="H82" s="122" cm="1">
        <f t="array" aca="1" ref="H82" ca="1">IF($D82&lt;&gt;"Serviço",0,IF(ACOMPANHAMENTO="BM",ROUND(OFFSET(ORÇAMENTO!AJ$15,ROW(H82)-ROW(H$15),0),15-13*ORÇAMENTO!$AF$7),SUMPRODUCT(($Q$1:$AI$1=1)*ROUND($Q82:$AI82,15-13*ORÇAMENTO!$AF$7))))</f>
        <v>0</v>
      </c>
      <c r="I82" s="468"/>
      <c r="J82" s="651" t="str" cm="1">
        <f t="array" aca="1" ref="J82" ca="1">IF(OR(B82&lt;&gt;"S",CÁLCULO.FrentesPreenchidas=0),"",IF(AND(ACOMPANHAMENTO="PLE",AUTOEVENTO="Manual",OR(H82&gt;0,ORÇAMENTO!AC82="QUANT."),OR(K82="",M82=0,N82="")),"►E",IF(AND(ACOMPANHAMENTO="PLE",ORÇAMENTO!AC82="QUANT."),"►Q",IF(AND(ACOMPANHAMENTO="PLE",H82&lt;&gt;SUMPRODUCT(($Q$1:$AI$1=1)*ROUND(Q82:AI82,15))),"►S",IF(AND(COUNTIF($P$11:$AI$11,"▼")=0,H82&gt;0,I82=""),"◄M","")))))</f>
        <v/>
      </c>
      <c r="K82" s="652"/>
      <c r="L82" s="165" t="s">
        <v>764</v>
      </c>
      <c r="M82" s="166" t="str">
        <f ca="1">IF($D82&lt;&gt;"Serviço","",
          IF(AUTOEVENTO="manual",$A82,
                IF(ISERROR(MATCH($A82,$A$15:OFFSET($A82,-1,0),0)),MAX($M$15:OFFSET(M82,-1,0))+1,
                      INDEX($M$15:OFFSET(M82,-1,0),MATCH($A82,$A$15:OFFSET($A82,-1,0),0)))))</f>
        <v/>
      </c>
      <c r="N82" s="167" t="str">
        <f ca="1">IF($D82&lt;&gt;"Serviço","",
         IF(AUTOEVENTO="Manual",
                IF($A82=0,"&lt;-- defina o número do agrupador",
                       OFFSET(EVENTOS!$D$15,$A82-$A$15,0)),
                OFFSET($F$15,$A82,0)))</f>
        <v/>
      </c>
      <c r="O82" s="168"/>
      <c r="Q82" s="168"/>
      <c r="R82" s="169"/>
      <c r="S82" s="169"/>
      <c r="T82" s="169"/>
      <c r="U82" s="169"/>
      <c r="V82" s="169"/>
      <c r="W82" s="169"/>
      <c r="X82" s="169"/>
      <c r="Y82" s="169"/>
      <c r="Z82" s="170"/>
      <c r="AA82" s="169"/>
      <c r="AB82" s="169"/>
      <c r="AC82" s="169"/>
      <c r="AD82" s="169"/>
      <c r="AE82" s="169"/>
      <c r="AF82" s="169"/>
      <c r="AG82" s="169"/>
      <c r="AH82" s="170"/>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L82" s="453">
        <f ca="1">IF(AND($D82="Serviço",AL$12&lt;&gt;0,$H82&gt;0,OR(AUTOEVENTO&lt;&gt;"manual",$M82&lt;&gt;$A$15)),
        IF(Import.TipoArredondamento&lt;&gt;"TransfereGOV",
              ROUND(OFFSET($P82,0,AL$13),15-13*ORÇAMENTO!$AF$7)/$H82*OFFSET(ORÇAMENTO!$X$15,ROW(AL82)-ROW(AL$15),0),
              ROUND(ROUND(OFFSET($P82,0,AL$13),15-13*ORÇAMENTO!$AF$7)*OFFSET(ORÇAMENTO!$W$15,ROW(AL82)-ROW(AL$15),0),15-13*ORÇAMENTO!$AF$11)),
         0)</f>
        <v>0</v>
      </c>
      <c r="AM82" s="453">
        <f ca="1">IF(AND($D82="Serviço",AM$12&lt;&gt;0,$H82&gt;0,OR(AUTOEVENTO&lt;&gt;"manual",$M82&lt;&gt;$A$15)),
        IF(Import.TipoArredondamento&lt;&gt;"TransfereGOV",
              ROUND(OFFSET($P82,0,AM$13),15-13*ORÇAMENTO!$AF$7)/$H82*OFFSET(ORÇAMENTO!$X$15,ROW(AM82)-ROW(AM$15),0),
              ROUND(ROUND(OFFSET($P82,0,AM$13),15-13*ORÇAMENTO!$AF$7)*OFFSET(ORÇAMENTO!$W$15,ROW(AM82)-ROW(AM$15),0),15-13*ORÇAMENTO!$AF$11)),
         0)</f>
        <v>0</v>
      </c>
      <c r="AN82" s="453">
        <f ca="1">IF(AND($D82="Serviço",AN$12&lt;&gt;0,$H82&gt;0,OR(AUTOEVENTO&lt;&gt;"manual",$M82&lt;&gt;$A$15)),
        IF(Import.TipoArredondamento&lt;&gt;"TransfereGOV",
              ROUND(OFFSET($P82,0,AN$13),15-13*ORÇAMENTO!$AF$7)/$H82*OFFSET(ORÇAMENTO!$X$15,ROW(AN82)-ROW(AN$15),0),
              ROUND(ROUND(OFFSET($P82,0,AN$13),15-13*ORÇAMENTO!$AF$7)*OFFSET(ORÇAMENTO!$W$15,ROW(AN82)-ROW(AN$15),0),15-13*ORÇAMENTO!$AF$11)),
         0)</f>
        <v>0</v>
      </c>
      <c r="AO82" s="453">
        <f ca="1">IF(AND($D82="Serviço",AO$12&lt;&gt;0,$H82&gt;0,OR(AUTOEVENTO&lt;&gt;"manual",$M82&lt;&gt;$A$15)),
        IF(Import.TipoArredondamento&lt;&gt;"TransfereGOV",
              ROUND(OFFSET($P82,0,AO$13),15-13*ORÇAMENTO!$AF$7)/$H82*OFFSET(ORÇAMENTO!$X$15,ROW(AO82)-ROW(AO$15),0),
              ROUND(ROUND(OFFSET($P82,0,AO$13),15-13*ORÇAMENTO!$AF$7)*OFFSET(ORÇAMENTO!$W$15,ROW(AO82)-ROW(AO$15),0),15-13*ORÇAMENTO!$AF$11)),
         0)</f>
        <v>0</v>
      </c>
      <c r="AP82" s="453">
        <f ca="1">IF(AND($D82="Serviço",AP$12&lt;&gt;0,$H82&gt;0,OR(AUTOEVENTO&lt;&gt;"manual",$M82&lt;&gt;$A$15)),
        IF(Import.TipoArredondamento&lt;&gt;"TransfereGOV",
              ROUND(OFFSET($P82,0,AP$13),15-13*ORÇAMENTO!$AF$7)/$H82*OFFSET(ORÇAMENTO!$X$15,ROW(AP82)-ROW(AP$15),0),
              ROUND(ROUND(OFFSET($P82,0,AP$13),15-13*ORÇAMENTO!$AF$7)*OFFSET(ORÇAMENTO!$W$15,ROW(AP82)-ROW(AP$15),0),15-13*ORÇAMENTO!$AF$11)),
         0)</f>
        <v>0</v>
      </c>
      <c r="AQ82" s="453">
        <f ca="1">IF(AND($D82="Serviço",AQ$12&lt;&gt;0,$H82&gt;0,OR(AUTOEVENTO&lt;&gt;"manual",$M82&lt;&gt;$A$15)),
        IF(Import.TipoArredondamento&lt;&gt;"TransfereGOV",
              ROUND(OFFSET($P82,0,AQ$13),15-13*ORÇAMENTO!$AF$7)/$H82*OFFSET(ORÇAMENTO!$X$15,ROW(AQ82)-ROW(AQ$15),0),
              ROUND(ROUND(OFFSET($P82,0,AQ$13),15-13*ORÇAMENTO!$AF$7)*OFFSET(ORÇAMENTO!$W$15,ROW(AQ82)-ROW(AQ$15),0),15-13*ORÇAMENTO!$AF$11)),
         0)</f>
        <v>0</v>
      </c>
      <c r="AR82" s="453">
        <f ca="1">IF(AND($D82="Serviço",AR$12&lt;&gt;0,$H82&gt;0,OR(AUTOEVENTO&lt;&gt;"manual",$M82&lt;&gt;$A$15)),
        IF(Import.TipoArredondamento&lt;&gt;"TransfereGOV",
              ROUND(OFFSET($P82,0,AR$13),15-13*ORÇAMENTO!$AF$7)/$H82*OFFSET(ORÇAMENTO!$X$15,ROW(AR82)-ROW(AR$15),0),
              ROUND(ROUND(OFFSET($P82,0,AR$13),15-13*ORÇAMENTO!$AF$7)*OFFSET(ORÇAMENTO!$W$15,ROW(AR82)-ROW(AR$15),0),15-13*ORÇAMENTO!$AF$11)),
         0)</f>
        <v>0</v>
      </c>
      <c r="AS82" s="453">
        <f ca="1">IF(AND($D82="Serviço",AS$12&lt;&gt;0,$H82&gt;0,OR(AUTOEVENTO&lt;&gt;"manual",$M82&lt;&gt;$A$15)),
        IF(Import.TipoArredondamento&lt;&gt;"TransfereGOV",
              ROUND(OFFSET($P82,0,AS$13),15-13*ORÇAMENTO!$AF$7)/$H82*OFFSET(ORÇAMENTO!$X$15,ROW(AS82)-ROW(AS$15),0),
              ROUND(ROUND(OFFSET($P82,0,AS$13),15-13*ORÇAMENTO!$AF$7)*OFFSET(ORÇAMENTO!$W$15,ROW(AS82)-ROW(AS$15),0),15-13*ORÇAMENTO!$AF$11)),
         0)</f>
        <v>0</v>
      </c>
      <c r="AT82" s="453">
        <f ca="1">IF(AND($D82="Serviço",AT$12&lt;&gt;0,$H82&gt;0,OR(AUTOEVENTO&lt;&gt;"manual",$M82&lt;&gt;$A$15)),
        IF(Import.TipoArredondamento&lt;&gt;"TransfereGOV",
              ROUND(OFFSET($P82,0,AT$13),15-13*ORÇAMENTO!$AF$7)/$H82*OFFSET(ORÇAMENTO!$X$15,ROW(AT82)-ROW(AT$15),0),
              ROUND(ROUND(OFFSET($P82,0,AT$13),15-13*ORÇAMENTO!$AF$7)*OFFSET(ORÇAMENTO!$W$15,ROW(AT82)-ROW(AT$15),0),15-13*ORÇAMENTO!$AF$11)),
         0)</f>
        <v>0</v>
      </c>
      <c r="AU82" s="453">
        <f ca="1">IF(AND($D82="Serviço",AU$12&lt;&gt;0,$H82&gt;0,OR(AUTOEVENTO&lt;&gt;"manual",$M82&lt;&gt;$A$15)),
        IF(Import.TipoArredondamento&lt;&gt;"TransfereGOV",
              ROUND(OFFSET($P82,0,AU$13),15-13*ORÇAMENTO!$AF$7)/$H82*OFFSET(ORÇAMENTO!$X$15,ROW(AU82)-ROW(AU$15),0),
              ROUND(ROUND(OFFSET($P82,0,AU$13),15-13*ORÇAMENTO!$AF$7)*OFFSET(ORÇAMENTO!$W$15,ROW(AU82)-ROW(AU$15),0),15-13*ORÇAMENTO!$AF$11)),
         0)</f>
        <v>0</v>
      </c>
      <c r="AV82" s="453">
        <f ca="1">IF(AND($D82="Serviço",AV$12&lt;&gt;0,$H82&gt;0,OR(AUTOEVENTO&lt;&gt;"manual",$M82&lt;&gt;$A$15)),
        IF(Import.TipoArredondamento&lt;&gt;"TransfereGOV",
              ROUND(OFFSET($P82,0,AV$13),15-13*ORÇAMENTO!$AF$7)/$H82*OFFSET(ORÇAMENTO!$X$15,ROW(AV82)-ROW(AV$15),0),
              ROUND(ROUND(OFFSET($P82,0,AV$13),15-13*ORÇAMENTO!$AF$7)*OFFSET(ORÇAMENTO!$W$15,ROW(AV82)-ROW(AV$15),0),15-13*ORÇAMENTO!$AF$11)),
         0)</f>
        <v>0</v>
      </c>
      <c r="AW82" s="453">
        <f ca="1">IF(AND($D82="Serviço",AW$12&lt;&gt;0,$H82&gt;0,OR(AUTOEVENTO&lt;&gt;"manual",$M82&lt;&gt;$A$15)),
        IF(Import.TipoArredondamento&lt;&gt;"TransfereGOV",
              ROUND(OFFSET($P82,0,AW$13),15-13*ORÇAMENTO!$AF$7)/$H82*OFFSET(ORÇAMENTO!$X$15,ROW(AW82)-ROW(AW$15),0),
              ROUND(ROUND(OFFSET($P82,0,AW$13),15-13*ORÇAMENTO!$AF$7)*OFFSET(ORÇAMENTO!$W$15,ROW(AW82)-ROW(AW$15),0),15-13*ORÇAMENTO!$AF$11)),
         0)</f>
        <v>0</v>
      </c>
      <c r="AX82" s="453">
        <f ca="1">IF(AND($D82="Serviço",AX$12&lt;&gt;0,$H82&gt;0,OR(AUTOEVENTO&lt;&gt;"manual",$M82&lt;&gt;$A$15)),
        IF(Import.TipoArredondamento&lt;&gt;"TransfereGOV",
              ROUND(OFFSET($P82,0,AX$13),15-13*ORÇAMENTO!$AF$7)/$H82*OFFSET(ORÇAMENTO!$X$15,ROW(AX82)-ROW(AX$15),0),
              ROUND(ROUND(OFFSET($P82,0,AX$13),15-13*ORÇAMENTO!$AF$7)*OFFSET(ORÇAMENTO!$W$15,ROW(AX82)-ROW(AX$15),0),15-13*ORÇAMENTO!$AF$11)),
         0)</f>
        <v>0</v>
      </c>
      <c r="AY82" s="453">
        <f ca="1">IF(AND($D82="Serviço",AY$12&lt;&gt;0,$H82&gt;0,OR(AUTOEVENTO&lt;&gt;"manual",$M82&lt;&gt;$A$15)),
        IF(Import.TipoArredondamento&lt;&gt;"TransfereGOV",
              ROUND(OFFSET($P82,0,AY$13),15-13*ORÇAMENTO!$AF$7)/$H82*OFFSET(ORÇAMENTO!$X$15,ROW(AY82)-ROW(AY$15),0),
              ROUND(ROUND(OFFSET($P82,0,AY$13),15-13*ORÇAMENTO!$AF$7)*OFFSET(ORÇAMENTO!$W$15,ROW(AY82)-ROW(AY$15),0),15-13*ORÇAMENTO!$AF$11)),
         0)</f>
        <v>0</v>
      </c>
      <c r="AZ82" s="453">
        <f ca="1">IF(AND($D82="Serviço",AZ$12&lt;&gt;0,$H82&gt;0,OR(AUTOEVENTO&lt;&gt;"manual",$M82&lt;&gt;$A$15)),
        IF(Import.TipoArredondamento&lt;&gt;"TransfereGOV",
              ROUND(OFFSET($P82,0,AZ$13),15-13*ORÇAMENTO!$AF$7)/$H82*OFFSET(ORÇAMENTO!$X$15,ROW(AZ82)-ROW(AZ$15),0),
              ROUND(ROUND(OFFSET($P82,0,AZ$13),15-13*ORÇAMENTO!$AF$7)*OFFSET(ORÇAMENTO!$W$15,ROW(AZ82)-ROW(AZ$15),0),15-13*ORÇAMENTO!$AF$11)),
         0)</f>
        <v>0</v>
      </c>
      <c r="BA82" s="453">
        <f ca="1">IF(AND($D82="Serviço",BA$12&lt;&gt;0,$H82&gt;0,OR(AUTOEVENTO&lt;&gt;"manual",$M82&lt;&gt;$A$15)),
        IF(Import.TipoArredondamento&lt;&gt;"TransfereGOV",
              ROUND(OFFSET($P82,0,BA$13),15-13*ORÇAMENTO!$AF$7)/$H82*OFFSET(ORÇAMENTO!$X$15,ROW(BA82)-ROW(BA$15),0),
              ROUND(ROUND(OFFSET($P82,0,BA$13),15-13*ORÇAMENTO!$AF$7)*OFFSET(ORÇAMENTO!$W$15,ROW(BA82)-ROW(BA$15),0),15-13*ORÇAMENTO!$AF$11)),
         0)</f>
        <v>0</v>
      </c>
      <c r="BC82" s="171">
        <f ca="1">IF(OR($D82&lt;&gt;"Serviço",AND(AUTOEVENTO="Manual",$M82=$A$15)),0,
         IF(OFFSET(CRONOPLE!$F$15,$M82-$A$15,BC$13)=0,10^12,OFFSET(CRONOPLE!$F$15,$M82-$A$15,BC$13)))</f>
        <v>0</v>
      </c>
      <c r="BD82" s="171">
        <f ca="1">IF(OR($D82&lt;&gt;"Serviço",AND(AUTOEVENTO="Manual",$M82=$A$15)),0,
         IF(OFFSET(CRONOPLE!$F$15,$M82-$A$15,BD$13)=0,10^12,OFFSET(CRONOPLE!$F$15,$M82-$A$15,BD$13)))</f>
        <v>0</v>
      </c>
      <c r="BE82" s="171">
        <f ca="1">IF(OR($D82&lt;&gt;"Serviço",AND(AUTOEVENTO="Manual",$M82=$A$15)),0,
         IF(OFFSET(CRONOPLE!$F$15,$M82-$A$15,BE$13)=0,10^12,OFFSET(CRONOPLE!$F$15,$M82-$A$15,BE$13)))</f>
        <v>0</v>
      </c>
      <c r="BF82" s="171">
        <f ca="1">IF(OR($D82&lt;&gt;"Serviço",AND(AUTOEVENTO="Manual",$M82=$A$15)),0,
         IF(OFFSET(CRONOPLE!$F$15,$M82-$A$15,BF$13)=0,10^12,OFFSET(CRONOPLE!$F$15,$M82-$A$15,BF$13)))</f>
        <v>0</v>
      </c>
      <c r="BG82" s="171">
        <f ca="1">IF(OR($D82&lt;&gt;"Serviço",AND(AUTOEVENTO="Manual",$M82=$A$15)),0,
         IF(OFFSET(CRONOPLE!$F$15,$M82-$A$15,BG$13)=0,10^12,OFFSET(CRONOPLE!$F$15,$M82-$A$15,BG$13)))</f>
        <v>0</v>
      </c>
      <c r="BH82" s="171">
        <f ca="1">IF(OR($D82&lt;&gt;"Serviço",AND(AUTOEVENTO="Manual",$M82=$A$15)),0,
         IF(OFFSET(CRONOPLE!$F$15,$M82-$A$15,BH$13)=0,10^12,OFFSET(CRONOPLE!$F$15,$M82-$A$15,BH$13)))</f>
        <v>0</v>
      </c>
      <c r="BI82" s="171">
        <f ca="1">IF(OR($D82&lt;&gt;"Serviço",AND(AUTOEVENTO="Manual",$M82=$A$15)),0,
         IF(OFFSET(CRONOPLE!$F$15,$M82-$A$15,BI$13)=0,10^12,OFFSET(CRONOPLE!$F$15,$M82-$A$15,BI$13)))</f>
        <v>0</v>
      </c>
      <c r="BJ82" s="171">
        <f ca="1">IF(OR($D82&lt;&gt;"Serviço",AND(AUTOEVENTO="Manual",$M82=$A$15)),0,
         IF(OFFSET(CRONOPLE!$F$15,$M82-$A$15,BJ$13)=0,10^12,OFFSET(CRONOPLE!$F$15,$M82-$A$15,BJ$13)))</f>
        <v>0</v>
      </c>
      <c r="BK82" s="171">
        <f ca="1">IF(OR($D82&lt;&gt;"Serviço",AND(AUTOEVENTO="Manual",$M82=$A$15)),0,
         IF(OFFSET(CRONOPLE!$F$15,$M82-$A$15,BK$13)=0,10^12,OFFSET(CRONOPLE!$F$15,$M82-$A$15,BK$13)))</f>
        <v>0</v>
      </c>
      <c r="BL82" s="171">
        <f ca="1">IF(OR($D82&lt;&gt;"Serviço",AND(AUTOEVENTO="Manual",$M82=$A$15)),0,
         IF(OFFSET(CRONOPLE!$F$15,$M82-$A$15,BL$13)=0,10^12,OFFSET(CRONOPLE!$F$15,$M82-$A$15,BL$13)))</f>
        <v>0</v>
      </c>
      <c r="BM82" s="171">
        <f ca="1">IF(OR($D82&lt;&gt;"Serviço",AND(AUTOEVENTO="Manual",$M82=$A$15)),0,
         IF(OFFSET(CRONOPLE!$F$15,$M82-$A$15,BM$13)=0,10^12,OFFSET(CRONOPLE!$F$15,$M82-$A$15,BM$13)))</f>
        <v>0</v>
      </c>
      <c r="BN82" s="171">
        <f ca="1">IF(OR($D82&lt;&gt;"Serviço",AND(AUTOEVENTO="Manual",$M82=$A$15)),0,
         IF(OFFSET(CRONOPLE!$F$15,$M82-$A$15,BN$13)=0,10^12,OFFSET(CRONOPLE!$F$15,$M82-$A$15,BN$13)))</f>
        <v>0</v>
      </c>
      <c r="BO82" s="171">
        <f ca="1">IF(OR($D82&lt;&gt;"Serviço",AND(AUTOEVENTO="Manual",$M82=$A$15)),0,
         IF(OFFSET(CRONOPLE!$F$15,$M82-$A$15,BO$13)=0,10^12,OFFSET(CRONOPLE!$F$15,$M82-$A$15,BO$13)))</f>
        <v>0</v>
      </c>
      <c r="BP82" s="171">
        <f ca="1">IF(OR($D82&lt;&gt;"Serviço",AND(AUTOEVENTO="Manual",$M82=$A$15)),0,
         IF(OFFSET(CRONOPLE!$F$15,$M82-$A$15,BP$13)=0,10^12,OFFSET(CRONOPLE!$F$15,$M82-$A$15,BP$13)))</f>
        <v>0</v>
      </c>
      <c r="BQ82" s="171">
        <f ca="1">IF(OR($D82&lt;&gt;"Serviço",AND(AUTOEVENTO="Manual",$M82=$A$15)),0,
         IF(OFFSET(CRONOPLE!$F$15,$M82-$A$15,BQ$13)=0,10^12,OFFSET(CRONOPLE!$F$15,$M82-$A$15,BQ$13)))</f>
        <v>0</v>
      </c>
      <c r="BR82" s="171">
        <f ca="1">IF(OR($D82&lt;&gt;"Serviço",AND(AUTOEVENTO="Manual",$M82=$A$15)),0,
         IF(OFFSET(CRONOPLE!$F$15,$M82-$A$15,BR$13)=0,10^12,OFFSET(CRONOPLE!$F$15,$M82-$A$15,BR$13)))</f>
        <v>0</v>
      </c>
      <c r="BS82" s="171">
        <f ca="1">IF(OR($D82&lt;&gt;"Serviço",AND(AUTOEVENTO="Manual",$M82=$A$15)),0,
         IF(OFFSET(CRONOPLE!$F$15,$M82-$A$15,BS$13)=0,10^12,OFFSET(CRONOPLE!$F$15,$M82-$A$15,BS$13)))</f>
        <v>0</v>
      </c>
      <c r="BT82" s="171">
        <f ca="1">IF(OR($D82&lt;&gt;"Serviço",AND(AUTOEVENTO="Manual",$M82=$A$15)),0,
         IF(OFFSET(CRONOPLE!$F$15,$M82-$A$15,BT$13)=0,10^12,OFFSET(CRONOPLE!$F$15,$M82-$A$15,BT$13)))</f>
        <v>0</v>
      </c>
      <c r="BV82" s="172">
        <f ca="1">IF(OR($D82&lt;&gt;"Serviço",AND(AUTOEVENTO="Manual",$M82=$A$15),$M82&gt;(ROW(PLE.lastrow)-ROW(PLE.firstrow))),0,
           IF(OFFSET(PLE!$G$15,$M82-$A$15,BV$13)="",10^12,OFFSET(PLE!$G$15,$M82-$A$15,BV$13)))</f>
        <v>0</v>
      </c>
      <c r="BW82" s="172">
        <f ca="1">IF(OR($D82&lt;&gt;"Serviço",AND(AUTOEVENTO="Manual",$M82=$A$15),$M82&gt;(ROW(PLE.lastrow)-ROW(PLE.firstrow))),0,
           IF(OFFSET(PLE!$G$15,$M82-$A$15,BW$13)="",10^12,OFFSET(PLE!$G$15,$M82-$A$15,BW$13)))</f>
        <v>0</v>
      </c>
      <c r="BX82" s="172">
        <f ca="1">IF(OR($D82&lt;&gt;"Serviço",AND(AUTOEVENTO="Manual",$M82=$A$15),$M82&gt;(ROW(PLE.lastrow)-ROW(PLE.firstrow))),0,
           IF(OFFSET(PLE!$G$15,$M82-$A$15,BX$13)="",10^12,OFFSET(PLE!$G$15,$M82-$A$15,BX$13)))</f>
        <v>0</v>
      </c>
      <c r="BY82" s="172">
        <f ca="1">IF(OR($D82&lt;&gt;"Serviço",AND(AUTOEVENTO="Manual",$M82=$A$15),$M82&gt;(ROW(PLE.lastrow)-ROW(PLE.firstrow))),0,
           IF(OFFSET(PLE!$G$15,$M82-$A$15,BY$13)="",10^12,OFFSET(PLE!$G$15,$M82-$A$15,BY$13)))</f>
        <v>0</v>
      </c>
      <c r="BZ82" s="172">
        <f ca="1">IF(OR($D82&lt;&gt;"Serviço",AND(AUTOEVENTO="Manual",$M82=$A$15),$M82&gt;(ROW(PLE.lastrow)-ROW(PLE.firstrow))),0,
           IF(OFFSET(PLE!$G$15,$M82-$A$15,BZ$13)="",10^12,OFFSET(PLE!$G$15,$M82-$A$15,BZ$13)))</f>
        <v>0</v>
      </c>
      <c r="CA82" s="172">
        <f ca="1">IF(OR($D82&lt;&gt;"Serviço",AND(AUTOEVENTO="Manual",$M82=$A$15),$M82&gt;(ROW(PLE.lastrow)-ROW(PLE.firstrow))),0,
           IF(OFFSET(PLE!$G$15,$M82-$A$15,CA$13)="",10^12,OFFSET(PLE!$G$15,$M82-$A$15,CA$13)))</f>
        <v>0</v>
      </c>
      <c r="CB82" s="172">
        <f ca="1">IF(OR($D82&lt;&gt;"Serviço",AND(AUTOEVENTO="Manual",$M82=$A$15),$M82&gt;(ROW(PLE.lastrow)-ROW(PLE.firstrow))),0,
           IF(OFFSET(PLE!$G$15,$M82-$A$15,CB$13)="",10^12,OFFSET(PLE!$G$15,$M82-$A$15,CB$13)))</f>
        <v>0</v>
      </c>
      <c r="CC82" s="172">
        <f ca="1">IF(OR($D82&lt;&gt;"Serviço",AND(AUTOEVENTO="Manual",$M82=$A$15),$M82&gt;(ROW(PLE.lastrow)-ROW(PLE.firstrow))),0,
           IF(OFFSET(PLE!$G$15,$M82-$A$15,CC$13)="",10^12,OFFSET(PLE!$G$15,$M82-$A$15,CC$13)))</f>
        <v>0</v>
      </c>
      <c r="CD82" s="172">
        <f ca="1">IF(OR($D82&lt;&gt;"Serviço",AND(AUTOEVENTO="Manual",$M82=$A$15),$M82&gt;(ROW(PLE.lastrow)-ROW(PLE.firstrow))),0,
           IF(OFFSET(PLE!$G$15,$M82-$A$15,CD$13)="",10^12,OFFSET(PLE!$G$15,$M82-$A$15,CD$13)))</f>
        <v>0</v>
      </c>
      <c r="CE82" s="172">
        <f ca="1">IF(OR($D82&lt;&gt;"Serviço",AND(AUTOEVENTO="Manual",$M82=$A$15),$M82&gt;(ROW(PLE.lastrow)-ROW(PLE.firstrow))),0,
           IF(OFFSET(PLE!$G$15,$M82-$A$15,CE$13)="",10^12,OFFSET(PLE!$G$15,$M82-$A$15,CE$13)))</f>
        <v>0</v>
      </c>
      <c r="CF82" s="172">
        <f ca="1">IF(OR($D82&lt;&gt;"Serviço",AND(AUTOEVENTO="Manual",$M82=$A$15),$M82&gt;(ROW(PLE.lastrow)-ROW(PLE.firstrow))),0,
           IF(OFFSET(PLE!$G$15,$M82-$A$15,CF$13)="",10^12,OFFSET(PLE!$G$15,$M82-$A$15,CF$13)))</f>
        <v>0</v>
      </c>
      <c r="CG82" s="172">
        <f ca="1">IF(OR($D82&lt;&gt;"Serviço",AND(AUTOEVENTO="Manual",$M82=$A$15),$M82&gt;(ROW(PLE.lastrow)-ROW(PLE.firstrow))),0,
           IF(OFFSET(PLE!$G$15,$M82-$A$15,CG$13)="",10^12,OFFSET(PLE!$G$15,$M82-$A$15,CG$13)))</f>
        <v>0</v>
      </c>
      <c r="CH82" s="172">
        <f ca="1">IF(OR($D82&lt;&gt;"Serviço",AND(AUTOEVENTO="Manual",$M82=$A$15),$M82&gt;(ROW(PLE.lastrow)-ROW(PLE.firstrow))),0,
           IF(OFFSET(PLE!$G$15,$M82-$A$15,CH$13)="",10^12,OFFSET(PLE!$G$15,$M82-$A$15,CH$13)))</f>
        <v>0</v>
      </c>
      <c r="CI82" s="172">
        <f ca="1">IF(OR($D82&lt;&gt;"Serviço",AND(AUTOEVENTO="Manual",$M82=$A$15),$M82&gt;(ROW(PLE.lastrow)-ROW(PLE.firstrow))),0,
           IF(OFFSET(PLE!$G$15,$M82-$A$15,CI$13)="",10^12,OFFSET(PLE!$G$15,$M82-$A$15,CI$13)))</f>
        <v>0</v>
      </c>
      <c r="CJ82" s="172">
        <f ca="1">IF(OR($D82&lt;&gt;"Serviço",AND(AUTOEVENTO="Manual",$M82=$A$15),$M82&gt;(ROW(PLE.lastrow)-ROW(PLE.firstrow))),0,
           IF(OFFSET(PLE!$G$15,$M82-$A$15,CJ$13)="",10^12,OFFSET(PLE!$G$15,$M82-$A$15,CJ$13)))</f>
        <v>0</v>
      </c>
      <c r="CK82" s="172">
        <f ca="1">IF(OR($D82&lt;&gt;"Serviço",AND(AUTOEVENTO="Manual",$M82=$A$15),$M82&gt;(ROW(PLE.lastrow)-ROW(PLE.firstrow))),0,
           IF(OFFSET(PLE!$G$15,$M82-$A$15,CK$13)="",10^12,OFFSET(PLE!$G$15,$M82-$A$15,CK$13)))</f>
        <v>0</v>
      </c>
      <c r="CL82" s="172">
        <f ca="1">IF(OR($D82&lt;&gt;"Serviço",AND(AUTOEVENTO="Manual",$M82=$A$15),$M82&gt;(ROW(PLE.lastrow)-ROW(PLE.firstrow))),0,
           IF(OFFSET(PLE!$G$15,$M82-$A$15,CL$13)="",10^12,OFFSET(PLE!$G$15,$M82-$A$15,CL$13)))</f>
        <v>0</v>
      </c>
      <c r="CM82" s="172">
        <f ca="1">IF(OR($D82&lt;&gt;"Serviço",AND(AUTOEVENTO="Manual",$M82=$A$15),$M82&gt;(ROW(PLE.lastrow)-ROW(PLE.firstrow))),0,
           IF(OFFSET(PLE!$G$15,$M82-$A$15,CM$13)="",10^12,OFFSET(PLE!$G$15,$M82-$A$15,CM$13)))</f>
        <v>0</v>
      </c>
    </row>
    <row r="83" spans="1:91" ht="39.6" x14ac:dyDescent="0.25">
      <c r="A83" s="7" t="str">
        <f t="shared" ca="1" si="11"/>
        <v>67</v>
      </c>
      <c r="B83" s="7" t="str">
        <f ca="1">OFFSET(ORÇAMENTO!C$15,ROW(B83)-ROW(B$15),0)</f>
        <v>S</v>
      </c>
      <c r="C83" s="7" t="str">
        <f ca="1">OFFSET(ORÇAMENTO!L$15,ROW(C83)-ROW(C$15),0)</f>
        <v>F</v>
      </c>
      <c r="D83" s="116" t="str">
        <f ca="1">OFFSET(ORÇAMENTO!N$15,ROW(D83)-ROW(D$15),0)</f>
        <v>Serviço</v>
      </c>
      <c r="E83" s="117" t="str">
        <f ca="1">OFFSET(ORÇAMENTO!O$15,ROW(E83)-ROW(E$15),0)</f>
        <v>2.5.1.</v>
      </c>
      <c r="F83" s="163" t="str">
        <f ca="1">OFFSET(ORÇAMENTO!R$15,ROW(F83)-ROW(F$15),0)</f>
        <v xml:space="preserve">PINTURA DE EIXO VIÁRIO SOBRE ASFLATO COM TINTA RETRORREFLETIVA A BASE DE RESINA ACRÍLICA COM MICROESFERAS DE VIDRO, E= 10CM </v>
      </c>
      <c r="G83" s="164" t="str">
        <f ca="1">IF($D83&lt;&gt;"Serviço","",OFFSET(ORÇAMENTO!S$15,ROW(G83)-ROW(G$15),0))</f>
        <v>M</v>
      </c>
      <c r="H83" s="122" cm="1">
        <f t="array" aca="1" ref="H83" ca="1">IF($D83&lt;&gt;"Serviço",0,IF(ACOMPANHAMENTO="BM",ROUND(OFFSET(ORÇAMENTO!AJ$15,ROW(H83)-ROW(H$15),0),15-13*ORÇAMENTO!$AF$7),SUMPRODUCT(($Q$1:$AI$1=1)*ROUND($Q83:$AI83,15-13*ORÇAMENTO!$AF$7))))</f>
        <v>122.76</v>
      </c>
      <c r="I83" s="468"/>
      <c r="J83" s="651" t="e" cm="1">
        <f t="array" aca="1" ref="J83" ca="1">IF(OR(B83&lt;&gt;"S",CÁLCULO.FrentesPreenchidas=0),"",IF(AND(ACOMPANHAMENTO="PLE",AUTOEVENTO="Manual",OR(H83&gt;0,ORÇAMENTO!AC83="QUANT."),OR(K83="",M83=0,N83="")),"►E",IF(AND(ACOMPANHAMENTO="PLE",ORÇAMENTO!AC83="QUANT."),"►Q",IF(AND(ACOMPANHAMENTO="PLE",H83&lt;&gt;SUMPRODUCT(($Q$1:$AI$1=1)*ROUND(Q83:AI83,15))),"►S",IF(AND(COUNTIF($P$11:$AI$11,"▼")=0,H83&gt;0,I83=""),"◄M","")))))</f>
        <v>#NAME?</v>
      </c>
      <c r="K83" s="652"/>
      <c r="L83" s="165" t="s">
        <v>764</v>
      </c>
      <c r="M83" s="166">
        <f ca="1">IF($D83&lt;&gt;"Serviço","",
          IF(AUTOEVENTO="manual",$A83,
                IF(ISERROR(MATCH($A83,$A$15:OFFSET($A83,-1,0),0)),MAX($M$15:OFFSET(M83,-1,0))+1,
                      INDEX($M$15:OFFSET(M83,-1,0),MATCH($A83,$A$15:OFFSET($A83,-1,0),0)))))</f>
        <v>12</v>
      </c>
      <c r="N83" s="167" t="str">
        <f ca="1">IF($D83&lt;&gt;"Serviço","",
         IF(AUTOEVENTO="Manual",
                IF($A83=0,"&lt;-- defina o número do agrupador",
                       OFFSET(EVENTOS!$D$15,$A83-$A$15,0)),
                OFFSET($F$15,$A83,0)))</f>
        <v>SINALIZAÇÃO</v>
      </c>
      <c r="O83" s="168"/>
      <c r="Q83" s="168"/>
      <c r="R83" s="169"/>
      <c r="S83" s="169"/>
      <c r="T83" s="169">
        <v>122.76</v>
      </c>
      <c r="U83" s="169"/>
      <c r="V83" s="169"/>
      <c r="W83" s="169"/>
      <c r="X83" s="169"/>
      <c r="Y83" s="169"/>
      <c r="Z83" s="170"/>
      <c r="AA83" s="169"/>
      <c r="AB83" s="169"/>
      <c r="AC83" s="169"/>
      <c r="AD83" s="169"/>
      <c r="AE83" s="169"/>
      <c r="AF83" s="169"/>
      <c r="AG83" s="169"/>
      <c r="AH83" s="170"/>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L83" s="453">
        <f ca="1">IF(AND($D83="Serviço",AL$12&lt;&gt;0,$H83&gt;0,OR(AUTOEVENTO&lt;&gt;"manual",$M83&lt;&gt;$A$15)),
        IF(Import.TipoArredondamento&lt;&gt;"TransfereGOV",
              ROUND(OFFSET($P83,0,AL$13),15-13*ORÇAMENTO!$AF$7)/$H83*OFFSET(ORÇAMENTO!$X$15,ROW(AL83)-ROW(AL$15),0),
              ROUND(ROUND(OFFSET($P83,0,AL$13),15-13*ORÇAMENTO!$AF$7)*OFFSET(ORÇAMENTO!$W$15,ROW(AL83)-ROW(AL$15),0),15-13*ORÇAMENTO!$AF$11)),
         0)</f>
        <v>0</v>
      </c>
      <c r="AM83" s="453">
        <f ca="1">IF(AND($D83="Serviço",AM$12&lt;&gt;0,$H83&gt;0,OR(AUTOEVENTO&lt;&gt;"manual",$M83&lt;&gt;$A$15)),
        IF(Import.TipoArredondamento&lt;&gt;"TransfereGOV",
              ROUND(OFFSET($P83,0,AM$13),15-13*ORÇAMENTO!$AF$7)/$H83*OFFSET(ORÇAMENTO!$X$15,ROW(AM83)-ROW(AM$15),0),
              ROUND(ROUND(OFFSET($P83,0,AM$13),15-13*ORÇAMENTO!$AF$7)*OFFSET(ORÇAMENTO!$W$15,ROW(AM83)-ROW(AM$15),0),15-13*ORÇAMENTO!$AF$11)),
         0)</f>
        <v>781.98</v>
      </c>
      <c r="AN83" s="453">
        <f ca="1">IF(AND($D83="Serviço",AN$12&lt;&gt;0,$H83&gt;0,OR(AUTOEVENTO&lt;&gt;"manual",$M83&lt;&gt;$A$15)),
        IF(Import.TipoArredondamento&lt;&gt;"TransfereGOV",
              ROUND(OFFSET($P83,0,AN$13),15-13*ORÇAMENTO!$AF$7)/$H83*OFFSET(ORÇAMENTO!$X$15,ROW(AN83)-ROW(AN$15),0),
              ROUND(ROUND(OFFSET($P83,0,AN$13),15-13*ORÇAMENTO!$AF$7)*OFFSET(ORÇAMENTO!$W$15,ROW(AN83)-ROW(AN$15),0),15-13*ORÇAMENTO!$AF$11)),
         0)</f>
        <v>0</v>
      </c>
      <c r="AO83" s="453">
        <f ca="1">IF(AND($D83="Serviço",AO$12&lt;&gt;0,$H83&gt;0,OR(AUTOEVENTO&lt;&gt;"manual",$M83&lt;&gt;$A$15)),
        IF(Import.TipoArredondamento&lt;&gt;"TransfereGOV",
              ROUND(OFFSET($P83,0,AO$13),15-13*ORÇAMENTO!$AF$7)/$H83*OFFSET(ORÇAMENTO!$X$15,ROW(AO83)-ROW(AO$15),0),
              ROUND(ROUND(OFFSET($P83,0,AO$13),15-13*ORÇAMENTO!$AF$7)*OFFSET(ORÇAMENTO!$W$15,ROW(AO83)-ROW(AO$15),0),15-13*ORÇAMENTO!$AF$11)),
         0)</f>
        <v>0</v>
      </c>
      <c r="AP83" s="453">
        <f ca="1">IF(AND($D83="Serviço",AP$12&lt;&gt;0,$H83&gt;0,OR(AUTOEVENTO&lt;&gt;"manual",$M83&lt;&gt;$A$15)),
        IF(Import.TipoArredondamento&lt;&gt;"TransfereGOV",
              ROUND(OFFSET($P83,0,AP$13),15-13*ORÇAMENTO!$AF$7)/$H83*OFFSET(ORÇAMENTO!$X$15,ROW(AP83)-ROW(AP$15),0),
              ROUND(ROUND(OFFSET($P83,0,AP$13),15-13*ORÇAMENTO!$AF$7)*OFFSET(ORÇAMENTO!$W$15,ROW(AP83)-ROW(AP$15),0),15-13*ORÇAMENTO!$AF$11)),
         0)</f>
        <v>0</v>
      </c>
      <c r="AQ83" s="453">
        <f ca="1">IF(AND($D83="Serviço",AQ$12&lt;&gt;0,$H83&gt;0,OR(AUTOEVENTO&lt;&gt;"manual",$M83&lt;&gt;$A$15)),
        IF(Import.TipoArredondamento&lt;&gt;"TransfereGOV",
              ROUND(OFFSET($P83,0,AQ$13),15-13*ORÇAMENTO!$AF$7)/$H83*OFFSET(ORÇAMENTO!$X$15,ROW(AQ83)-ROW(AQ$15),0),
              ROUND(ROUND(OFFSET($P83,0,AQ$13),15-13*ORÇAMENTO!$AF$7)*OFFSET(ORÇAMENTO!$W$15,ROW(AQ83)-ROW(AQ$15),0),15-13*ORÇAMENTO!$AF$11)),
         0)</f>
        <v>0</v>
      </c>
      <c r="AR83" s="453">
        <f ca="1">IF(AND($D83="Serviço",AR$12&lt;&gt;0,$H83&gt;0,OR(AUTOEVENTO&lt;&gt;"manual",$M83&lt;&gt;$A$15)),
        IF(Import.TipoArredondamento&lt;&gt;"TransfereGOV",
              ROUND(OFFSET($P83,0,AR$13),15-13*ORÇAMENTO!$AF$7)/$H83*OFFSET(ORÇAMENTO!$X$15,ROW(AR83)-ROW(AR$15),0),
              ROUND(ROUND(OFFSET($P83,0,AR$13),15-13*ORÇAMENTO!$AF$7)*OFFSET(ORÇAMENTO!$W$15,ROW(AR83)-ROW(AR$15),0),15-13*ORÇAMENTO!$AF$11)),
         0)</f>
        <v>0</v>
      </c>
      <c r="AS83" s="453">
        <f ca="1">IF(AND($D83="Serviço",AS$12&lt;&gt;0,$H83&gt;0,OR(AUTOEVENTO&lt;&gt;"manual",$M83&lt;&gt;$A$15)),
        IF(Import.TipoArredondamento&lt;&gt;"TransfereGOV",
              ROUND(OFFSET($P83,0,AS$13),15-13*ORÇAMENTO!$AF$7)/$H83*OFFSET(ORÇAMENTO!$X$15,ROW(AS83)-ROW(AS$15),0),
              ROUND(ROUND(OFFSET($P83,0,AS$13),15-13*ORÇAMENTO!$AF$7)*OFFSET(ORÇAMENTO!$W$15,ROW(AS83)-ROW(AS$15),0),15-13*ORÇAMENTO!$AF$11)),
         0)</f>
        <v>0</v>
      </c>
      <c r="AT83" s="453">
        <f ca="1">IF(AND($D83="Serviço",AT$12&lt;&gt;0,$H83&gt;0,OR(AUTOEVENTO&lt;&gt;"manual",$M83&lt;&gt;$A$15)),
        IF(Import.TipoArredondamento&lt;&gt;"TransfereGOV",
              ROUND(OFFSET($P83,0,AT$13),15-13*ORÇAMENTO!$AF$7)/$H83*OFFSET(ORÇAMENTO!$X$15,ROW(AT83)-ROW(AT$15),0),
              ROUND(ROUND(OFFSET($P83,0,AT$13),15-13*ORÇAMENTO!$AF$7)*OFFSET(ORÇAMENTO!$W$15,ROW(AT83)-ROW(AT$15),0),15-13*ORÇAMENTO!$AF$11)),
         0)</f>
        <v>0</v>
      </c>
      <c r="AU83" s="453">
        <f ca="1">IF(AND($D83="Serviço",AU$12&lt;&gt;0,$H83&gt;0,OR(AUTOEVENTO&lt;&gt;"manual",$M83&lt;&gt;$A$15)),
        IF(Import.TipoArredondamento&lt;&gt;"TransfereGOV",
              ROUND(OFFSET($P83,0,AU$13),15-13*ORÇAMENTO!$AF$7)/$H83*OFFSET(ORÇAMENTO!$X$15,ROW(AU83)-ROW(AU$15),0),
              ROUND(ROUND(OFFSET($P83,0,AU$13),15-13*ORÇAMENTO!$AF$7)*OFFSET(ORÇAMENTO!$W$15,ROW(AU83)-ROW(AU$15),0),15-13*ORÇAMENTO!$AF$11)),
         0)</f>
        <v>0</v>
      </c>
      <c r="AV83" s="453">
        <f ca="1">IF(AND($D83="Serviço",AV$12&lt;&gt;0,$H83&gt;0,OR(AUTOEVENTO&lt;&gt;"manual",$M83&lt;&gt;$A$15)),
        IF(Import.TipoArredondamento&lt;&gt;"TransfereGOV",
              ROUND(OFFSET($P83,0,AV$13),15-13*ORÇAMENTO!$AF$7)/$H83*OFFSET(ORÇAMENTO!$X$15,ROW(AV83)-ROW(AV$15),0),
              ROUND(ROUND(OFFSET($P83,0,AV$13),15-13*ORÇAMENTO!$AF$7)*OFFSET(ORÇAMENTO!$W$15,ROW(AV83)-ROW(AV$15),0),15-13*ORÇAMENTO!$AF$11)),
         0)</f>
        <v>0</v>
      </c>
      <c r="AW83" s="453">
        <f ca="1">IF(AND($D83="Serviço",AW$12&lt;&gt;0,$H83&gt;0,OR(AUTOEVENTO&lt;&gt;"manual",$M83&lt;&gt;$A$15)),
        IF(Import.TipoArredondamento&lt;&gt;"TransfereGOV",
              ROUND(OFFSET($P83,0,AW$13),15-13*ORÇAMENTO!$AF$7)/$H83*OFFSET(ORÇAMENTO!$X$15,ROW(AW83)-ROW(AW$15),0),
              ROUND(ROUND(OFFSET($P83,0,AW$13),15-13*ORÇAMENTO!$AF$7)*OFFSET(ORÇAMENTO!$W$15,ROW(AW83)-ROW(AW$15),0),15-13*ORÇAMENTO!$AF$11)),
         0)</f>
        <v>0</v>
      </c>
      <c r="AX83" s="453">
        <f ca="1">IF(AND($D83="Serviço",AX$12&lt;&gt;0,$H83&gt;0,OR(AUTOEVENTO&lt;&gt;"manual",$M83&lt;&gt;$A$15)),
        IF(Import.TipoArredondamento&lt;&gt;"TransfereGOV",
              ROUND(OFFSET($P83,0,AX$13),15-13*ORÇAMENTO!$AF$7)/$H83*OFFSET(ORÇAMENTO!$X$15,ROW(AX83)-ROW(AX$15),0),
              ROUND(ROUND(OFFSET($P83,0,AX$13),15-13*ORÇAMENTO!$AF$7)*OFFSET(ORÇAMENTO!$W$15,ROW(AX83)-ROW(AX$15),0),15-13*ORÇAMENTO!$AF$11)),
         0)</f>
        <v>0</v>
      </c>
      <c r="AY83" s="453">
        <f ca="1">IF(AND($D83="Serviço",AY$12&lt;&gt;0,$H83&gt;0,OR(AUTOEVENTO&lt;&gt;"manual",$M83&lt;&gt;$A$15)),
        IF(Import.TipoArredondamento&lt;&gt;"TransfereGOV",
              ROUND(OFFSET($P83,0,AY$13),15-13*ORÇAMENTO!$AF$7)/$H83*OFFSET(ORÇAMENTO!$X$15,ROW(AY83)-ROW(AY$15),0),
              ROUND(ROUND(OFFSET($P83,0,AY$13),15-13*ORÇAMENTO!$AF$7)*OFFSET(ORÇAMENTO!$W$15,ROW(AY83)-ROW(AY$15),0),15-13*ORÇAMENTO!$AF$11)),
         0)</f>
        <v>0</v>
      </c>
      <c r="AZ83" s="453">
        <f ca="1">IF(AND($D83="Serviço",AZ$12&lt;&gt;0,$H83&gt;0,OR(AUTOEVENTO&lt;&gt;"manual",$M83&lt;&gt;$A$15)),
        IF(Import.TipoArredondamento&lt;&gt;"TransfereGOV",
              ROUND(OFFSET($P83,0,AZ$13),15-13*ORÇAMENTO!$AF$7)/$H83*OFFSET(ORÇAMENTO!$X$15,ROW(AZ83)-ROW(AZ$15),0),
              ROUND(ROUND(OFFSET($P83,0,AZ$13),15-13*ORÇAMENTO!$AF$7)*OFFSET(ORÇAMENTO!$W$15,ROW(AZ83)-ROW(AZ$15),0),15-13*ORÇAMENTO!$AF$11)),
         0)</f>
        <v>0</v>
      </c>
      <c r="BA83" s="453">
        <f ca="1">IF(AND($D83="Serviço",BA$12&lt;&gt;0,$H83&gt;0,OR(AUTOEVENTO&lt;&gt;"manual",$M83&lt;&gt;$A$15)),
        IF(Import.TipoArredondamento&lt;&gt;"TransfereGOV",
              ROUND(OFFSET($P83,0,BA$13),15-13*ORÇAMENTO!$AF$7)/$H83*OFFSET(ORÇAMENTO!$X$15,ROW(BA83)-ROW(BA$15),0),
              ROUND(ROUND(OFFSET($P83,0,BA$13),15-13*ORÇAMENTO!$AF$7)*OFFSET(ORÇAMENTO!$W$15,ROW(BA83)-ROW(BA$15),0),15-13*ORÇAMENTO!$AF$11)),
         0)</f>
        <v>0</v>
      </c>
      <c r="BC83" s="171">
        <f ca="1">IF(OR($D83&lt;&gt;"Serviço",AND(AUTOEVENTO="Manual",$M83=$A$15)),0,
         IF(OFFSET(CRONOPLE!$F$15,$M83-$A$15,BC$13)=0,10^12,OFFSET(CRONOPLE!$F$15,$M83-$A$15,BC$13)))</f>
        <v>1000000000000</v>
      </c>
      <c r="BD83" s="171">
        <f ca="1">IF(OR($D83&lt;&gt;"Serviço",AND(AUTOEVENTO="Manual",$M83=$A$15)),0,
         IF(OFFSET(CRONOPLE!$F$15,$M83-$A$15,BD$13)=0,10^12,OFFSET(CRONOPLE!$F$15,$M83-$A$15,BD$13)))</f>
        <v>1000000000000</v>
      </c>
      <c r="BE83" s="171">
        <f ca="1">IF(OR($D83&lt;&gt;"Serviço",AND(AUTOEVENTO="Manual",$M83=$A$15)),0,
         IF(OFFSET(CRONOPLE!$F$15,$M83-$A$15,BE$13)=0,10^12,OFFSET(CRONOPLE!$F$15,$M83-$A$15,BE$13)))</f>
        <v>1000000000000</v>
      </c>
      <c r="BF83" s="171">
        <f ca="1">IF(OR($D83&lt;&gt;"Serviço",AND(AUTOEVENTO="Manual",$M83=$A$15)),0,
         IF(OFFSET(CRONOPLE!$F$15,$M83-$A$15,BF$13)=0,10^12,OFFSET(CRONOPLE!$F$15,$M83-$A$15,BF$13)))</f>
        <v>2</v>
      </c>
      <c r="BG83" s="171">
        <f ca="1">IF(OR($D83&lt;&gt;"Serviço",AND(AUTOEVENTO="Manual",$M83=$A$15)),0,
         IF(OFFSET(CRONOPLE!$F$15,$M83-$A$15,BG$13)=0,10^12,OFFSET(CRONOPLE!$F$15,$M83-$A$15,BG$13)))</f>
        <v>1000000000000</v>
      </c>
      <c r="BH83" s="171">
        <f ca="1">IF(OR($D83&lt;&gt;"Serviço",AND(AUTOEVENTO="Manual",$M83=$A$15)),0,
         IF(OFFSET(CRONOPLE!$F$15,$M83-$A$15,BH$13)=0,10^12,OFFSET(CRONOPLE!$F$15,$M83-$A$15,BH$13)))</f>
        <v>1000000000000</v>
      </c>
      <c r="BI83" s="171">
        <f ca="1">IF(OR($D83&lt;&gt;"Serviço",AND(AUTOEVENTO="Manual",$M83=$A$15)),0,
         IF(OFFSET(CRONOPLE!$F$15,$M83-$A$15,BI$13)=0,10^12,OFFSET(CRONOPLE!$F$15,$M83-$A$15,BI$13)))</f>
        <v>1000000000000</v>
      </c>
      <c r="BJ83" s="171">
        <f ca="1">IF(OR($D83&lt;&gt;"Serviço",AND(AUTOEVENTO="Manual",$M83=$A$15)),0,
         IF(OFFSET(CRONOPLE!$F$15,$M83-$A$15,BJ$13)=0,10^12,OFFSET(CRONOPLE!$F$15,$M83-$A$15,BJ$13)))</f>
        <v>1000000000000</v>
      </c>
      <c r="BK83" s="171">
        <f ca="1">IF(OR($D83&lt;&gt;"Serviço",AND(AUTOEVENTO="Manual",$M83=$A$15)),0,
         IF(OFFSET(CRONOPLE!$F$15,$M83-$A$15,BK$13)=0,10^12,OFFSET(CRONOPLE!$F$15,$M83-$A$15,BK$13)))</f>
        <v>1000000000000</v>
      </c>
      <c r="BL83" s="171">
        <f ca="1">IF(OR($D83&lt;&gt;"Serviço",AND(AUTOEVENTO="Manual",$M83=$A$15)),0,
         IF(OFFSET(CRONOPLE!$F$15,$M83-$A$15,BL$13)=0,10^12,OFFSET(CRONOPLE!$F$15,$M83-$A$15,BL$13)))</f>
        <v>1000000000000</v>
      </c>
      <c r="BM83" s="171">
        <f ca="1">IF(OR($D83&lt;&gt;"Serviço",AND(AUTOEVENTO="Manual",$M83=$A$15)),0,
         IF(OFFSET(CRONOPLE!$F$15,$M83-$A$15,BM$13)=0,10^12,OFFSET(CRONOPLE!$F$15,$M83-$A$15,BM$13)))</f>
        <v>1000000000000</v>
      </c>
      <c r="BN83" s="171">
        <f ca="1">IF(OR($D83&lt;&gt;"Serviço",AND(AUTOEVENTO="Manual",$M83=$A$15)),0,
         IF(OFFSET(CRONOPLE!$F$15,$M83-$A$15,BN$13)=0,10^12,OFFSET(CRONOPLE!$F$15,$M83-$A$15,BN$13)))</f>
        <v>1000000000000</v>
      </c>
      <c r="BO83" s="171">
        <f ca="1">IF(OR($D83&lt;&gt;"Serviço",AND(AUTOEVENTO="Manual",$M83=$A$15)),0,
         IF(OFFSET(CRONOPLE!$F$15,$M83-$A$15,BO$13)=0,10^12,OFFSET(CRONOPLE!$F$15,$M83-$A$15,BO$13)))</f>
        <v>1000000000000</v>
      </c>
      <c r="BP83" s="171">
        <f ca="1">IF(OR($D83&lt;&gt;"Serviço",AND(AUTOEVENTO="Manual",$M83=$A$15)),0,
         IF(OFFSET(CRONOPLE!$F$15,$M83-$A$15,BP$13)=0,10^12,OFFSET(CRONOPLE!$F$15,$M83-$A$15,BP$13)))</f>
        <v>1000000000000</v>
      </c>
      <c r="BQ83" s="171">
        <f ca="1">IF(OR($D83&lt;&gt;"Serviço",AND(AUTOEVENTO="Manual",$M83=$A$15)),0,
         IF(OFFSET(CRONOPLE!$F$15,$M83-$A$15,BQ$13)=0,10^12,OFFSET(CRONOPLE!$F$15,$M83-$A$15,BQ$13)))</f>
        <v>1000000000000</v>
      </c>
      <c r="BR83" s="171">
        <f ca="1">IF(OR($D83&lt;&gt;"Serviço",AND(AUTOEVENTO="Manual",$M83=$A$15)),0,
         IF(OFFSET(CRONOPLE!$F$15,$M83-$A$15,BR$13)=0,10^12,OFFSET(CRONOPLE!$F$15,$M83-$A$15,BR$13)))</f>
        <v>1000000000000</v>
      </c>
      <c r="BS83" s="171">
        <f ca="1">IF(OR($D83&lt;&gt;"Serviço",AND(AUTOEVENTO="Manual",$M83=$A$15)),0,
         IF(OFFSET(CRONOPLE!$F$15,$M83-$A$15,BS$13)=0,10^12,OFFSET(CRONOPLE!$F$15,$M83-$A$15,BS$13)))</f>
        <v>1000000000000</v>
      </c>
      <c r="BT83" s="171">
        <f ca="1">IF(OR($D83&lt;&gt;"Serviço",AND(AUTOEVENTO="Manual",$M83=$A$15)),0,
         IF(OFFSET(CRONOPLE!$F$15,$M83-$A$15,BT$13)=0,10^12,OFFSET(CRONOPLE!$F$15,$M83-$A$15,BT$13)))</f>
        <v>1000000000000</v>
      </c>
      <c r="BV83" s="172">
        <f ca="1">IF(OR($D83&lt;&gt;"Serviço",AND(AUTOEVENTO="Manual",$M83=$A$15),$M83&gt;(ROW(PLE.lastrow)-ROW(PLE.firstrow))),0,
           IF(OFFSET(PLE!$G$15,$M83-$A$15,BV$13)="",10^12,OFFSET(PLE!$G$15,$M83-$A$15,BV$13)))</f>
        <v>1000000000000</v>
      </c>
      <c r="BW83" s="172">
        <f ca="1">IF(OR($D83&lt;&gt;"Serviço",AND(AUTOEVENTO="Manual",$M83=$A$15),$M83&gt;(ROW(PLE.lastrow)-ROW(PLE.firstrow))),0,
           IF(OFFSET(PLE!$G$15,$M83-$A$15,BW$13)="",10^12,OFFSET(PLE!$G$15,$M83-$A$15,BW$13)))</f>
        <v>1000000000000</v>
      </c>
      <c r="BX83" s="172">
        <f ca="1">IF(OR($D83&lt;&gt;"Serviço",AND(AUTOEVENTO="Manual",$M83=$A$15),$M83&gt;(ROW(PLE.lastrow)-ROW(PLE.firstrow))),0,
           IF(OFFSET(PLE!$G$15,$M83-$A$15,BX$13)="",10^12,OFFSET(PLE!$G$15,$M83-$A$15,BX$13)))</f>
        <v>1000000000000</v>
      </c>
      <c r="BY83" s="172">
        <f ca="1">IF(OR($D83&lt;&gt;"Serviço",AND(AUTOEVENTO="Manual",$M83=$A$15),$M83&gt;(ROW(PLE.lastrow)-ROW(PLE.firstrow))),0,
           IF(OFFSET(PLE!$G$15,$M83-$A$15,BY$13)="",10^12,OFFSET(PLE!$G$15,$M83-$A$15,BY$13)))</f>
        <v>1000000000000</v>
      </c>
      <c r="BZ83" s="172">
        <f ca="1">IF(OR($D83&lt;&gt;"Serviço",AND(AUTOEVENTO="Manual",$M83=$A$15),$M83&gt;(ROW(PLE.lastrow)-ROW(PLE.firstrow))),0,
           IF(OFFSET(PLE!$G$15,$M83-$A$15,BZ$13)="",10^12,OFFSET(PLE!$G$15,$M83-$A$15,BZ$13)))</f>
        <v>1000000000000</v>
      </c>
      <c r="CA83" s="172">
        <f ca="1">IF(OR($D83&lt;&gt;"Serviço",AND(AUTOEVENTO="Manual",$M83=$A$15),$M83&gt;(ROW(PLE.lastrow)-ROW(PLE.firstrow))),0,
           IF(OFFSET(PLE!$G$15,$M83-$A$15,CA$13)="",10^12,OFFSET(PLE!$G$15,$M83-$A$15,CA$13)))</f>
        <v>1000000000000</v>
      </c>
      <c r="CB83" s="172">
        <f ca="1">IF(OR($D83&lt;&gt;"Serviço",AND(AUTOEVENTO="Manual",$M83=$A$15),$M83&gt;(ROW(PLE.lastrow)-ROW(PLE.firstrow))),0,
           IF(OFFSET(PLE!$G$15,$M83-$A$15,CB$13)="",10^12,OFFSET(PLE!$G$15,$M83-$A$15,CB$13)))</f>
        <v>1000000000000</v>
      </c>
      <c r="CC83" s="172">
        <f ca="1">IF(OR($D83&lt;&gt;"Serviço",AND(AUTOEVENTO="Manual",$M83=$A$15),$M83&gt;(ROW(PLE.lastrow)-ROW(PLE.firstrow))),0,
           IF(OFFSET(PLE!$G$15,$M83-$A$15,CC$13)="",10^12,OFFSET(PLE!$G$15,$M83-$A$15,CC$13)))</f>
        <v>1000000000000</v>
      </c>
      <c r="CD83" s="172">
        <f ca="1">IF(OR($D83&lt;&gt;"Serviço",AND(AUTOEVENTO="Manual",$M83=$A$15),$M83&gt;(ROW(PLE.lastrow)-ROW(PLE.firstrow))),0,
           IF(OFFSET(PLE!$G$15,$M83-$A$15,CD$13)="",10^12,OFFSET(PLE!$G$15,$M83-$A$15,CD$13)))</f>
        <v>1000000000000</v>
      </c>
      <c r="CE83" s="172">
        <f ca="1">IF(OR($D83&lt;&gt;"Serviço",AND(AUTOEVENTO="Manual",$M83=$A$15),$M83&gt;(ROW(PLE.lastrow)-ROW(PLE.firstrow))),0,
           IF(OFFSET(PLE!$G$15,$M83-$A$15,CE$13)="",10^12,OFFSET(PLE!$G$15,$M83-$A$15,CE$13)))</f>
        <v>1000000000000</v>
      </c>
      <c r="CF83" s="172">
        <f ca="1">IF(OR($D83&lt;&gt;"Serviço",AND(AUTOEVENTO="Manual",$M83=$A$15),$M83&gt;(ROW(PLE.lastrow)-ROW(PLE.firstrow))),0,
           IF(OFFSET(PLE!$G$15,$M83-$A$15,CF$13)="",10^12,OFFSET(PLE!$G$15,$M83-$A$15,CF$13)))</f>
        <v>1000000000000</v>
      </c>
      <c r="CG83" s="172">
        <f ca="1">IF(OR($D83&lt;&gt;"Serviço",AND(AUTOEVENTO="Manual",$M83=$A$15),$M83&gt;(ROW(PLE.lastrow)-ROW(PLE.firstrow))),0,
           IF(OFFSET(PLE!$G$15,$M83-$A$15,CG$13)="",10^12,OFFSET(PLE!$G$15,$M83-$A$15,CG$13)))</f>
        <v>1000000000000</v>
      </c>
      <c r="CH83" s="172">
        <f ca="1">IF(OR($D83&lt;&gt;"Serviço",AND(AUTOEVENTO="Manual",$M83=$A$15),$M83&gt;(ROW(PLE.lastrow)-ROW(PLE.firstrow))),0,
           IF(OFFSET(PLE!$G$15,$M83-$A$15,CH$13)="",10^12,OFFSET(PLE!$G$15,$M83-$A$15,CH$13)))</f>
        <v>1000000000000</v>
      </c>
      <c r="CI83" s="172">
        <f ca="1">IF(OR($D83&lt;&gt;"Serviço",AND(AUTOEVENTO="Manual",$M83=$A$15),$M83&gt;(ROW(PLE.lastrow)-ROW(PLE.firstrow))),0,
           IF(OFFSET(PLE!$G$15,$M83-$A$15,CI$13)="",10^12,OFFSET(PLE!$G$15,$M83-$A$15,CI$13)))</f>
        <v>1000000000000</v>
      </c>
      <c r="CJ83" s="172">
        <f ca="1">IF(OR($D83&lt;&gt;"Serviço",AND(AUTOEVENTO="Manual",$M83=$A$15),$M83&gt;(ROW(PLE.lastrow)-ROW(PLE.firstrow))),0,
           IF(OFFSET(PLE!$G$15,$M83-$A$15,CJ$13)="",10^12,OFFSET(PLE!$G$15,$M83-$A$15,CJ$13)))</f>
        <v>1000000000000</v>
      </c>
      <c r="CK83" s="172">
        <f ca="1">IF(OR($D83&lt;&gt;"Serviço",AND(AUTOEVENTO="Manual",$M83=$A$15),$M83&gt;(ROW(PLE.lastrow)-ROW(PLE.firstrow))),0,
           IF(OFFSET(PLE!$G$15,$M83-$A$15,CK$13)="",10^12,OFFSET(PLE!$G$15,$M83-$A$15,CK$13)))</f>
        <v>1000000000000</v>
      </c>
      <c r="CL83" s="172">
        <f ca="1">IF(OR($D83&lt;&gt;"Serviço",AND(AUTOEVENTO="Manual",$M83=$A$15),$M83&gt;(ROW(PLE.lastrow)-ROW(PLE.firstrow))),0,
           IF(OFFSET(PLE!$G$15,$M83-$A$15,CL$13)="",10^12,OFFSET(PLE!$G$15,$M83-$A$15,CL$13)))</f>
        <v>1000000000000</v>
      </c>
      <c r="CM83" s="172">
        <f ca="1">IF(OR($D83&lt;&gt;"Serviço",AND(AUTOEVENTO="Manual",$M83=$A$15),$M83&gt;(ROW(PLE.lastrow)-ROW(PLE.firstrow))),0,
           IF(OFFSET(PLE!$G$15,$M83-$A$15,CM$13)="",10^12,OFFSET(PLE!$G$15,$M83-$A$15,CM$13)))</f>
        <v>1000000000000</v>
      </c>
    </row>
    <row r="84" spans="1:91" ht="39.6" x14ac:dyDescent="0.25">
      <c r="A84" s="7" t="str">
        <f t="shared" ca="1" si="11"/>
        <v>67</v>
      </c>
      <c r="B84" s="7" t="str">
        <f ca="1">OFFSET(ORÇAMENTO!C$15,ROW(B84)-ROW(B$15),0)</f>
        <v>S</v>
      </c>
      <c r="C84" s="7" t="str">
        <f ca="1">OFFSET(ORÇAMENTO!L$15,ROW(C84)-ROW(C$15),0)</f>
        <v>F</v>
      </c>
      <c r="D84" s="116" t="str">
        <f ca="1">OFFSET(ORÇAMENTO!N$15,ROW(D84)-ROW(D$15),0)</f>
        <v>Serviço</v>
      </c>
      <c r="E84" s="117" t="str">
        <f ca="1">OFFSET(ORÇAMENTO!O$15,ROW(E84)-ROW(E$15),0)</f>
        <v>2.5.2.</v>
      </c>
      <c r="F84" s="163" t="str">
        <f ca="1">OFFSET(ORÇAMENTO!R$15,ROW(F84)-ROW(F$15),0)</f>
        <v>PINTURA DE FAIXA DE PEDESTRE OU ZEBRADA, TINTA RETROREFLETIVA A BASE DE RESINA ACRÍLICA COMMICROESFERAS DE VIDRO, E= 30CM</v>
      </c>
      <c r="G84" s="164" t="str">
        <f ca="1">IF($D84&lt;&gt;"Serviço","",OFFSET(ORÇAMENTO!S$15,ROW(G84)-ROW(G$15),0))</f>
        <v>M2</v>
      </c>
      <c r="H84" s="122" cm="1">
        <f t="array" aca="1" ref="H84" ca="1">IF($D84&lt;&gt;"Serviço",0,IF(ACOMPANHAMENTO="BM",ROUND(OFFSET(ORÇAMENTO!AJ$15,ROW(H84)-ROW(H$15),0),15-13*ORÇAMENTO!$AF$7),SUMPRODUCT(($Q$1:$AI$1=1)*ROUND($Q84:$AI84,15-13*ORÇAMENTO!$AF$7))))</f>
        <v>19</v>
      </c>
      <c r="I84" s="468"/>
      <c r="J84" s="651" t="e" cm="1">
        <f t="array" aca="1" ref="J84" ca="1">IF(OR(B84&lt;&gt;"S",CÁLCULO.FrentesPreenchidas=0),"",IF(AND(ACOMPANHAMENTO="PLE",AUTOEVENTO="Manual",OR(H84&gt;0,ORÇAMENTO!AC84="QUANT."),OR(K84="",M84=0,N84="")),"►E",IF(AND(ACOMPANHAMENTO="PLE",ORÇAMENTO!AC84="QUANT."),"►Q",IF(AND(ACOMPANHAMENTO="PLE",H84&lt;&gt;SUMPRODUCT(($Q$1:$AI$1=1)*ROUND(Q84:AI84,15))),"►S",IF(AND(COUNTIF($P$11:$AI$11,"▼")=0,H84&gt;0,I84=""),"◄M","")))))</f>
        <v>#NAME?</v>
      </c>
      <c r="K84" s="652"/>
      <c r="L84" s="165" t="s">
        <v>764</v>
      </c>
      <c r="M84" s="166">
        <f ca="1">IF($D84&lt;&gt;"Serviço","",
          IF(AUTOEVENTO="manual",$A84,
                IF(ISERROR(MATCH($A84,$A$15:OFFSET($A84,-1,0),0)),MAX($M$15:OFFSET(M84,-1,0))+1,
                      INDEX($M$15:OFFSET(M84,-1,0),MATCH($A84,$A$15:OFFSET($A84,-1,0),0)))))</f>
        <v>12</v>
      </c>
      <c r="N84" s="167" t="str">
        <f ca="1">IF($D84&lt;&gt;"Serviço","",
         IF(AUTOEVENTO="Manual",
                IF($A84=0,"&lt;-- defina o número do agrupador",
                       OFFSET(EVENTOS!$D$15,$A84-$A$15,0)),
                OFFSET($F$15,$A84,0)))</f>
        <v>SINALIZAÇÃO</v>
      </c>
      <c r="O84" s="168"/>
      <c r="Q84" s="168"/>
      <c r="R84" s="169"/>
      <c r="S84" s="169"/>
      <c r="T84" s="169">
        <v>19</v>
      </c>
      <c r="U84" s="169"/>
      <c r="V84" s="169"/>
      <c r="W84" s="169"/>
      <c r="X84" s="169"/>
      <c r="Y84" s="169"/>
      <c r="Z84" s="170"/>
      <c r="AA84" s="169"/>
      <c r="AB84" s="169"/>
      <c r="AC84" s="169"/>
      <c r="AD84" s="169"/>
      <c r="AE84" s="169"/>
      <c r="AF84" s="169"/>
      <c r="AG84" s="169"/>
      <c r="AH84" s="170"/>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L84" s="453">
        <f ca="1">IF(AND($D84="Serviço",AL$12&lt;&gt;0,$H84&gt;0,OR(AUTOEVENTO&lt;&gt;"manual",$M84&lt;&gt;$A$15)),
        IF(Import.TipoArredondamento&lt;&gt;"TransfereGOV",
              ROUND(OFFSET($P84,0,AL$13),15-13*ORÇAMENTO!$AF$7)/$H84*OFFSET(ORÇAMENTO!$X$15,ROW(AL84)-ROW(AL$15),0),
              ROUND(ROUND(OFFSET($P84,0,AL$13),15-13*ORÇAMENTO!$AF$7)*OFFSET(ORÇAMENTO!$W$15,ROW(AL84)-ROW(AL$15),0),15-13*ORÇAMENTO!$AF$11)),
         0)</f>
        <v>0</v>
      </c>
      <c r="AM84" s="453">
        <f ca="1">IF(AND($D84="Serviço",AM$12&lt;&gt;0,$H84&gt;0,OR(AUTOEVENTO&lt;&gt;"manual",$M84&lt;&gt;$A$15)),
        IF(Import.TipoArredondamento&lt;&gt;"TransfereGOV",
              ROUND(OFFSET($P84,0,AM$13),15-13*ORÇAMENTO!$AF$7)/$H84*OFFSET(ORÇAMENTO!$X$15,ROW(AM84)-ROW(AM$15),0),
              ROUND(ROUND(OFFSET($P84,0,AM$13),15-13*ORÇAMENTO!$AF$7)*OFFSET(ORÇAMENTO!$W$15,ROW(AM84)-ROW(AM$15),0),15-13*ORÇAMENTO!$AF$11)),
         0)</f>
        <v>922.07</v>
      </c>
      <c r="AN84" s="453">
        <f ca="1">IF(AND($D84="Serviço",AN$12&lt;&gt;0,$H84&gt;0,OR(AUTOEVENTO&lt;&gt;"manual",$M84&lt;&gt;$A$15)),
        IF(Import.TipoArredondamento&lt;&gt;"TransfereGOV",
              ROUND(OFFSET($P84,0,AN$13),15-13*ORÇAMENTO!$AF$7)/$H84*OFFSET(ORÇAMENTO!$X$15,ROW(AN84)-ROW(AN$15),0),
              ROUND(ROUND(OFFSET($P84,0,AN$13),15-13*ORÇAMENTO!$AF$7)*OFFSET(ORÇAMENTO!$W$15,ROW(AN84)-ROW(AN$15),0),15-13*ORÇAMENTO!$AF$11)),
         0)</f>
        <v>0</v>
      </c>
      <c r="AO84" s="453">
        <f ca="1">IF(AND($D84="Serviço",AO$12&lt;&gt;0,$H84&gt;0,OR(AUTOEVENTO&lt;&gt;"manual",$M84&lt;&gt;$A$15)),
        IF(Import.TipoArredondamento&lt;&gt;"TransfereGOV",
              ROUND(OFFSET($P84,0,AO$13),15-13*ORÇAMENTO!$AF$7)/$H84*OFFSET(ORÇAMENTO!$X$15,ROW(AO84)-ROW(AO$15),0),
              ROUND(ROUND(OFFSET($P84,0,AO$13),15-13*ORÇAMENTO!$AF$7)*OFFSET(ORÇAMENTO!$W$15,ROW(AO84)-ROW(AO$15),0),15-13*ORÇAMENTO!$AF$11)),
         0)</f>
        <v>0</v>
      </c>
      <c r="AP84" s="453">
        <f ca="1">IF(AND($D84="Serviço",AP$12&lt;&gt;0,$H84&gt;0,OR(AUTOEVENTO&lt;&gt;"manual",$M84&lt;&gt;$A$15)),
        IF(Import.TipoArredondamento&lt;&gt;"TransfereGOV",
              ROUND(OFFSET($P84,0,AP$13),15-13*ORÇAMENTO!$AF$7)/$H84*OFFSET(ORÇAMENTO!$X$15,ROW(AP84)-ROW(AP$15),0),
              ROUND(ROUND(OFFSET($P84,0,AP$13),15-13*ORÇAMENTO!$AF$7)*OFFSET(ORÇAMENTO!$W$15,ROW(AP84)-ROW(AP$15),0),15-13*ORÇAMENTO!$AF$11)),
         0)</f>
        <v>0</v>
      </c>
      <c r="AQ84" s="453">
        <f ca="1">IF(AND($D84="Serviço",AQ$12&lt;&gt;0,$H84&gt;0,OR(AUTOEVENTO&lt;&gt;"manual",$M84&lt;&gt;$A$15)),
        IF(Import.TipoArredondamento&lt;&gt;"TransfereGOV",
              ROUND(OFFSET($P84,0,AQ$13),15-13*ORÇAMENTO!$AF$7)/$H84*OFFSET(ORÇAMENTO!$X$15,ROW(AQ84)-ROW(AQ$15),0),
              ROUND(ROUND(OFFSET($P84,0,AQ$13),15-13*ORÇAMENTO!$AF$7)*OFFSET(ORÇAMENTO!$W$15,ROW(AQ84)-ROW(AQ$15),0),15-13*ORÇAMENTO!$AF$11)),
         0)</f>
        <v>0</v>
      </c>
      <c r="AR84" s="453">
        <f ca="1">IF(AND($D84="Serviço",AR$12&lt;&gt;0,$H84&gt;0,OR(AUTOEVENTO&lt;&gt;"manual",$M84&lt;&gt;$A$15)),
        IF(Import.TipoArredondamento&lt;&gt;"TransfereGOV",
              ROUND(OFFSET($P84,0,AR$13),15-13*ORÇAMENTO!$AF$7)/$H84*OFFSET(ORÇAMENTO!$X$15,ROW(AR84)-ROW(AR$15),0),
              ROUND(ROUND(OFFSET($P84,0,AR$13),15-13*ORÇAMENTO!$AF$7)*OFFSET(ORÇAMENTO!$W$15,ROW(AR84)-ROW(AR$15),0),15-13*ORÇAMENTO!$AF$11)),
         0)</f>
        <v>0</v>
      </c>
      <c r="AS84" s="453">
        <f ca="1">IF(AND($D84="Serviço",AS$12&lt;&gt;0,$H84&gt;0,OR(AUTOEVENTO&lt;&gt;"manual",$M84&lt;&gt;$A$15)),
        IF(Import.TipoArredondamento&lt;&gt;"TransfereGOV",
              ROUND(OFFSET($P84,0,AS$13),15-13*ORÇAMENTO!$AF$7)/$H84*OFFSET(ORÇAMENTO!$X$15,ROW(AS84)-ROW(AS$15),0),
              ROUND(ROUND(OFFSET($P84,0,AS$13),15-13*ORÇAMENTO!$AF$7)*OFFSET(ORÇAMENTO!$W$15,ROW(AS84)-ROW(AS$15),0),15-13*ORÇAMENTO!$AF$11)),
         0)</f>
        <v>0</v>
      </c>
      <c r="AT84" s="453">
        <f ca="1">IF(AND($D84="Serviço",AT$12&lt;&gt;0,$H84&gt;0,OR(AUTOEVENTO&lt;&gt;"manual",$M84&lt;&gt;$A$15)),
        IF(Import.TipoArredondamento&lt;&gt;"TransfereGOV",
              ROUND(OFFSET($P84,0,AT$13),15-13*ORÇAMENTO!$AF$7)/$H84*OFFSET(ORÇAMENTO!$X$15,ROW(AT84)-ROW(AT$15),0),
              ROUND(ROUND(OFFSET($P84,0,AT$13),15-13*ORÇAMENTO!$AF$7)*OFFSET(ORÇAMENTO!$W$15,ROW(AT84)-ROW(AT$15),0),15-13*ORÇAMENTO!$AF$11)),
         0)</f>
        <v>0</v>
      </c>
      <c r="AU84" s="453">
        <f ca="1">IF(AND($D84="Serviço",AU$12&lt;&gt;0,$H84&gt;0,OR(AUTOEVENTO&lt;&gt;"manual",$M84&lt;&gt;$A$15)),
        IF(Import.TipoArredondamento&lt;&gt;"TransfereGOV",
              ROUND(OFFSET($P84,0,AU$13),15-13*ORÇAMENTO!$AF$7)/$H84*OFFSET(ORÇAMENTO!$X$15,ROW(AU84)-ROW(AU$15),0),
              ROUND(ROUND(OFFSET($P84,0,AU$13),15-13*ORÇAMENTO!$AF$7)*OFFSET(ORÇAMENTO!$W$15,ROW(AU84)-ROW(AU$15),0),15-13*ORÇAMENTO!$AF$11)),
         0)</f>
        <v>0</v>
      </c>
      <c r="AV84" s="453">
        <f ca="1">IF(AND($D84="Serviço",AV$12&lt;&gt;0,$H84&gt;0,OR(AUTOEVENTO&lt;&gt;"manual",$M84&lt;&gt;$A$15)),
        IF(Import.TipoArredondamento&lt;&gt;"TransfereGOV",
              ROUND(OFFSET($P84,0,AV$13),15-13*ORÇAMENTO!$AF$7)/$H84*OFFSET(ORÇAMENTO!$X$15,ROW(AV84)-ROW(AV$15),0),
              ROUND(ROUND(OFFSET($P84,0,AV$13),15-13*ORÇAMENTO!$AF$7)*OFFSET(ORÇAMENTO!$W$15,ROW(AV84)-ROW(AV$15),0),15-13*ORÇAMENTO!$AF$11)),
         0)</f>
        <v>0</v>
      </c>
      <c r="AW84" s="453">
        <f ca="1">IF(AND($D84="Serviço",AW$12&lt;&gt;0,$H84&gt;0,OR(AUTOEVENTO&lt;&gt;"manual",$M84&lt;&gt;$A$15)),
        IF(Import.TipoArredondamento&lt;&gt;"TransfereGOV",
              ROUND(OFFSET($P84,0,AW$13),15-13*ORÇAMENTO!$AF$7)/$H84*OFFSET(ORÇAMENTO!$X$15,ROW(AW84)-ROW(AW$15),0),
              ROUND(ROUND(OFFSET($P84,0,AW$13),15-13*ORÇAMENTO!$AF$7)*OFFSET(ORÇAMENTO!$W$15,ROW(AW84)-ROW(AW$15),0),15-13*ORÇAMENTO!$AF$11)),
         0)</f>
        <v>0</v>
      </c>
      <c r="AX84" s="453">
        <f ca="1">IF(AND($D84="Serviço",AX$12&lt;&gt;0,$H84&gt;0,OR(AUTOEVENTO&lt;&gt;"manual",$M84&lt;&gt;$A$15)),
        IF(Import.TipoArredondamento&lt;&gt;"TransfereGOV",
              ROUND(OFFSET($P84,0,AX$13),15-13*ORÇAMENTO!$AF$7)/$H84*OFFSET(ORÇAMENTO!$X$15,ROW(AX84)-ROW(AX$15),0),
              ROUND(ROUND(OFFSET($P84,0,AX$13),15-13*ORÇAMENTO!$AF$7)*OFFSET(ORÇAMENTO!$W$15,ROW(AX84)-ROW(AX$15),0),15-13*ORÇAMENTO!$AF$11)),
         0)</f>
        <v>0</v>
      </c>
      <c r="AY84" s="453">
        <f ca="1">IF(AND($D84="Serviço",AY$12&lt;&gt;0,$H84&gt;0,OR(AUTOEVENTO&lt;&gt;"manual",$M84&lt;&gt;$A$15)),
        IF(Import.TipoArredondamento&lt;&gt;"TransfereGOV",
              ROUND(OFFSET($P84,0,AY$13),15-13*ORÇAMENTO!$AF$7)/$H84*OFFSET(ORÇAMENTO!$X$15,ROW(AY84)-ROW(AY$15),0),
              ROUND(ROUND(OFFSET($P84,0,AY$13),15-13*ORÇAMENTO!$AF$7)*OFFSET(ORÇAMENTO!$W$15,ROW(AY84)-ROW(AY$15),0),15-13*ORÇAMENTO!$AF$11)),
         0)</f>
        <v>0</v>
      </c>
      <c r="AZ84" s="453">
        <f ca="1">IF(AND($D84="Serviço",AZ$12&lt;&gt;0,$H84&gt;0,OR(AUTOEVENTO&lt;&gt;"manual",$M84&lt;&gt;$A$15)),
        IF(Import.TipoArredondamento&lt;&gt;"TransfereGOV",
              ROUND(OFFSET($P84,0,AZ$13),15-13*ORÇAMENTO!$AF$7)/$H84*OFFSET(ORÇAMENTO!$X$15,ROW(AZ84)-ROW(AZ$15),0),
              ROUND(ROUND(OFFSET($P84,0,AZ$13),15-13*ORÇAMENTO!$AF$7)*OFFSET(ORÇAMENTO!$W$15,ROW(AZ84)-ROW(AZ$15),0),15-13*ORÇAMENTO!$AF$11)),
         0)</f>
        <v>0</v>
      </c>
      <c r="BA84" s="453">
        <f ca="1">IF(AND($D84="Serviço",BA$12&lt;&gt;0,$H84&gt;0,OR(AUTOEVENTO&lt;&gt;"manual",$M84&lt;&gt;$A$15)),
        IF(Import.TipoArredondamento&lt;&gt;"TransfereGOV",
              ROUND(OFFSET($P84,0,BA$13),15-13*ORÇAMENTO!$AF$7)/$H84*OFFSET(ORÇAMENTO!$X$15,ROW(BA84)-ROW(BA$15),0),
              ROUND(ROUND(OFFSET($P84,0,BA$13),15-13*ORÇAMENTO!$AF$7)*OFFSET(ORÇAMENTO!$W$15,ROW(BA84)-ROW(BA$15),0),15-13*ORÇAMENTO!$AF$11)),
         0)</f>
        <v>0</v>
      </c>
      <c r="BC84" s="171">
        <f ca="1">IF(OR($D84&lt;&gt;"Serviço",AND(AUTOEVENTO="Manual",$M84=$A$15)),0,
         IF(OFFSET(CRONOPLE!$F$15,$M84-$A$15,BC$13)=0,10^12,OFFSET(CRONOPLE!$F$15,$M84-$A$15,BC$13)))</f>
        <v>1000000000000</v>
      </c>
      <c r="BD84" s="171">
        <f ca="1">IF(OR($D84&lt;&gt;"Serviço",AND(AUTOEVENTO="Manual",$M84=$A$15)),0,
         IF(OFFSET(CRONOPLE!$F$15,$M84-$A$15,BD$13)=0,10^12,OFFSET(CRONOPLE!$F$15,$M84-$A$15,BD$13)))</f>
        <v>1000000000000</v>
      </c>
      <c r="BE84" s="171">
        <f ca="1">IF(OR($D84&lt;&gt;"Serviço",AND(AUTOEVENTO="Manual",$M84=$A$15)),0,
         IF(OFFSET(CRONOPLE!$F$15,$M84-$A$15,BE$13)=0,10^12,OFFSET(CRONOPLE!$F$15,$M84-$A$15,BE$13)))</f>
        <v>1000000000000</v>
      </c>
      <c r="BF84" s="171">
        <f ca="1">IF(OR($D84&lt;&gt;"Serviço",AND(AUTOEVENTO="Manual",$M84=$A$15)),0,
         IF(OFFSET(CRONOPLE!$F$15,$M84-$A$15,BF$13)=0,10^12,OFFSET(CRONOPLE!$F$15,$M84-$A$15,BF$13)))</f>
        <v>2</v>
      </c>
      <c r="BG84" s="171">
        <f ca="1">IF(OR($D84&lt;&gt;"Serviço",AND(AUTOEVENTO="Manual",$M84=$A$15)),0,
         IF(OFFSET(CRONOPLE!$F$15,$M84-$A$15,BG$13)=0,10^12,OFFSET(CRONOPLE!$F$15,$M84-$A$15,BG$13)))</f>
        <v>1000000000000</v>
      </c>
      <c r="BH84" s="171">
        <f ca="1">IF(OR($D84&lt;&gt;"Serviço",AND(AUTOEVENTO="Manual",$M84=$A$15)),0,
         IF(OFFSET(CRONOPLE!$F$15,$M84-$A$15,BH$13)=0,10^12,OFFSET(CRONOPLE!$F$15,$M84-$A$15,BH$13)))</f>
        <v>1000000000000</v>
      </c>
      <c r="BI84" s="171">
        <f ca="1">IF(OR($D84&lt;&gt;"Serviço",AND(AUTOEVENTO="Manual",$M84=$A$15)),0,
         IF(OFFSET(CRONOPLE!$F$15,$M84-$A$15,BI$13)=0,10^12,OFFSET(CRONOPLE!$F$15,$M84-$A$15,BI$13)))</f>
        <v>1000000000000</v>
      </c>
      <c r="BJ84" s="171">
        <f ca="1">IF(OR($D84&lt;&gt;"Serviço",AND(AUTOEVENTO="Manual",$M84=$A$15)),0,
         IF(OFFSET(CRONOPLE!$F$15,$M84-$A$15,BJ$13)=0,10^12,OFFSET(CRONOPLE!$F$15,$M84-$A$15,BJ$13)))</f>
        <v>1000000000000</v>
      </c>
      <c r="BK84" s="171">
        <f ca="1">IF(OR($D84&lt;&gt;"Serviço",AND(AUTOEVENTO="Manual",$M84=$A$15)),0,
         IF(OFFSET(CRONOPLE!$F$15,$M84-$A$15,BK$13)=0,10^12,OFFSET(CRONOPLE!$F$15,$M84-$A$15,BK$13)))</f>
        <v>1000000000000</v>
      </c>
      <c r="BL84" s="171">
        <f ca="1">IF(OR($D84&lt;&gt;"Serviço",AND(AUTOEVENTO="Manual",$M84=$A$15)),0,
         IF(OFFSET(CRONOPLE!$F$15,$M84-$A$15,BL$13)=0,10^12,OFFSET(CRONOPLE!$F$15,$M84-$A$15,BL$13)))</f>
        <v>1000000000000</v>
      </c>
      <c r="BM84" s="171">
        <f ca="1">IF(OR($D84&lt;&gt;"Serviço",AND(AUTOEVENTO="Manual",$M84=$A$15)),0,
         IF(OFFSET(CRONOPLE!$F$15,$M84-$A$15,BM$13)=0,10^12,OFFSET(CRONOPLE!$F$15,$M84-$A$15,BM$13)))</f>
        <v>1000000000000</v>
      </c>
      <c r="BN84" s="171">
        <f ca="1">IF(OR($D84&lt;&gt;"Serviço",AND(AUTOEVENTO="Manual",$M84=$A$15)),0,
         IF(OFFSET(CRONOPLE!$F$15,$M84-$A$15,BN$13)=0,10^12,OFFSET(CRONOPLE!$F$15,$M84-$A$15,BN$13)))</f>
        <v>1000000000000</v>
      </c>
      <c r="BO84" s="171">
        <f ca="1">IF(OR($D84&lt;&gt;"Serviço",AND(AUTOEVENTO="Manual",$M84=$A$15)),0,
         IF(OFFSET(CRONOPLE!$F$15,$M84-$A$15,BO$13)=0,10^12,OFFSET(CRONOPLE!$F$15,$M84-$A$15,BO$13)))</f>
        <v>1000000000000</v>
      </c>
      <c r="BP84" s="171">
        <f ca="1">IF(OR($D84&lt;&gt;"Serviço",AND(AUTOEVENTO="Manual",$M84=$A$15)),0,
         IF(OFFSET(CRONOPLE!$F$15,$M84-$A$15,BP$13)=0,10^12,OFFSET(CRONOPLE!$F$15,$M84-$A$15,BP$13)))</f>
        <v>1000000000000</v>
      </c>
      <c r="BQ84" s="171">
        <f ca="1">IF(OR($D84&lt;&gt;"Serviço",AND(AUTOEVENTO="Manual",$M84=$A$15)),0,
         IF(OFFSET(CRONOPLE!$F$15,$M84-$A$15,BQ$13)=0,10^12,OFFSET(CRONOPLE!$F$15,$M84-$A$15,BQ$13)))</f>
        <v>1000000000000</v>
      </c>
      <c r="BR84" s="171">
        <f ca="1">IF(OR($D84&lt;&gt;"Serviço",AND(AUTOEVENTO="Manual",$M84=$A$15)),0,
         IF(OFFSET(CRONOPLE!$F$15,$M84-$A$15,BR$13)=0,10^12,OFFSET(CRONOPLE!$F$15,$M84-$A$15,BR$13)))</f>
        <v>1000000000000</v>
      </c>
      <c r="BS84" s="171">
        <f ca="1">IF(OR($D84&lt;&gt;"Serviço",AND(AUTOEVENTO="Manual",$M84=$A$15)),0,
         IF(OFFSET(CRONOPLE!$F$15,$M84-$A$15,BS$13)=0,10^12,OFFSET(CRONOPLE!$F$15,$M84-$A$15,BS$13)))</f>
        <v>1000000000000</v>
      </c>
      <c r="BT84" s="171">
        <f ca="1">IF(OR($D84&lt;&gt;"Serviço",AND(AUTOEVENTO="Manual",$M84=$A$15)),0,
         IF(OFFSET(CRONOPLE!$F$15,$M84-$A$15,BT$13)=0,10^12,OFFSET(CRONOPLE!$F$15,$M84-$A$15,BT$13)))</f>
        <v>1000000000000</v>
      </c>
      <c r="BV84" s="172">
        <f ca="1">IF(OR($D84&lt;&gt;"Serviço",AND(AUTOEVENTO="Manual",$M84=$A$15),$M84&gt;(ROW(PLE.lastrow)-ROW(PLE.firstrow))),0,
           IF(OFFSET(PLE!$G$15,$M84-$A$15,BV$13)="",10^12,OFFSET(PLE!$G$15,$M84-$A$15,BV$13)))</f>
        <v>1000000000000</v>
      </c>
      <c r="BW84" s="172">
        <f ca="1">IF(OR($D84&lt;&gt;"Serviço",AND(AUTOEVENTO="Manual",$M84=$A$15),$M84&gt;(ROW(PLE.lastrow)-ROW(PLE.firstrow))),0,
           IF(OFFSET(PLE!$G$15,$M84-$A$15,BW$13)="",10^12,OFFSET(PLE!$G$15,$M84-$A$15,BW$13)))</f>
        <v>1000000000000</v>
      </c>
      <c r="BX84" s="172">
        <f ca="1">IF(OR($D84&lt;&gt;"Serviço",AND(AUTOEVENTO="Manual",$M84=$A$15),$M84&gt;(ROW(PLE.lastrow)-ROW(PLE.firstrow))),0,
           IF(OFFSET(PLE!$G$15,$M84-$A$15,BX$13)="",10^12,OFFSET(PLE!$G$15,$M84-$A$15,BX$13)))</f>
        <v>1000000000000</v>
      </c>
      <c r="BY84" s="172">
        <f ca="1">IF(OR($D84&lt;&gt;"Serviço",AND(AUTOEVENTO="Manual",$M84=$A$15),$M84&gt;(ROW(PLE.lastrow)-ROW(PLE.firstrow))),0,
           IF(OFFSET(PLE!$G$15,$M84-$A$15,BY$13)="",10^12,OFFSET(PLE!$G$15,$M84-$A$15,BY$13)))</f>
        <v>1000000000000</v>
      </c>
      <c r="BZ84" s="172">
        <f ca="1">IF(OR($D84&lt;&gt;"Serviço",AND(AUTOEVENTO="Manual",$M84=$A$15),$M84&gt;(ROW(PLE.lastrow)-ROW(PLE.firstrow))),0,
           IF(OFFSET(PLE!$G$15,$M84-$A$15,BZ$13)="",10^12,OFFSET(PLE!$G$15,$M84-$A$15,BZ$13)))</f>
        <v>1000000000000</v>
      </c>
      <c r="CA84" s="172">
        <f ca="1">IF(OR($D84&lt;&gt;"Serviço",AND(AUTOEVENTO="Manual",$M84=$A$15),$M84&gt;(ROW(PLE.lastrow)-ROW(PLE.firstrow))),0,
           IF(OFFSET(PLE!$G$15,$M84-$A$15,CA$13)="",10^12,OFFSET(PLE!$G$15,$M84-$A$15,CA$13)))</f>
        <v>1000000000000</v>
      </c>
      <c r="CB84" s="172">
        <f ca="1">IF(OR($D84&lt;&gt;"Serviço",AND(AUTOEVENTO="Manual",$M84=$A$15),$M84&gt;(ROW(PLE.lastrow)-ROW(PLE.firstrow))),0,
           IF(OFFSET(PLE!$G$15,$M84-$A$15,CB$13)="",10^12,OFFSET(PLE!$G$15,$M84-$A$15,CB$13)))</f>
        <v>1000000000000</v>
      </c>
      <c r="CC84" s="172">
        <f ca="1">IF(OR($D84&lt;&gt;"Serviço",AND(AUTOEVENTO="Manual",$M84=$A$15),$M84&gt;(ROW(PLE.lastrow)-ROW(PLE.firstrow))),0,
           IF(OFFSET(PLE!$G$15,$M84-$A$15,CC$13)="",10^12,OFFSET(PLE!$G$15,$M84-$A$15,CC$13)))</f>
        <v>1000000000000</v>
      </c>
      <c r="CD84" s="172">
        <f ca="1">IF(OR($D84&lt;&gt;"Serviço",AND(AUTOEVENTO="Manual",$M84=$A$15),$M84&gt;(ROW(PLE.lastrow)-ROW(PLE.firstrow))),0,
           IF(OFFSET(PLE!$G$15,$M84-$A$15,CD$13)="",10^12,OFFSET(PLE!$G$15,$M84-$A$15,CD$13)))</f>
        <v>1000000000000</v>
      </c>
      <c r="CE84" s="172">
        <f ca="1">IF(OR($D84&lt;&gt;"Serviço",AND(AUTOEVENTO="Manual",$M84=$A$15),$M84&gt;(ROW(PLE.lastrow)-ROW(PLE.firstrow))),0,
           IF(OFFSET(PLE!$G$15,$M84-$A$15,CE$13)="",10^12,OFFSET(PLE!$G$15,$M84-$A$15,CE$13)))</f>
        <v>1000000000000</v>
      </c>
      <c r="CF84" s="172">
        <f ca="1">IF(OR($D84&lt;&gt;"Serviço",AND(AUTOEVENTO="Manual",$M84=$A$15),$M84&gt;(ROW(PLE.lastrow)-ROW(PLE.firstrow))),0,
           IF(OFFSET(PLE!$G$15,$M84-$A$15,CF$13)="",10^12,OFFSET(PLE!$G$15,$M84-$A$15,CF$13)))</f>
        <v>1000000000000</v>
      </c>
      <c r="CG84" s="172">
        <f ca="1">IF(OR($D84&lt;&gt;"Serviço",AND(AUTOEVENTO="Manual",$M84=$A$15),$M84&gt;(ROW(PLE.lastrow)-ROW(PLE.firstrow))),0,
           IF(OFFSET(PLE!$G$15,$M84-$A$15,CG$13)="",10^12,OFFSET(PLE!$G$15,$M84-$A$15,CG$13)))</f>
        <v>1000000000000</v>
      </c>
      <c r="CH84" s="172">
        <f ca="1">IF(OR($D84&lt;&gt;"Serviço",AND(AUTOEVENTO="Manual",$M84=$A$15),$M84&gt;(ROW(PLE.lastrow)-ROW(PLE.firstrow))),0,
           IF(OFFSET(PLE!$G$15,$M84-$A$15,CH$13)="",10^12,OFFSET(PLE!$G$15,$M84-$A$15,CH$13)))</f>
        <v>1000000000000</v>
      </c>
      <c r="CI84" s="172">
        <f ca="1">IF(OR($D84&lt;&gt;"Serviço",AND(AUTOEVENTO="Manual",$M84=$A$15),$M84&gt;(ROW(PLE.lastrow)-ROW(PLE.firstrow))),0,
           IF(OFFSET(PLE!$G$15,$M84-$A$15,CI$13)="",10^12,OFFSET(PLE!$G$15,$M84-$A$15,CI$13)))</f>
        <v>1000000000000</v>
      </c>
      <c r="CJ84" s="172">
        <f ca="1">IF(OR($D84&lt;&gt;"Serviço",AND(AUTOEVENTO="Manual",$M84=$A$15),$M84&gt;(ROW(PLE.lastrow)-ROW(PLE.firstrow))),0,
           IF(OFFSET(PLE!$G$15,$M84-$A$15,CJ$13)="",10^12,OFFSET(PLE!$G$15,$M84-$A$15,CJ$13)))</f>
        <v>1000000000000</v>
      </c>
      <c r="CK84" s="172">
        <f ca="1">IF(OR($D84&lt;&gt;"Serviço",AND(AUTOEVENTO="Manual",$M84=$A$15),$M84&gt;(ROW(PLE.lastrow)-ROW(PLE.firstrow))),0,
           IF(OFFSET(PLE!$G$15,$M84-$A$15,CK$13)="",10^12,OFFSET(PLE!$G$15,$M84-$A$15,CK$13)))</f>
        <v>1000000000000</v>
      </c>
      <c r="CL84" s="172">
        <f ca="1">IF(OR($D84&lt;&gt;"Serviço",AND(AUTOEVENTO="Manual",$M84=$A$15),$M84&gt;(ROW(PLE.lastrow)-ROW(PLE.firstrow))),0,
           IF(OFFSET(PLE!$G$15,$M84-$A$15,CL$13)="",10^12,OFFSET(PLE!$G$15,$M84-$A$15,CL$13)))</f>
        <v>1000000000000</v>
      </c>
      <c r="CM84" s="172">
        <f ca="1">IF(OR($D84&lt;&gt;"Serviço",AND(AUTOEVENTO="Manual",$M84=$A$15),$M84&gt;(ROW(PLE.lastrow)-ROW(PLE.firstrow))),0,
           IF(OFFSET(PLE!$G$15,$M84-$A$15,CM$13)="",10^12,OFFSET(PLE!$G$15,$M84-$A$15,CM$13)))</f>
        <v>1000000000000</v>
      </c>
    </row>
    <row r="85" spans="1:91" ht="13.2" x14ac:dyDescent="0.25">
      <c r="A85" s="7" t="str">
        <f t="shared" ca="1" si="11"/>
        <v>67</v>
      </c>
      <c r="B85" s="7" t="str">
        <f ca="1">OFFSET(ORÇAMENTO!C$15,ROW(B85)-ROW(B$15),0)</f>
        <v>S</v>
      </c>
      <c r="C85" s="7" t="str">
        <f ca="1">OFFSET(ORÇAMENTO!L$15,ROW(C85)-ROW(C$15),0)</f>
        <v>F</v>
      </c>
      <c r="D85" s="116" t="str">
        <f ca="1">OFFSET(ORÇAMENTO!N$15,ROW(D85)-ROW(D$15),0)</f>
        <v>Serviço</v>
      </c>
      <c r="E85" s="117" t="str">
        <f ca="1">OFFSET(ORÇAMENTO!O$15,ROW(E85)-ROW(E$15),0)</f>
        <v>2.5.3.</v>
      </c>
      <c r="F85" s="163" t="str">
        <f ca="1">OFFSET(ORÇAMENTO!R$15,ROW(F85)-ROW(F$15),0)</f>
        <v>PLACA DE ADVERTÊNCIA QUADRADA LADO 0,60M</v>
      </c>
      <c r="G85" s="164" t="str">
        <f ca="1">IF($D85&lt;&gt;"Serviço","",OFFSET(ORÇAMENTO!S$15,ROW(G85)-ROW(G$15),0))</f>
        <v>UN</v>
      </c>
      <c r="H85" s="122" cm="1">
        <f t="array" aca="1" ref="H85" ca="1">IF($D85&lt;&gt;"Serviço",0,IF(ACOMPANHAMENTO="BM",ROUND(OFFSET(ORÇAMENTO!AJ$15,ROW(H85)-ROW(H$15),0),15-13*ORÇAMENTO!$AF$7),SUMPRODUCT(($Q$1:$AI$1=1)*ROUND($Q85:$AI85,15-13*ORÇAMENTO!$AF$7))))</f>
        <v>6</v>
      </c>
      <c r="I85" s="468"/>
      <c r="J85" s="651" t="e" cm="1">
        <f t="array" aca="1" ref="J85" ca="1">IF(OR(B85&lt;&gt;"S",CÁLCULO.FrentesPreenchidas=0),"",IF(AND(ACOMPANHAMENTO="PLE",AUTOEVENTO="Manual",OR(H85&gt;0,ORÇAMENTO!AC85="QUANT."),OR(K85="",M85=0,N85="")),"►E",IF(AND(ACOMPANHAMENTO="PLE",ORÇAMENTO!AC85="QUANT."),"►Q",IF(AND(ACOMPANHAMENTO="PLE",H85&lt;&gt;SUMPRODUCT(($Q$1:$AI$1=1)*ROUND(Q85:AI85,15))),"►S",IF(AND(COUNTIF($P$11:$AI$11,"▼")=0,H85&gt;0,I85=""),"◄M","")))))</f>
        <v>#NAME?</v>
      </c>
      <c r="K85" s="652"/>
      <c r="L85" s="165" t="s">
        <v>764</v>
      </c>
      <c r="M85" s="166">
        <f ca="1">IF($D85&lt;&gt;"Serviço","",
          IF(AUTOEVENTO="manual",$A85,
                IF(ISERROR(MATCH($A85,$A$15:OFFSET($A85,-1,0),0)),MAX($M$15:OFFSET(M85,-1,0))+1,
                      INDEX($M$15:OFFSET(M85,-1,0),MATCH($A85,$A$15:OFFSET($A85,-1,0),0)))))</f>
        <v>12</v>
      </c>
      <c r="N85" s="167" t="str">
        <f ca="1">IF($D85&lt;&gt;"Serviço","",
         IF(AUTOEVENTO="Manual",
                IF($A85=0,"&lt;-- defina o número do agrupador",
                       OFFSET(EVENTOS!$D$15,$A85-$A$15,0)),
                OFFSET($F$15,$A85,0)))</f>
        <v>SINALIZAÇÃO</v>
      </c>
      <c r="O85" s="168"/>
      <c r="Q85" s="168"/>
      <c r="R85" s="169"/>
      <c r="S85" s="169"/>
      <c r="T85" s="169">
        <v>6</v>
      </c>
      <c r="U85" s="169"/>
      <c r="V85" s="169"/>
      <c r="W85" s="169"/>
      <c r="X85" s="169"/>
      <c r="Y85" s="169"/>
      <c r="Z85" s="170"/>
      <c r="AA85" s="169"/>
      <c r="AB85" s="169"/>
      <c r="AC85" s="169"/>
      <c r="AD85" s="169"/>
      <c r="AE85" s="169"/>
      <c r="AF85" s="169"/>
      <c r="AG85" s="169"/>
      <c r="AH85" s="170"/>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L85" s="453">
        <f ca="1">IF(AND($D85="Serviço",AL$12&lt;&gt;0,$H85&gt;0,OR(AUTOEVENTO&lt;&gt;"manual",$M85&lt;&gt;$A$15)),
        IF(Import.TipoArredondamento&lt;&gt;"TransfereGOV",
              ROUND(OFFSET($P85,0,AL$13),15-13*ORÇAMENTO!$AF$7)/$H85*OFFSET(ORÇAMENTO!$X$15,ROW(AL85)-ROW(AL$15),0),
              ROUND(ROUND(OFFSET($P85,0,AL$13),15-13*ORÇAMENTO!$AF$7)*OFFSET(ORÇAMENTO!$W$15,ROW(AL85)-ROW(AL$15),0),15-13*ORÇAMENTO!$AF$11)),
         0)</f>
        <v>0</v>
      </c>
      <c r="AM85" s="453">
        <f ca="1">IF(AND($D85="Serviço",AM$12&lt;&gt;0,$H85&gt;0,OR(AUTOEVENTO&lt;&gt;"manual",$M85&lt;&gt;$A$15)),
        IF(Import.TipoArredondamento&lt;&gt;"TransfereGOV",
              ROUND(OFFSET($P85,0,AM$13),15-13*ORÇAMENTO!$AF$7)/$H85*OFFSET(ORÇAMENTO!$X$15,ROW(AM85)-ROW(AM$15),0),
              ROUND(ROUND(OFFSET($P85,0,AM$13),15-13*ORÇAMENTO!$AF$7)*OFFSET(ORÇAMENTO!$W$15,ROW(AM85)-ROW(AM$15),0),15-13*ORÇAMENTO!$AF$11)),
         0)</f>
        <v>5782.26</v>
      </c>
      <c r="AN85" s="453">
        <f ca="1">IF(AND($D85="Serviço",AN$12&lt;&gt;0,$H85&gt;0,OR(AUTOEVENTO&lt;&gt;"manual",$M85&lt;&gt;$A$15)),
        IF(Import.TipoArredondamento&lt;&gt;"TransfereGOV",
              ROUND(OFFSET($P85,0,AN$13),15-13*ORÇAMENTO!$AF$7)/$H85*OFFSET(ORÇAMENTO!$X$15,ROW(AN85)-ROW(AN$15),0),
              ROUND(ROUND(OFFSET($P85,0,AN$13),15-13*ORÇAMENTO!$AF$7)*OFFSET(ORÇAMENTO!$W$15,ROW(AN85)-ROW(AN$15),0),15-13*ORÇAMENTO!$AF$11)),
         0)</f>
        <v>0</v>
      </c>
      <c r="AO85" s="453">
        <f ca="1">IF(AND($D85="Serviço",AO$12&lt;&gt;0,$H85&gt;0,OR(AUTOEVENTO&lt;&gt;"manual",$M85&lt;&gt;$A$15)),
        IF(Import.TipoArredondamento&lt;&gt;"TransfereGOV",
              ROUND(OFFSET($P85,0,AO$13),15-13*ORÇAMENTO!$AF$7)/$H85*OFFSET(ORÇAMENTO!$X$15,ROW(AO85)-ROW(AO$15),0),
              ROUND(ROUND(OFFSET($P85,0,AO$13),15-13*ORÇAMENTO!$AF$7)*OFFSET(ORÇAMENTO!$W$15,ROW(AO85)-ROW(AO$15),0),15-13*ORÇAMENTO!$AF$11)),
         0)</f>
        <v>0</v>
      </c>
      <c r="AP85" s="453">
        <f ca="1">IF(AND($D85="Serviço",AP$12&lt;&gt;0,$H85&gt;0,OR(AUTOEVENTO&lt;&gt;"manual",$M85&lt;&gt;$A$15)),
        IF(Import.TipoArredondamento&lt;&gt;"TransfereGOV",
              ROUND(OFFSET($P85,0,AP$13),15-13*ORÇAMENTO!$AF$7)/$H85*OFFSET(ORÇAMENTO!$X$15,ROW(AP85)-ROW(AP$15),0),
              ROUND(ROUND(OFFSET($P85,0,AP$13),15-13*ORÇAMENTO!$AF$7)*OFFSET(ORÇAMENTO!$W$15,ROW(AP85)-ROW(AP$15),0),15-13*ORÇAMENTO!$AF$11)),
         0)</f>
        <v>0</v>
      </c>
      <c r="AQ85" s="453">
        <f ca="1">IF(AND($D85="Serviço",AQ$12&lt;&gt;0,$H85&gt;0,OR(AUTOEVENTO&lt;&gt;"manual",$M85&lt;&gt;$A$15)),
        IF(Import.TipoArredondamento&lt;&gt;"TransfereGOV",
              ROUND(OFFSET($P85,0,AQ$13),15-13*ORÇAMENTO!$AF$7)/$H85*OFFSET(ORÇAMENTO!$X$15,ROW(AQ85)-ROW(AQ$15),0),
              ROUND(ROUND(OFFSET($P85,0,AQ$13),15-13*ORÇAMENTO!$AF$7)*OFFSET(ORÇAMENTO!$W$15,ROW(AQ85)-ROW(AQ$15),0),15-13*ORÇAMENTO!$AF$11)),
         0)</f>
        <v>0</v>
      </c>
      <c r="AR85" s="453">
        <f ca="1">IF(AND($D85="Serviço",AR$12&lt;&gt;0,$H85&gt;0,OR(AUTOEVENTO&lt;&gt;"manual",$M85&lt;&gt;$A$15)),
        IF(Import.TipoArredondamento&lt;&gt;"TransfereGOV",
              ROUND(OFFSET($P85,0,AR$13),15-13*ORÇAMENTO!$AF$7)/$H85*OFFSET(ORÇAMENTO!$X$15,ROW(AR85)-ROW(AR$15),0),
              ROUND(ROUND(OFFSET($P85,0,AR$13),15-13*ORÇAMENTO!$AF$7)*OFFSET(ORÇAMENTO!$W$15,ROW(AR85)-ROW(AR$15),0),15-13*ORÇAMENTO!$AF$11)),
         0)</f>
        <v>0</v>
      </c>
      <c r="AS85" s="453">
        <f ca="1">IF(AND($D85="Serviço",AS$12&lt;&gt;0,$H85&gt;0,OR(AUTOEVENTO&lt;&gt;"manual",$M85&lt;&gt;$A$15)),
        IF(Import.TipoArredondamento&lt;&gt;"TransfereGOV",
              ROUND(OFFSET($P85,0,AS$13),15-13*ORÇAMENTO!$AF$7)/$H85*OFFSET(ORÇAMENTO!$X$15,ROW(AS85)-ROW(AS$15),0),
              ROUND(ROUND(OFFSET($P85,0,AS$13),15-13*ORÇAMENTO!$AF$7)*OFFSET(ORÇAMENTO!$W$15,ROW(AS85)-ROW(AS$15),0),15-13*ORÇAMENTO!$AF$11)),
         0)</f>
        <v>0</v>
      </c>
      <c r="AT85" s="453">
        <f ca="1">IF(AND($D85="Serviço",AT$12&lt;&gt;0,$H85&gt;0,OR(AUTOEVENTO&lt;&gt;"manual",$M85&lt;&gt;$A$15)),
        IF(Import.TipoArredondamento&lt;&gt;"TransfereGOV",
              ROUND(OFFSET($P85,0,AT$13),15-13*ORÇAMENTO!$AF$7)/$H85*OFFSET(ORÇAMENTO!$X$15,ROW(AT85)-ROW(AT$15),0),
              ROUND(ROUND(OFFSET($P85,0,AT$13),15-13*ORÇAMENTO!$AF$7)*OFFSET(ORÇAMENTO!$W$15,ROW(AT85)-ROW(AT$15),0),15-13*ORÇAMENTO!$AF$11)),
         0)</f>
        <v>0</v>
      </c>
      <c r="AU85" s="453">
        <f ca="1">IF(AND($D85="Serviço",AU$12&lt;&gt;0,$H85&gt;0,OR(AUTOEVENTO&lt;&gt;"manual",$M85&lt;&gt;$A$15)),
        IF(Import.TipoArredondamento&lt;&gt;"TransfereGOV",
              ROUND(OFFSET($P85,0,AU$13),15-13*ORÇAMENTO!$AF$7)/$H85*OFFSET(ORÇAMENTO!$X$15,ROW(AU85)-ROW(AU$15),0),
              ROUND(ROUND(OFFSET($P85,0,AU$13),15-13*ORÇAMENTO!$AF$7)*OFFSET(ORÇAMENTO!$W$15,ROW(AU85)-ROW(AU$15),0),15-13*ORÇAMENTO!$AF$11)),
         0)</f>
        <v>0</v>
      </c>
      <c r="AV85" s="453">
        <f ca="1">IF(AND($D85="Serviço",AV$12&lt;&gt;0,$H85&gt;0,OR(AUTOEVENTO&lt;&gt;"manual",$M85&lt;&gt;$A$15)),
        IF(Import.TipoArredondamento&lt;&gt;"TransfereGOV",
              ROUND(OFFSET($P85,0,AV$13),15-13*ORÇAMENTO!$AF$7)/$H85*OFFSET(ORÇAMENTO!$X$15,ROW(AV85)-ROW(AV$15),0),
              ROUND(ROUND(OFFSET($P85,0,AV$13),15-13*ORÇAMENTO!$AF$7)*OFFSET(ORÇAMENTO!$W$15,ROW(AV85)-ROW(AV$15),0),15-13*ORÇAMENTO!$AF$11)),
         0)</f>
        <v>0</v>
      </c>
      <c r="AW85" s="453">
        <f ca="1">IF(AND($D85="Serviço",AW$12&lt;&gt;0,$H85&gt;0,OR(AUTOEVENTO&lt;&gt;"manual",$M85&lt;&gt;$A$15)),
        IF(Import.TipoArredondamento&lt;&gt;"TransfereGOV",
              ROUND(OFFSET($P85,0,AW$13),15-13*ORÇAMENTO!$AF$7)/$H85*OFFSET(ORÇAMENTO!$X$15,ROW(AW85)-ROW(AW$15),0),
              ROUND(ROUND(OFFSET($P85,0,AW$13),15-13*ORÇAMENTO!$AF$7)*OFFSET(ORÇAMENTO!$W$15,ROW(AW85)-ROW(AW$15),0),15-13*ORÇAMENTO!$AF$11)),
         0)</f>
        <v>0</v>
      </c>
      <c r="AX85" s="453">
        <f ca="1">IF(AND($D85="Serviço",AX$12&lt;&gt;0,$H85&gt;0,OR(AUTOEVENTO&lt;&gt;"manual",$M85&lt;&gt;$A$15)),
        IF(Import.TipoArredondamento&lt;&gt;"TransfereGOV",
              ROUND(OFFSET($P85,0,AX$13),15-13*ORÇAMENTO!$AF$7)/$H85*OFFSET(ORÇAMENTO!$X$15,ROW(AX85)-ROW(AX$15),0),
              ROUND(ROUND(OFFSET($P85,0,AX$13),15-13*ORÇAMENTO!$AF$7)*OFFSET(ORÇAMENTO!$W$15,ROW(AX85)-ROW(AX$15),0),15-13*ORÇAMENTO!$AF$11)),
         0)</f>
        <v>0</v>
      </c>
      <c r="AY85" s="453">
        <f ca="1">IF(AND($D85="Serviço",AY$12&lt;&gt;0,$H85&gt;0,OR(AUTOEVENTO&lt;&gt;"manual",$M85&lt;&gt;$A$15)),
        IF(Import.TipoArredondamento&lt;&gt;"TransfereGOV",
              ROUND(OFFSET($P85,0,AY$13),15-13*ORÇAMENTO!$AF$7)/$H85*OFFSET(ORÇAMENTO!$X$15,ROW(AY85)-ROW(AY$15),0),
              ROUND(ROUND(OFFSET($P85,0,AY$13),15-13*ORÇAMENTO!$AF$7)*OFFSET(ORÇAMENTO!$W$15,ROW(AY85)-ROW(AY$15),0),15-13*ORÇAMENTO!$AF$11)),
         0)</f>
        <v>0</v>
      </c>
      <c r="AZ85" s="453">
        <f ca="1">IF(AND($D85="Serviço",AZ$12&lt;&gt;0,$H85&gt;0,OR(AUTOEVENTO&lt;&gt;"manual",$M85&lt;&gt;$A$15)),
        IF(Import.TipoArredondamento&lt;&gt;"TransfereGOV",
              ROUND(OFFSET($P85,0,AZ$13),15-13*ORÇAMENTO!$AF$7)/$H85*OFFSET(ORÇAMENTO!$X$15,ROW(AZ85)-ROW(AZ$15),0),
              ROUND(ROUND(OFFSET($P85,0,AZ$13),15-13*ORÇAMENTO!$AF$7)*OFFSET(ORÇAMENTO!$W$15,ROW(AZ85)-ROW(AZ$15),0),15-13*ORÇAMENTO!$AF$11)),
         0)</f>
        <v>0</v>
      </c>
      <c r="BA85" s="453">
        <f ca="1">IF(AND($D85="Serviço",BA$12&lt;&gt;0,$H85&gt;0,OR(AUTOEVENTO&lt;&gt;"manual",$M85&lt;&gt;$A$15)),
        IF(Import.TipoArredondamento&lt;&gt;"TransfereGOV",
              ROUND(OFFSET($P85,0,BA$13),15-13*ORÇAMENTO!$AF$7)/$H85*OFFSET(ORÇAMENTO!$X$15,ROW(BA85)-ROW(BA$15),0),
              ROUND(ROUND(OFFSET($P85,0,BA$13),15-13*ORÇAMENTO!$AF$7)*OFFSET(ORÇAMENTO!$W$15,ROW(BA85)-ROW(BA$15),0),15-13*ORÇAMENTO!$AF$11)),
         0)</f>
        <v>0</v>
      </c>
      <c r="BC85" s="171">
        <f ca="1">IF(OR($D85&lt;&gt;"Serviço",AND(AUTOEVENTO="Manual",$M85=$A$15)),0,
         IF(OFFSET(CRONOPLE!$F$15,$M85-$A$15,BC$13)=0,10^12,OFFSET(CRONOPLE!$F$15,$M85-$A$15,BC$13)))</f>
        <v>1000000000000</v>
      </c>
      <c r="BD85" s="171">
        <f ca="1">IF(OR($D85&lt;&gt;"Serviço",AND(AUTOEVENTO="Manual",$M85=$A$15)),0,
         IF(OFFSET(CRONOPLE!$F$15,$M85-$A$15,BD$13)=0,10^12,OFFSET(CRONOPLE!$F$15,$M85-$A$15,BD$13)))</f>
        <v>1000000000000</v>
      </c>
      <c r="BE85" s="171">
        <f ca="1">IF(OR($D85&lt;&gt;"Serviço",AND(AUTOEVENTO="Manual",$M85=$A$15)),0,
         IF(OFFSET(CRONOPLE!$F$15,$M85-$A$15,BE$13)=0,10^12,OFFSET(CRONOPLE!$F$15,$M85-$A$15,BE$13)))</f>
        <v>1000000000000</v>
      </c>
      <c r="BF85" s="171">
        <f ca="1">IF(OR($D85&lt;&gt;"Serviço",AND(AUTOEVENTO="Manual",$M85=$A$15)),0,
         IF(OFFSET(CRONOPLE!$F$15,$M85-$A$15,BF$13)=0,10^12,OFFSET(CRONOPLE!$F$15,$M85-$A$15,BF$13)))</f>
        <v>2</v>
      </c>
      <c r="BG85" s="171">
        <f ca="1">IF(OR($D85&lt;&gt;"Serviço",AND(AUTOEVENTO="Manual",$M85=$A$15)),0,
         IF(OFFSET(CRONOPLE!$F$15,$M85-$A$15,BG$13)=0,10^12,OFFSET(CRONOPLE!$F$15,$M85-$A$15,BG$13)))</f>
        <v>1000000000000</v>
      </c>
      <c r="BH85" s="171">
        <f ca="1">IF(OR($D85&lt;&gt;"Serviço",AND(AUTOEVENTO="Manual",$M85=$A$15)),0,
         IF(OFFSET(CRONOPLE!$F$15,$M85-$A$15,BH$13)=0,10^12,OFFSET(CRONOPLE!$F$15,$M85-$A$15,BH$13)))</f>
        <v>1000000000000</v>
      </c>
      <c r="BI85" s="171">
        <f ca="1">IF(OR($D85&lt;&gt;"Serviço",AND(AUTOEVENTO="Manual",$M85=$A$15)),0,
         IF(OFFSET(CRONOPLE!$F$15,$M85-$A$15,BI$13)=0,10^12,OFFSET(CRONOPLE!$F$15,$M85-$A$15,BI$13)))</f>
        <v>1000000000000</v>
      </c>
      <c r="BJ85" s="171">
        <f ca="1">IF(OR($D85&lt;&gt;"Serviço",AND(AUTOEVENTO="Manual",$M85=$A$15)),0,
         IF(OFFSET(CRONOPLE!$F$15,$M85-$A$15,BJ$13)=0,10^12,OFFSET(CRONOPLE!$F$15,$M85-$A$15,BJ$13)))</f>
        <v>1000000000000</v>
      </c>
      <c r="BK85" s="171">
        <f ca="1">IF(OR($D85&lt;&gt;"Serviço",AND(AUTOEVENTO="Manual",$M85=$A$15)),0,
         IF(OFFSET(CRONOPLE!$F$15,$M85-$A$15,BK$13)=0,10^12,OFFSET(CRONOPLE!$F$15,$M85-$A$15,BK$13)))</f>
        <v>1000000000000</v>
      </c>
      <c r="BL85" s="171">
        <f ca="1">IF(OR($D85&lt;&gt;"Serviço",AND(AUTOEVENTO="Manual",$M85=$A$15)),0,
         IF(OFFSET(CRONOPLE!$F$15,$M85-$A$15,BL$13)=0,10^12,OFFSET(CRONOPLE!$F$15,$M85-$A$15,BL$13)))</f>
        <v>1000000000000</v>
      </c>
      <c r="BM85" s="171">
        <f ca="1">IF(OR($D85&lt;&gt;"Serviço",AND(AUTOEVENTO="Manual",$M85=$A$15)),0,
         IF(OFFSET(CRONOPLE!$F$15,$M85-$A$15,BM$13)=0,10^12,OFFSET(CRONOPLE!$F$15,$M85-$A$15,BM$13)))</f>
        <v>1000000000000</v>
      </c>
      <c r="BN85" s="171">
        <f ca="1">IF(OR($D85&lt;&gt;"Serviço",AND(AUTOEVENTO="Manual",$M85=$A$15)),0,
         IF(OFFSET(CRONOPLE!$F$15,$M85-$A$15,BN$13)=0,10^12,OFFSET(CRONOPLE!$F$15,$M85-$A$15,BN$13)))</f>
        <v>1000000000000</v>
      </c>
      <c r="BO85" s="171">
        <f ca="1">IF(OR($D85&lt;&gt;"Serviço",AND(AUTOEVENTO="Manual",$M85=$A$15)),0,
         IF(OFFSET(CRONOPLE!$F$15,$M85-$A$15,BO$13)=0,10^12,OFFSET(CRONOPLE!$F$15,$M85-$A$15,BO$13)))</f>
        <v>1000000000000</v>
      </c>
      <c r="BP85" s="171">
        <f ca="1">IF(OR($D85&lt;&gt;"Serviço",AND(AUTOEVENTO="Manual",$M85=$A$15)),0,
         IF(OFFSET(CRONOPLE!$F$15,$M85-$A$15,BP$13)=0,10^12,OFFSET(CRONOPLE!$F$15,$M85-$A$15,BP$13)))</f>
        <v>1000000000000</v>
      </c>
      <c r="BQ85" s="171">
        <f ca="1">IF(OR($D85&lt;&gt;"Serviço",AND(AUTOEVENTO="Manual",$M85=$A$15)),0,
         IF(OFFSET(CRONOPLE!$F$15,$M85-$A$15,BQ$13)=0,10^12,OFFSET(CRONOPLE!$F$15,$M85-$A$15,BQ$13)))</f>
        <v>1000000000000</v>
      </c>
      <c r="BR85" s="171">
        <f ca="1">IF(OR($D85&lt;&gt;"Serviço",AND(AUTOEVENTO="Manual",$M85=$A$15)),0,
         IF(OFFSET(CRONOPLE!$F$15,$M85-$A$15,BR$13)=0,10^12,OFFSET(CRONOPLE!$F$15,$M85-$A$15,BR$13)))</f>
        <v>1000000000000</v>
      </c>
      <c r="BS85" s="171">
        <f ca="1">IF(OR($D85&lt;&gt;"Serviço",AND(AUTOEVENTO="Manual",$M85=$A$15)),0,
         IF(OFFSET(CRONOPLE!$F$15,$M85-$A$15,BS$13)=0,10^12,OFFSET(CRONOPLE!$F$15,$M85-$A$15,BS$13)))</f>
        <v>1000000000000</v>
      </c>
      <c r="BT85" s="171">
        <f ca="1">IF(OR($D85&lt;&gt;"Serviço",AND(AUTOEVENTO="Manual",$M85=$A$15)),0,
         IF(OFFSET(CRONOPLE!$F$15,$M85-$A$15,BT$13)=0,10^12,OFFSET(CRONOPLE!$F$15,$M85-$A$15,BT$13)))</f>
        <v>1000000000000</v>
      </c>
      <c r="BV85" s="172">
        <f ca="1">IF(OR($D85&lt;&gt;"Serviço",AND(AUTOEVENTO="Manual",$M85=$A$15),$M85&gt;(ROW(PLE.lastrow)-ROW(PLE.firstrow))),0,
           IF(OFFSET(PLE!$G$15,$M85-$A$15,BV$13)="",10^12,OFFSET(PLE!$G$15,$M85-$A$15,BV$13)))</f>
        <v>1000000000000</v>
      </c>
      <c r="BW85" s="172">
        <f ca="1">IF(OR($D85&lt;&gt;"Serviço",AND(AUTOEVENTO="Manual",$M85=$A$15),$M85&gt;(ROW(PLE.lastrow)-ROW(PLE.firstrow))),0,
           IF(OFFSET(PLE!$G$15,$M85-$A$15,BW$13)="",10^12,OFFSET(PLE!$G$15,$M85-$A$15,BW$13)))</f>
        <v>1000000000000</v>
      </c>
      <c r="BX85" s="172">
        <f ca="1">IF(OR($D85&lt;&gt;"Serviço",AND(AUTOEVENTO="Manual",$M85=$A$15),$M85&gt;(ROW(PLE.lastrow)-ROW(PLE.firstrow))),0,
           IF(OFFSET(PLE!$G$15,$M85-$A$15,BX$13)="",10^12,OFFSET(PLE!$G$15,$M85-$A$15,BX$13)))</f>
        <v>1000000000000</v>
      </c>
      <c r="BY85" s="172">
        <f ca="1">IF(OR($D85&lt;&gt;"Serviço",AND(AUTOEVENTO="Manual",$M85=$A$15),$M85&gt;(ROW(PLE.lastrow)-ROW(PLE.firstrow))),0,
           IF(OFFSET(PLE!$G$15,$M85-$A$15,BY$13)="",10^12,OFFSET(PLE!$G$15,$M85-$A$15,BY$13)))</f>
        <v>1000000000000</v>
      </c>
      <c r="BZ85" s="172">
        <f ca="1">IF(OR($D85&lt;&gt;"Serviço",AND(AUTOEVENTO="Manual",$M85=$A$15),$M85&gt;(ROW(PLE.lastrow)-ROW(PLE.firstrow))),0,
           IF(OFFSET(PLE!$G$15,$M85-$A$15,BZ$13)="",10^12,OFFSET(PLE!$G$15,$M85-$A$15,BZ$13)))</f>
        <v>1000000000000</v>
      </c>
      <c r="CA85" s="172">
        <f ca="1">IF(OR($D85&lt;&gt;"Serviço",AND(AUTOEVENTO="Manual",$M85=$A$15),$M85&gt;(ROW(PLE.lastrow)-ROW(PLE.firstrow))),0,
           IF(OFFSET(PLE!$G$15,$M85-$A$15,CA$13)="",10^12,OFFSET(PLE!$G$15,$M85-$A$15,CA$13)))</f>
        <v>1000000000000</v>
      </c>
      <c r="CB85" s="172">
        <f ca="1">IF(OR($D85&lt;&gt;"Serviço",AND(AUTOEVENTO="Manual",$M85=$A$15),$M85&gt;(ROW(PLE.lastrow)-ROW(PLE.firstrow))),0,
           IF(OFFSET(PLE!$G$15,$M85-$A$15,CB$13)="",10^12,OFFSET(PLE!$G$15,$M85-$A$15,CB$13)))</f>
        <v>1000000000000</v>
      </c>
      <c r="CC85" s="172">
        <f ca="1">IF(OR($D85&lt;&gt;"Serviço",AND(AUTOEVENTO="Manual",$M85=$A$15),$M85&gt;(ROW(PLE.lastrow)-ROW(PLE.firstrow))),0,
           IF(OFFSET(PLE!$G$15,$M85-$A$15,CC$13)="",10^12,OFFSET(PLE!$G$15,$M85-$A$15,CC$13)))</f>
        <v>1000000000000</v>
      </c>
      <c r="CD85" s="172">
        <f ca="1">IF(OR($D85&lt;&gt;"Serviço",AND(AUTOEVENTO="Manual",$M85=$A$15),$M85&gt;(ROW(PLE.lastrow)-ROW(PLE.firstrow))),0,
           IF(OFFSET(PLE!$G$15,$M85-$A$15,CD$13)="",10^12,OFFSET(PLE!$G$15,$M85-$A$15,CD$13)))</f>
        <v>1000000000000</v>
      </c>
      <c r="CE85" s="172">
        <f ca="1">IF(OR($D85&lt;&gt;"Serviço",AND(AUTOEVENTO="Manual",$M85=$A$15),$M85&gt;(ROW(PLE.lastrow)-ROW(PLE.firstrow))),0,
           IF(OFFSET(PLE!$G$15,$M85-$A$15,CE$13)="",10^12,OFFSET(PLE!$G$15,$M85-$A$15,CE$13)))</f>
        <v>1000000000000</v>
      </c>
      <c r="CF85" s="172">
        <f ca="1">IF(OR($D85&lt;&gt;"Serviço",AND(AUTOEVENTO="Manual",$M85=$A$15),$M85&gt;(ROW(PLE.lastrow)-ROW(PLE.firstrow))),0,
           IF(OFFSET(PLE!$G$15,$M85-$A$15,CF$13)="",10^12,OFFSET(PLE!$G$15,$M85-$A$15,CF$13)))</f>
        <v>1000000000000</v>
      </c>
      <c r="CG85" s="172">
        <f ca="1">IF(OR($D85&lt;&gt;"Serviço",AND(AUTOEVENTO="Manual",$M85=$A$15),$M85&gt;(ROW(PLE.lastrow)-ROW(PLE.firstrow))),0,
           IF(OFFSET(PLE!$G$15,$M85-$A$15,CG$13)="",10^12,OFFSET(PLE!$G$15,$M85-$A$15,CG$13)))</f>
        <v>1000000000000</v>
      </c>
      <c r="CH85" s="172">
        <f ca="1">IF(OR($D85&lt;&gt;"Serviço",AND(AUTOEVENTO="Manual",$M85=$A$15),$M85&gt;(ROW(PLE.lastrow)-ROW(PLE.firstrow))),0,
           IF(OFFSET(PLE!$G$15,$M85-$A$15,CH$13)="",10^12,OFFSET(PLE!$G$15,$M85-$A$15,CH$13)))</f>
        <v>1000000000000</v>
      </c>
      <c r="CI85" s="172">
        <f ca="1">IF(OR($D85&lt;&gt;"Serviço",AND(AUTOEVENTO="Manual",$M85=$A$15),$M85&gt;(ROW(PLE.lastrow)-ROW(PLE.firstrow))),0,
           IF(OFFSET(PLE!$G$15,$M85-$A$15,CI$13)="",10^12,OFFSET(PLE!$G$15,$M85-$A$15,CI$13)))</f>
        <v>1000000000000</v>
      </c>
      <c r="CJ85" s="172">
        <f ca="1">IF(OR($D85&lt;&gt;"Serviço",AND(AUTOEVENTO="Manual",$M85=$A$15),$M85&gt;(ROW(PLE.lastrow)-ROW(PLE.firstrow))),0,
           IF(OFFSET(PLE!$G$15,$M85-$A$15,CJ$13)="",10^12,OFFSET(PLE!$G$15,$M85-$A$15,CJ$13)))</f>
        <v>1000000000000</v>
      </c>
      <c r="CK85" s="172">
        <f ca="1">IF(OR($D85&lt;&gt;"Serviço",AND(AUTOEVENTO="Manual",$M85=$A$15),$M85&gt;(ROW(PLE.lastrow)-ROW(PLE.firstrow))),0,
           IF(OFFSET(PLE!$G$15,$M85-$A$15,CK$13)="",10^12,OFFSET(PLE!$G$15,$M85-$A$15,CK$13)))</f>
        <v>1000000000000</v>
      </c>
      <c r="CL85" s="172">
        <f ca="1">IF(OR($D85&lt;&gt;"Serviço",AND(AUTOEVENTO="Manual",$M85=$A$15),$M85&gt;(ROW(PLE.lastrow)-ROW(PLE.firstrow))),0,
           IF(OFFSET(PLE!$G$15,$M85-$A$15,CL$13)="",10^12,OFFSET(PLE!$G$15,$M85-$A$15,CL$13)))</f>
        <v>1000000000000</v>
      </c>
      <c r="CM85" s="172">
        <f ca="1">IF(OR($D85&lt;&gt;"Serviço",AND(AUTOEVENTO="Manual",$M85=$A$15),$M85&gt;(ROW(PLE.lastrow)-ROW(PLE.firstrow))),0,
           IF(OFFSET(PLE!$G$15,$M85-$A$15,CM$13)="",10^12,OFFSET(PLE!$G$15,$M85-$A$15,CM$13)))</f>
        <v>1000000000000</v>
      </c>
    </row>
    <row r="86" spans="1:91" ht="13.2" x14ac:dyDescent="0.25">
      <c r="A86" s="7" t="str">
        <f t="shared" ca="1" si="11"/>
        <v>67</v>
      </c>
      <c r="B86" s="7" t="str">
        <f ca="1">OFFSET(ORÇAMENTO!C$15,ROW(B86)-ROW(B$15),0)</f>
        <v>S</v>
      </c>
      <c r="C86" s="7" t="str">
        <f ca="1">OFFSET(ORÇAMENTO!L$15,ROW(C86)-ROW(C$15),0)</f>
        <v>F</v>
      </c>
      <c r="D86" s="116" t="str">
        <f ca="1">OFFSET(ORÇAMENTO!N$15,ROW(D86)-ROW(D$15),0)</f>
        <v>Serviço</v>
      </c>
      <c r="E86" s="117" t="str">
        <f ca="1">OFFSET(ORÇAMENTO!O$15,ROW(E86)-ROW(E$15),0)</f>
        <v>2.5.4.</v>
      </c>
      <c r="F86" s="163" t="str">
        <f ca="1">OFFSET(ORÇAMENTO!R$15,ROW(F86)-ROW(F$15),0)</f>
        <v>PLACA DE REGULAMENTAÇÃO REDONDA D=0,60M - R19</v>
      </c>
      <c r="G86" s="164" t="str">
        <f ca="1">IF($D86&lt;&gt;"Serviço","",OFFSET(ORÇAMENTO!S$15,ROW(G86)-ROW(G$15),0))</f>
        <v>UN</v>
      </c>
      <c r="H86" s="122" cm="1">
        <f t="array" aca="1" ref="H86" ca="1">IF($D86&lt;&gt;"Serviço",0,IF(ACOMPANHAMENTO="BM",ROUND(OFFSET(ORÇAMENTO!AJ$15,ROW(H86)-ROW(H$15),0),15-13*ORÇAMENTO!$AF$7),SUMPRODUCT(($Q$1:$AI$1=1)*ROUND($Q86:$AI86,15-13*ORÇAMENTO!$AF$7))))</f>
        <v>1</v>
      </c>
      <c r="I86" s="468"/>
      <c r="J86" s="651" t="e" cm="1">
        <f t="array" aca="1" ref="J86" ca="1">IF(OR(B86&lt;&gt;"S",CÁLCULO.FrentesPreenchidas=0),"",IF(AND(ACOMPANHAMENTO="PLE",AUTOEVENTO="Manual",OR(H86&gt;0,ORÇAMENTO!AC86="QUANT."),OR(K86="",M86=0,N86="")),"►E",IF(AND(ACOMPANHAMENTO="PLE",ORÇAMENTO!AC86="QUANT."),"►Q",IF(AND(ACOMPANHAMENTO="PLE",H86&lt;&gt;SUMPRODUCT(($Q$1:$AI$1=1)*ROUND(Q86:AI86,15))),"►S",IF(AND(COUNTIF($P$11:$AI$11,"▼")=0,H86&gt;0,I86=""),"◄M","")))))</f>
        <v>#NAME?</v>
      </c>
      <c r="K86" s="652"/>
      <c r="L86" s="165" t="s">
        <v>764</v>
      </c>
      <c r="M86" s="166">
        <f ca="1">IF($D86&lt;&gt;"Serviço","",
          IF(AUTOEVENTO="manual",$A86,
                IF(ISERROR(MATCH($A86,$A$15:OFFSET($A86,-1,0),0)),MAX($M$15:OFFSET(M86,-1,0))+1,
                      INDEX($M$15:OFFSET(M86,-1,0),MATCH($A86,$A$15:OFFSET($A86,-1,0),0)))))</f>
        <v>12</v>
      </c>
      <c r="N86" s="167" t="str">
        <f ca="1">IF($D86&lt;&gt;"Serviço","",
         IF(AUTOEVENTO="Manual",
                IF($A86=0,"&lt;-- defina o número do agrupador",
                       OFFSET(EVENTOS!$D$15,$A86-$A$15,0)),
                OFFSET($F$15,$A86,0)))</f>
        <v>SINALIZAÇÃO</v>
      </c>
      <c r="O86" s="168"/>
      <c r="Q86" s="168"/>
      <c r="R86" s="169"/>
      <c r="S86" s="169"/>
      <c r="T86" s="169">
        <v>1</v>
      </c>
      <c r="U86" s="169"/>
      <c r="V86" s="169"/>
      <c r="W86" s="169"/>
      <c r="X86" s="169"/>
      <c r="Y86" s="169"/>
      <c r="Z86" s="170"/>
      <c r="AA86" s="169"/>
      <c r="AB86" s="169"/>
      <c r="AC86" s="169"/>
      <c r="AD86" s="169"/>
      <c r="AE86" s="169"/>
      <c r="AF86" s="169"/>
      <c r="AG86" s="169"/>
      <c r="AH86" s="170"/>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L86" s="453">
        <f ca="1">IF(AND($D86="Serviço",AL$12&lt;&gt;0,$H86&gt;0,OR(AUTOEVENTO&lt;&gt;"manual",$M86&lt;&gt;$A$15)),
        IF(Import.TipoArredondamento&lt;&gt;"TransfereGOV",
              ROUND(OFFSET($P86,0,AL$13),15-13*ORÇAMENTO!$AF$7)/$H86*OFFSET(ORÇAMENTO!$X$15,ROW(AL86)-ROW(AL$15),0),
              ROUND(ROUND(OFFSET($P86,0,AL$13),15-13*ORÇAMENTO!$AF$7)*OFFSET(ORÇAMENTO!$W$15,ROW(AL86)-ROW(AL$15),0),15-13*ORÇAMENTO!$AF$11)),
         0)</f>
        <v>0</v>
      </c>
      <c r="AM86" s="453">
        <f ca="1">IF(AND($D86="Serviço",AM$12&lt;&gt;0,$H86&gt;0,OR(AUTOEVENTO&lt;&gt;"manual",$M86&lt;&gt;$A$15)),
        IF(Import.TipoArredondamento&lt;&gt;"TransfereGOV",
              ROUND(OFFSET($P86,0,AM$13),15-13*ORÇAMENTO!$AF$7)/$H86*OFFSET(ORÇAMENTO!$X$15,ROW(AM86)-ROW(AM$15),0),
              ROUND(ROUND(OFFSET($P86,0,AM$13),15-13*ORÇAMENTO!$AF$7)*OFFSET(ORÇAMENTO!$W$15,ROW(AM86)-ROW(AM$15),0),15-13*ORÇAMENTO!$AF$11)),
         0)</f>
        <v>963.68</v>
      </c>
      <c r="AN86" s="453">
        <f ca="1">IF(AND($D86="Serviço",AN$12&lt;&gt;0,$H86&gt;0,OR(AUTOEVENTO&lt;&gt;"manual",$M86&lt;&gt;$A$15)),
        IF(Import.TipoArredondamento&lt;&gt;"TransfereGOV",
              ROUND(OFFSET($P86,0,AN$13),15-13*ORÇAMENTO!$AF$7)/$H86*OFFSET(ORÇAMENTO!$X$15,ROW(AN86)-ROW(AN$15),0),
              ROUND(ROUND(OFFSET($P86,0,AN$13),15-13*ORÇAMENTO!$AF$7)*OFFSET(ORÇAMENTO!$W$15,ROW(AN86)-ROW(AN$15),0),15-13*ORÇAMENTO!$AF$11)),
         0)</f>
        <v>0</v>
      </c>
      <c r="AO86" s="453">
        <f ca="1">IF(AND($D86="Serviço",AO$12&lt;&gt;0,$H86&gt;0,OR(AUTOEVENTO&lt;&gt;"manual",$M86&lt;&gt;$A$15)),
        IF(Import.TipoArredondamento&lt;&gt;"TransfereGOV",
              ROUND(OFFSET($P86,0,AO$13),15-13*ORÇAMENTO!$AF$7)/$H86*OFFSET(ORÇAMENTO!$X$15,ROW(AO86)-ROW(AO$15),0),
              ROUND(ROUND(OFFSET($P86,0,AO$13),15-13*ORÇAMENTO!$AF$7)*OFFSET(ORÇAMENTO!$W$15,ROW(AO86)-ROW(AO$15),0),15-13*ORÇAMENTO!$AF$11)),
         0)</f>
        <v>0</v>
      </c>
      <c r="AP86" s="453">
        <f ca="1">IF(AND($D86="Serviço",AP$12&lt;&gt;0,$H86&gt;0,OR(AUTOEVENTO&lt;&gt;"manual",$M86&lt;&gt;$A$15)),
        IF(Import.TipoArredondamento&lt;&gt;"TransfereGOV",
              ROUND(OFFSET($P86,0,AP$13),15-13*ORÇAMENTO!$AF$7)/$H86*OFFSET(ORÇAMENTO!$X$15,ROW(AP86)-ROW(AP$15),0),
              ROUND(ROUND(OFFSET($P86,0,AP$13),15-13*ORÇAMENTO!$AF$7)*OFFSET(ORÇAMENTO!$W$15,ROW(AP86)-ROW(AP$15),0),15-13*ORÇAMENTO!$AF$11)),
         0)</f>
        <v>0</v>
      </c>
      <c r="AQ86" s="453">
        <f ca="1">IF(AND($D86="Serviço",AQ$12&lt;&gt;0,$H86&gt;0,OR(AUTOEVENTO&lt;&gt;"manual",$M86&lt;&gt;$A$15)),
        IF(Import.TipoArredondamento&lt;&gt;"TransfereGOV",
              ROUND(OFFSET($P86,0,AQ$13),15-13*ORÇAMENTO!$AF$7)/$H86*OFFSET(ORÇAMENTO!$X$15,ROW(AQ86)-ROW(AQ$15),0),
              ROUND(ROUND(OFFSET($P86,0,AQ$13),15-13*ORÇAMENTO!$AF$7)*OFFSET(ORÇAMENTO!$W$15,ROW(AQ86)-ROW(AQ$15),0),15-13*ORÇAMENTO!$AF$11)),
         0)</f>
        <v>0</v>
      </c>
      <c r="AR86" s="453">
        <f ca="1">IF(AND($D86="Serviço",AR$12&lt;&gt;0,$H86&gt;0,OR(AUTOEVENTO&lt;&gt;"manual",$M86&lt;&gt;$A$15)),
        IF(Import.TipoArredondamento&lt;&gt;"TransfereGOV",
              ROUND(OFFSET($P86,0,AR$13),15-13*ORÇAMENTO!$AF$7)/$H86*OFFSET(ORÇAMENTO!$X$15,ROW(AR86)-ROW(AR$15),0),
              ROUND(ROUND(OFFSET($P86,0,AR$13),15-13*ORÇAMENTO!$AF$7)*OFFSET(ORÇAMENTO!$W$15,ROW(AR86)-ROW(AR$15),0),15-13*ORÇAMENTO!$AF$11)),
         0)</f>
        <v>0</v>
      </c>
      <c r="AS86" s="453">
        <f ca="1">IF(AND($D86="Serviço",AS$12&lt;&gt;0,$H86&gt;0,OR(AUTOEVENTO&lt;&gt;"manual",$M86&lt;&gt;$A$15)),
        IF(Import.TipoArredondamento&lt;&gt;"TransfereGOV",
              ROUND(OFFSET($P86,0,AS$13),15-13*ORÇAMENTO!$AF$7)/$H86*OFFSET(ORÇAMENTO!$X$15,ROW(AS86)-ROW(AS$15),0),
              ROUND(ROUND(OFFSET($P86,0,AS$13),15-13*ORÇAMENTO!$AF$7)*OFFSET(ORÇAMENTO!$W$15,ROW(AS86)-ROW(AS$15),0),15-13*ORÇAMENTO!$AF$11)),
         0)</f>
        <v>0</v>
      </c>
      <c r="AT86" s="453">
        <f ca="1">IF(AND($D86="Serviço",AT$12&lt;&gt;0,$H86&gt;0,OR(AUTOEVENTO&lt;&gt;"manual",$M86&lt;&gt;$A$15)),
        IF(Import.TipoArredondamento&lt;&gt;"TransfereGOV",
              ROUND(OFFSET($P86,0,AT$13),15-13*ORÇAMENTO!$AF$7)/$H86*OFFSET(ORÇAMENTO!$X$15,ROW(AT86)-ROW(AT$15),0),
              ROUND(ROUND(OFFSET($P86,0,AT$13),15-13*ORÇAMENTO!$AF$7)*OFFSET(ORÇAMENTO!$W$15,ROW(AT86)-ROW(AT$15),0),15-13*ORÇAMENTO!$AF$11)),
         0)</f>
        <v>0</v>
      </c>
      <c r="AU86" s="453">
        <f ca="1">IF(AND($D86="Serviço",AU$12&lt;&gt;0,$H86&gt;0,OR(AUTOEVENTO&lt;&gt;"manual",$M86&lt;&gt;$A$15)),
        IF(Import.TipoArredondamento&lt;&gt;"TransfereGOV",
              ROUND(OFFSET($P86,0,AU$13),15-13*ORÇAMENTO!$AF$7)/$H86*OFFSET(ORÇAMENTO!$X$15,ROW(AU86)-ROW(AU$15),0),
              ROUND(ROUND(OFFSET($P86,0,AU$13),15-13*ORÇAMENTO!$AF$7)*OFFSET(ORÇAMENTO!$W$15,ROW(AU86)-ROW(AU$15),0),15-13*ORÇAMENTO!$AF$11)),
         0)</f>
        <v>0</v>
      </c>
      <c r="AV86" s="453">
        <f ca="1">IF(AND($D86="Serviço",AV$12&lt;&gt;0,$H86&gt;0,OR(AUTOEVENTO&lt;&gt;"manual",$M86&lt;&gt;$A$15)),
        IF(Import.TipoArredondamento&lt;&gt;"TransfereGOV",
              ROUND(OFFSET($P86,0,AV$13),15-13*ORÇAMENTO!$AF$7)/$H86*OFFSET(ORÇAMENTO!$X$15,ROW(AV86)-ROW(AV$15),0),
              ROUND(ROUND(OFFSET($P86,0,AV$13),15-13*ORÇAMENTO!$AF$7)*OFFSET(ORÇAMENTO!$W$15,ROW(AV86)-ROW(AV$15),0),15-13*ORÇAMENTO!$AF$11)),
         0)</f>
        <v>0</v>
      </c>
      <c r="AW86" s="453">
        <f ca="1">IF(AND($D86="Serviço",AW$12&lt;&gt;0,$H86&gt;0,OR(AUTOEVENTO&lt;&gt;"manual",$M86&lt;&gt;$A$15)),
        IF(Import.TipoArredondamento&lt;&gt;"TransfereGOV",
              ROUND(OFFSET($P86,0,AW$13),15-13*ORÇAMENTO!$AF$7)/$H86*OFFSET(ORÇAMENTO!$X$15,ROW(AW86)-ROW(AW$15),0),
              ROUND(ROUND(OFFSET($P86,0,AW$13),15-13*ORÇAMENTO!$AF$7)*OFFSET(ORÇAMENTO!$W$15,ROW(AW86)-ROW(AW$15),0),15-13*ORÇAMENTO!$AF$11)),
         0)</f>
        <v>0</v>
      </c>
      <c r="AX86" s="453">
        <f ca="1">IF(AND($D86="Serviço",AX$12&lt;&gt;0,$H86&gt;0,OR(AUTOEVENTO&lt;&gt;"manual",$M86&lt;&gt;$A$15)),
        IF(Import.TipoArredondamento&lt;&gt;"TransfereGOV",
              ROUND(OFFSET($P86,0,AX$13),15-13*ORÇAMENTO!$AF$7)/$H86*OFFSET(ORÇAMENTO!$X$15,ROW(AX86)-ROW(AX$15),0),
              ROUND(ROUND(OFFSET($P86,0,AX$13),15-13*ORÇAMENTO!$AF$7)*OFFSET(ORÇAMENTO!$W$15,ROW(AX86)-ROW(AX$15),0),15-13*ORÇAMENTO!$AF$11)),
         0)</f>
        <v>0</v>
      </c>
      <c r="AY86" s="453">
        <f ca="1">IF(AND($D86="Serviço",AY$12&lt;&gt;0,$H86&gt;0,OR(AUTOEVENTO&lt;&gt;"manual",$M86&lt;&gt;$A$15)),
        IF(Import.TipoArredondamento&lt;&gt;"TransfereGOV",
              ROUND(OFFSET($P86,0,AY$13),15-13*ORÇAMENTO!$AF$7)/$H86*OFFSET(ORÇAMENTO!$X$15,ROW(AY86)-ROW(AY$15),0),
              ROUND(ROUND(OFFSET($P86,0,AY$13),15-13*ORÇAMENTO!$AF$7)*OFFSET(ORÇAMENTO!$W$15,ROW(AY86)-ROW(AY$15),0),15-13*ORÇAMENTO!$AF$11)),
         0)</f>
        <v>0</v>
      </c>
      <c r="AZ86" s="453">
        <f ca="1">IF(AND($D86="Serviço",AZ$12&lt;&gt;0,$H86&gt;0,OR(AUTOEVENTO&lt;&gt;"manual",$M86&lt;&gt;$A$15)),
        IF(Import.TipoArredondamento&lt;&gt;"TransfereGOV",
              ROUND(OFFSET($P86,0,AZ$13),15-13*ORÇAMENTO!$AF$7)/$H86*OFFSET(ORÇAMENTO!$X$15,ROW(AZ86)-ROW(AZ$15),0),
              ROUND(ROUND(OFFSET($P86,0,AZ$13),15-13*ORÇAMENTO!$AF$7)*OFFSET(ORÇAMENTO!$W$15,ROW(AZ86)-ROW(AZ$15),0),15-13*ORÇAMENTO!$AF$11)),
         0)</f>
        <v>0</v>
      </c>
      <c r="BA86" s="453">
        <f ca="1">IF(AND($D86="Serviço",BA$12&lt;&gt;0,$H86&gt;0,OR(AUTOEVENTO&lt;&gt;"manual",$M86&lt;&gt;$A$15)),
        IF(Import.TipoArredondamento&lt;&gt;"TransfereGOV",
              ROUND(OFFSET($P86,0,BA$13),15-13*ORÇAMENTO!$AF$7)/$H86*OFFSET(ORÇAMENTO!$X$15,ROW(BA86)-ROW(BA$15),0),
              ROUND(ROUND(OFFSET($P86,0,BA$13),15-13*ORÇAMENTO!$AF$7)*OFFSET(ORÇAMENTO!$W$15,ROW(BA86)-ROW(BA$15),0),15-13*ORÇAMENTO!$AF$11)),
         0)</f>
        <v>0</v>
      </c>
      <c r="BC86" s="171">
        <f ca="1">IF(OR($D86&lt;&gt;"Serviço",AND(AUTOEVENTO="Manual",$M86=$A$15)),0,
         IF(OFFSET(CRONOPLE!$F$15,$M86-$A$15,BC$13)=0,10^12,OFFSET(CRONOPLE!$F$15,$M86-$A$15,BC$13)))</f>
        <v>1000000000000</v>
      </c>
      <c r="BD86" s="171">
        <f ca="1">IF(OR($D86&lt;&gt;"Serviço",AND(AUTOEVENTO="Manual",$M86=$A$15)),0,
         IF(OFFSET(CRONOPLE!$F$15,$M86-$A$15,BD$13)=0,10^12,OFFSET(CRONOPLE!$F$15,$M86-$A$15,BD$13)))</f>
        <v>1000000000000</v>
      </c>
      <c r="BE86" s="171">
        <f ca="1">IF(OR($D86&lt;&gt;"Serviço",AND(AUTOEVENTO="Manual",$M86=$A$15)),0,
         IF(OFFSET(CRONOPLE!$F$15,$M86-$A$15,BE$13)=0,10^12,OFFSET(CRONOPLE!$F$15,$M86-$A$15,BE$13)))</f>
        <v>1000000000000</v>
      </c>
      <c r="BF86" s="171">
        <f ca="1">IF(OR($D86&lt;&gt;"Serviço",AND(AUTOEVENTO="Manual",$M86=$A$15)),0,
         IF(OFFSET(CRONOPLE!$F$15,$M86-$A$15,BF$13)=0,10^12,OFFSET(CRONOPLE!$F$15,$M86-$A$15,BF$13)))</f>
        <v>2</v>
      </c>
      <c r="BG86" s="171">
        <f ca="1">IF(OR($D86&lt;&gt;"Serviço",AND(AUTOEVENTO="Manual",$M86=$A$15)),0,
         IF(OFFSET(CRONOPLE!$F$15,$M86-$A$15,BG$13)=0,10^12,OFFSET(CRONOPLE!$F$15,$M86-$A$15,BG$13)))</f>
        <v>1000000000000</v>
      </c>
      <c r="BH86" s="171">
        <f ca="1">IF(OR($D86&lt;&gt;"Serviço",AND(AUTOEVENTO="Manual",$M86=$A$15)),0,
         IF(OFFSET(CRONOPLE!$F$15,$M86-$A$15,BH$13)=0,10^12,OFFSET(CRONOPLE!$F$15,$M86-$A$15,BH$13)))</f>
        <v>1000000000000</v>
      </c>
      <c r="BI86" s="171">
        <f ca="1">IF(OR($D86&lt;&gt;"Serviço",AND(AUTOEVENTO="Manual",$M86=$A$15)),0,
         IF(OFFSET(CRONOPLE!$F$15,$M86-$A$15,BI$13)=0,10^12,OFFSET(CRONOPLE!$F$15,$M86-$A$15,BI$13)))</f>
        <v>1000000000000</v>
      </c>
      <c r="BJ86" s="171">
        <f ca="1">IF(OR($D86&lt;&gt;"Serviço",AND(AUTOEVENTO="Manual",$M86=$A$15)),0,
         IF(OFFSET(CRONOPLE!$F$15,$M86-$A$15,BJ$13)=0,10^12,OFFSET(CRONOPLE!$F$15,$M86-$A$15,BJ$13)))</f>
        <v>1000000000000</v>
      </c>
      <c r="BK86" s="171">
        <f ca="1">IF(OR($D86&lt;&gt;"Serviço",AND(AUTOEVENTO="Manual",$M86=$A$15)),0,
         IF(OFFSET(CRONOPLE!$F$15,$M86-$A$15,BK$13)=0,10^12,OFFSET(CRONOPLE!$F$15,$M86-$A$15,BK$13)))</f>
        <v>1000000000000</v>
      </c>
      <c r="BL86" s="171">
        <f ca="1">IF(OR($D86&lt;&gt;"Serviço",AND(AUTOEVENTO="Manual",$M86=$A$15)),0,
         IF(OFFSET(CRONOPLE!$F$15,$M86-$A$15,BL$13)=0,10^12,OFFSET(CRONOPLE!$F$15,$M86-$A$15,BL$13)))</f>
        <v>1000000000000</v>
      </c>
      <c r="BM86" s="171">
        <f ca="1">IF(OR($D86&lt;&gt;"Serviço",AND(AUTOEVENTO="Manual",$M86=$A$15)),0,
         IF(OFFSET(CRONOPLE!$F$15,$M86-$A$15,BM$13)=0,10^12,OFFSET(CRONOPLE!$F$15,$M86-$A$15,BM$13)))</f>
        <v>1000000000000</v>
      </c>
      <c r="BN86" s="171">
        <f ca="1">IF(OR($D86&lt;&gt;"Serviço",AND(AUTOEVENTO="Manual",$M86=$A$15)),0,
         IF(OFFSET(CRONOPLE!$F$15,$M86-$A$15,BN$13)=0,10^12,OFFSET(CRONOPLE!$F$15,$M86-$A$15,BN$13)))</f>
        <v>1000000000000</v>
      </c>
      <c r="BO86" s="171">
        <f ca="1">IF(OR($D86&lt;&gt;"Serviço",AND(AUTOEVENTO="Manual",$M86=$A$15)),0,
         IF(OFFSET(CRONOPLE!$F$15,$M86-$A$15,BO$13)=0,10^12,OFFSET(CRONOPLE!$F$15,$M86-$A$15,BO$13)))</f>
        <v>1000000000000</v>
      </c>
      <c r="BP86" s="171">
        <f ca="1">IF(OR($D86&lt;&gt;"Serviço",AND(AUTOEVENTO="Manual",$M86=$A$15)),0,
         IF(OFFSET(CRONOPLE!$F$15,$M86-$A$15,BP$13)=0,10^12,OFFSET(CRONOPLE!$F$15,$M86-$A$15,BP$13)))</f>
        <v>1000000000000</v>
      </c>
      <c r="BQ86" s="171">
        <f ca="1">IF(OR($D86&lt;&gt;"Serviço",AND(AUTOEVENTO="Manual",$M86=$A$15)),0,
         IF(OFFSET(CRONOPLE!$F$15,$M86-$A$15,BQ$13)=0,10^12,OFFSET(CRONOPLE!$F$15,$M86-$A$15,BQ$13)))</f>
        <v>1000000000000</v>
      </c>
      <c r="BR86" s="171">
        <f ca="1">IF(OR($D86&lt;&gt;"Serviço",AND(AUTOEVENTO="Manual",$M86=$A$15)),0,
         IF(OFFSET(CRONOPLE!$F$15,$M86-$A$15,BR$13)=0,10^12,OFFSET(CRONOPLE!$F$15,$M86-$A$15,BR$13)))</f>
        <v>1000000000000</v>
      </c>
      <c r="BS86" s="171">
        <f ca="1">IF(OR($D86&lt;&gt;"Serviço",AND(AUTOEVENTO="Manual",$M86=$A$15)),0,
         IF(OFFSET(CRONOPLE!$F$15,$M86-$A$15,BS$13)=0,10^12,OFFSET(CRONOPLE!$F$15,$M86-$A$15,BS$13)))</f>
        <v>1000000000000</v>
      </c>
      <c r="BT86" s="171">
        <f ca="1">IF(OR($D86&lt;&gt;"Serviço",AND(AUTOEVENTO="Manual",$M86=$A$15)),0,
         IF(OFFSET(CRONOPLE!$F$15,$M86-$A$15,BT$13)=0,10^12,OFFSET(CRONOPLE!$F$15,$M86-$A$15,BT$13)))</f>
        <v>1000000000000</v>
      </c>
      <c r="BV86" s="172">
        <f ca="1">IF(OR($D86&lt;&gt;"Serviço",AND(AUTOEVENTO="Manual",$M86=$A$15),$M86&gt;(ROW(PLE.lastrow)-ROW(PLE.firstrow))),0,
           IF(OFFSET(PLE!$G$15,$M86-$A$15,BV$13)="",10^12,OFFSET(PLE!$G$15,$M86-$A$15,BV$13)))</f>
        <v>1000000000000</v>
      </c>
      <c r="BW86" s="172">
        <f ca="1">IF(OR($D86&lt;&gt;"Serviço",AND(AUTOEVENTO="Manual",$M86=$A$15),$M86&gt;(ROW(PLE.lastrow)-ROW(PLE.firstrow))),0,
           IF(OFFSET(PLE!$G$15,$M86-$A$15,BW$13)="",10^12,OFFSET(PLE!$G$15,$M86-$A$15,BW$13)))</f>
        <v>1000000000000</v>
      </c>
      <c r="BX86" s="172">
        <f ca="1">IF(OR($D86&lt;&gt;"Serviço",AND(AUTOEVENTO="Manual",$M86=$A$15),$M86&gt;(ROW(PLE.lastrow)-ROW(PLE.firstrow))),0,
           IF(OFFSET(PLE!$G$15,$M86-$A$15,BX$13)="",10^12,OFFSET(PLE!$G$15,$M86-$A$15,BX$13)))</f>
        <v>1000000000000</v>
      </c>
      <c r="BY86" s="172">
        <f ca="1">IF(OR($D86&lt;&gt;"Serviço",AND(AUTOEVENTO="Manual",$M86=$A$15),$M86&gt;(ROW(PLE.lastrow)-ROW(PLE.firstrow))),0,
           IF(OFFSET(PLE!$G$15,$M86-$A$15,BY$13)="",10^12,OFFSET(PLE!$G$15,$M86-$A$15,BY$13)))</f>
        <v>1000000000000</v>
      </c>
      <c r="BZ86" s="172">
        <f ca="1">IF(OR($D86&lt;&gt;"Serviço",AND(AUTOEVENTO="Manual",$M86=$A$15),$M86&gt;(ROW(PLE.lastrow)-ROW(PLE.firstrow))),0,
           IF(OFFSET(PLE!$G$15,$M86-$A$15,BZ$13)="",10^12,OFFSET(PLE!$G$15,$M86-$A$15,BZ$13)))</f>
        <v>1000000000000</v>
      </c>
      <c r="CA86" s="172">
        <f ca="1">IF(OR($D86&lt;&gt;"Serviço",AND(AUTOEVENTO="Manual",$M86=$A$15),$M86&gt;(ROW(PLE.lastrow)-ROW(PLE.firstrow))),0,
           IF(OFFSET(PLE!$G$15,$M86-$A$15,CA$13)="",10^12,OFFSET(PLE!$G$15,$M86-$A$15,CA$13)))</f>
        <v>1000000000000</v>
      </c>
      <c r="CB86" s="172">
        <f ca="1">IF(OR($D86&lt;&gt;"Serviço",AND(AUTOEVENTO="Manual",$M86=$A$15),$M86&gt;(ROW(PLE.lastrow)-ROW(PLE.firstrow))),0,
           IF(OFFSET(PLE!$G$15,$M86-$A$15,CB$13)="",10^12,OFFSET(PLE!$G$15,$M86-$A$15,CB$13)))</f>
        <v>1000000000000</v>
      </c>
      <c r="CC86" s="172">
        <f ca="1">IF(OR($D86&lt;&gt;"Serviço",AND(AUTOEVENTO="Manual",$M86=$A$15),$M86&gt;(ROW(PLE.lastrow)-ROW(PLE.firstrow))),0,
           IF(OFFSET(PLE!$G$15,$M86-$A$15,CC$13)="",10^12,OFFSET(PLE!$G$15,$M86-$A$15,CC$13)))</f>
        <v>1000000000000</v>
      </c>
      <c r="CD86" s="172">
        <f ca="1">IF(OR($D86&lt;&gt;"Serviço",AND(AUTOEVENTO="Manual",$M86=$A$15),$M86&gt;(ROW(PLE.lastrow)-ROW(PLE.firstrow))),0,
           IF(OFFSET(PLE!$G$15,$M86-$A$15,CD$13)="",10^12,OFFSET(PLE!$G$15,$M86-$A$15,CD$13)))</f>
        <v>1000000000000</v>
      </c>
      <c r="CE86" s="172">
        <f ca="1">IF(OR($D86&lt;&gt;"Serviço",AND(AUTOEVENTO="Manual",$M86=$A$15),$M86&gt;(ROW(PLE.lastrow)-ROW(PLE.firstrow))),0,
           IF(OFFSET(PLE!$G$15,$M86-$A$15,CE$13)="",10^12,OFFSET(PLE!$G$15,$M86-$A$15,CE$13)))</f>
        <v>1000000000000</v>
      </c>
      <c r="CF86" s="172">
        <f ca="1">IF(OR($D86&lt;&gt;"Serviço",AND(AUTOEVENTO="Manual",$M86=$A$15),$M86&gt;(ROW(PLE.lastrow)-ROW(PLE.firstrow))),0,
           IF(OFFSET(PLE!$G$15,$M86-$A$15,CF$13)="",10^12,OFFSET(PLE!$G$15,$M86-$A$15,CF$13)))</f>
        <v>1000000000000</v>
      </c>
      <c r="CG86" s="172">
        <f ca="1">IF(OR($D86&lt;&gt;"Serviço",AND(AUTOEVENTO="Manual",$M86=$A$15),$M86&gt;(ROW(PLE.lastrow)-ROW(PLE.firstrow))),0,
           IF(OFFSET(PLE!$G$15,$M86-$A$15,CG$13)="",10^12,OFFSET(PLE!$G$15,$M86-$A$15,CG$13)))</f>
        <v>1000000000000</v>
      </c>
      <c r="CH86" s="172">
        <f ca="1">IF(OR($D86&lt;&gt;"Serviço",AND(AUTOEVENTO="Manual",$M86=$A$15),$M86&gt;(ROW(PLE.lastrow)-ROW(PLE.firstrow))),0,
           IF(OFFSET(PLE!$G$15,$M86-$A$15,CH$13)="",10^12,OFFSET(PLE!$G$15,$M86-$A$15,CH$13)))</f>
        <v>1000000000000</v>
      </c>
      <c r="CI86" s="172">
        <f ca="1">IF(OR($D86&lt;&gt;"Serviço",AND(AUTOEVENTO="Manual",$M86=$A$15),$M86&gt;(ROW(PLE.lastrow)-ROW(PLE.firstrow))),0,
           IF(OFFSET(PLE!$G$15,$M86-$A$15,CI$13)="",10^12,OFFSET(PLE!$G$15,$M86-$A$15,CI$13)))</f>
        <v>1000000000000</v>
      </c>
      <c r="CJ86" s="172">
        <f ca="1">IF(OR($D86&lt;&gt;"Serviço",AND(AUTOEVENTO="Manual",$M86=$A$15),$M86&gt;(ROW(PLE.lastrow)-ROW(PLE.firstrow))),0,
           IF(OFFSET(PLE!$G$15,$M86-$A$15,CJ$13)="",10^12,OFFSET(PLE!$G$15,$M86-$A$15,CJ$13)))</f>
        <v>1000000000000</v>
      </c>
      <c r="CK86" s="172">
        <f ca="1">IF(OR($D86&lt;&gt;"Serviço",AND(AUTOEVENTO="Manual",$M86=$A$15),$M86&gt;(ROW(PLE.lastrow)-ROW(PLE.firstrow))),0,
           IF(OFFSET(PLE!$G$15,$M86-$A$15,CK$13)="",10^12,OFFSET(PLE!$G$15,$M86-$A$15,CK$13)))</f>
        <v>1000000000000</v>
      </c>
      <c r="CL86" s="172">
        <f ca="1">IF(OR($D86&lt;&gt;"Serviço",AND(AUTOEVENTO="Manual",$M86=$A$15),$M86&gt;(ROW(PLE.lastrow)-ROW(PLE.firstrow))),0,
           IF(OFFSET(PLE!$G$15,$M86-$A$15,CL$13)="",10^12,OFFSET(PLE!$G$15,$M86-$A$15,CL$13)))</f>
        <v>1000000000000</v>
      </c>
      <c r="CM86" s="172">
        <f ca="1">IF(OR($D86&lt;&gt;"Serviço",AND(AUTOEVENTO="Manual",$M86=$A$15),$M86&gt;(ROW(PLE.lastrow)-ROW(PLE.firstrow))),0,
           IF(OFFSET(PLE!$G$15,$M86-$A$15,CM$13)="",10^12,OFFSET(PLE!$G$15,$M86-$A$15,CM$13)))</f>
        <v>1000000000000</v>
      </c>
    </row>
    <row r="87" spans="1:91" ht="13.2" x14ac:dyDescent="0.25">
      <c r="A87" s="7" t="str">
        <f t="shared" ca="1" si="11"/>
        <v>67</v>
      </c>
      <c r="B87" s="7" t="str">
        <f ca="1">OFFSET(ORÇAMENTO!C$15,ROW(B87)-ROW(B$15),0)</f>
        <v>S</v>
      </c>
      <c r="C87" s="7" t="str">
        <f ca="1">OFFSET(ORÇAMENTO!L$15,ROW(C87)-ROW(C$15),0)</f>
        <v>F</v>
      </c>
      <c r="D87" s="116" t="str">
        <f ca="1">OFFSET(ORÇAMENTO!N$15,ROW(D87)-ROW(D$15),0)</f>
        <v>Serviço</v>
      </c>
      <c r="E87" s="117" t="str">
        <f ca="1">OFFSET(ORÇAMENTO!O$15,ROW(E87)-ROW(E$15),0)</f>
        <v>2.5.5.</v>
      </c>
      <c r="F87" s="163" t="str">
        <f ca="1">OFFSET(ORÇAMENTO!R$15,ROW(F87)-ROW(F$15),0)</f>
        <v>PLACA DE REGULAMENTAÇÃO OCTOGONAL LADO 0,25M</v>
      </c>
      <c r="G87" s="164" t="str">
        <f ca="1">IF($D87&lt;&gt;"Serviço","",OFFSET(ORÇAMENTO!S$15,ROW(G87)-ROW(G$15),0))</f>
        <v>UN</v>
      </c>
      <c r="H87" s="122" cm="1">
        <f t="array" aca="1" ref="H87" ca="1">IF($D87&lt;&gt;"Serviço",0,IF(ACOMPANHAMENTO="BM",ROUND(OFFSET(ORÇAMENTO!AJ$15,ROW(H87)-ROW(H$15),0),15-13*ORÇAMENTO!$AF$7),SUMPRODUCT(($Q$1:$AI$1=1)*ROUND($Q87:$AI87,15-13*ORÇAMENTO!$AF$7))))</f>
        <v>1</v>
      </c>
      <c r="I87" s="468"/>
      <c r="J87" s="651" t="e" cm="1">
        <f t="array" aca="1" ref="J87" ca="1">IF(OR(B87&lt;&gt;"S",CÁLCULO.FrentesPreenchidas=0),"",IF(AND(ACOMPANHAMENTO="PLE",AUTOEVENTO="Manual",OR(H87&gt;0,ORÇAMENTO!AC87="QUANT."),OR(K87="",M87=0,N87="")),"►E",IF(AND(ACOMPANHAMENTO="PLE",ORÇAMENTO!AC87="QUANT."),"►Q",IF(AND(ACOMPANHAMENTO="PLE",H87&lt;&gt;SUMPRODUCT(($Q$1:$AI$1=1)*ROUND(Q87:AI87,15))),"►S",IF(AND(COUNTIF($P$11:$AI$11,"▼")=0,H87&gt;0,I87=""),"◄M","")))))</f>
        <v>#NAME?</v>
      </c>
      <c r="K87" s="652"/>
      <c r="L87" s="165" t="s">
        <v>764</v>
      </c>
      <c r="M87" s="166">
        <f ca="1">IF($D87&lt;&gt;"Serviço","",
          IF(AUTOEVENTO="manual",$A87,
                IF(ISERROR(MATCH($A87,$A$15:OFFSET($A87,-1,0),0)),MAX($M$15:OFFSET(M87,-1,0))+1,
                      INDEX($M$15:OFFSET(M87,-1,0),MATCH($A87,$A$15:OFFSET($A87,-1,0),0)))))</f>
        <v>12</v>
      </c>
      <c r="N87" s="167" t="str">
        <f ca="1">IF($D87&lt;&gt;"Serviço","",
         IF(AUTOEVENTO="Manual",
                IF($A87=0,"&lt;-- defina o número do agrupador",
                       OFFSET(EVENTOS!$D$15,$A87-$A$15,0)),
                OFFSET($F$15,$A87,0)))</f>
        <v>SINALIZAÇÃO</v>
      </c>
      <c r="O87" s="168"/>
      <c r="Q87" s="168"/>
      <c r="R87" s="169"/>
      <c r="S87" s="169"/>
      <c r="T87" s="169">
        <v>1</v>
      </c>
      <c r="U87" s="169"/>
      <c r="V87" s="169"/>
      <c r="W87" s="169"/>
      <c r="X87" s="169"/>
      <c r="Y87" s="169"/>
      <c r="Z87" s="170"/>
      <c r="AA87" s="169"/>
      <c r="AB87" s="169"/>
      <c r="AC87" s="169"/>
      <c r="AD87" s="169"/>
      <c r="AE87" s="169"/>
      <c r="AF87" s="169"/>
      <c r="AG87" s="169"/>
      <c r="AH87" s="170"/>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L87" s="453">
        <f ca="1">IF(AND($D87="Serviço",AL$12&lt;&gt;0,$H87&gt;0,OR(AUTOEVENTO&lt;&gt;"manual",$M87&lt;&gt;$A$15)),
        IF(Import.TipoArredondamento&lt;&gt;"TransfereGOV",
              ROUND(OFFSET($P87,0,AL$13),15-13*ORÇAMENTO!$AF$7)/$H87*OFFSET(ORÇAMENTO!$X$15,ROW(AL87)-ROW(AL$15),0),
              ROUND(ROUND(OFFSET($P87,0,AL$13),15-13*ORÇAMENTO!$AF$7)*OFFSET(ORÇAMENTO!$W$15,ROW(AL87)-ROW(AL$15),0),15-13*ORÇAMENTO!$AF$11)),
         0)</f>
        <v>0</v>
      </c>
      <c r="AM87" s="453">
        <f ca="1">IF(AND($D87="Serviço",AM$12&lt;&gt;0,$H87&gt;0,OR(AUTOEVENTO&lt;&gt;"manual",$M87&lt;&gt;$A$15)),
        IF(Import.TipoArredondamento&lt;&gt;"TransfereGOV",
              ROUND(OFFSET($P87,0,AM$13),15-13*ORÇAMENTO!$AF$7)/$H87*OFFSET(ORÇAMENTO!$X$15,ROW(AM87)-ROW(AM$15),0),
              ROUND(ROUND(OFFSET($P87,0,AM$13),15-13*ORÇAMENTO!$AF$7)*OFFSET(ORÇAMENTO!$W$15,ROW(AM87)-ROW(AM$15),0),15-13*ORÇAMENTO!$AF$11)),
         0)</f>
        <v>902.38</v>
      </c>
      <c r="AN87" s="453">
        <f ca="1">IF(AND($D87="Serviço",AN$12&lt;&gt;0,$H87&gt;0,OR(AUTOEVENTO&lt;&gt;"manual",$M87&lt;&gt;$A$15)),
        IF(Import.TipoArredondamento&lt;&gt;"TransfereGOV",
              ROUND(OFFSET($P87,0,AN$13),15-13*ORÇAMENTO!$AF$7)/$H87*OFFSET(ORÇAMENTO!$X$15,ROW(AN87)-ROW(AN$15),0),
              ROUND(ROUND(OFFSET($P87,0,AN$13),15-13*ORÇAMENTO!$AF$7)*OFFSET(ORÇAMENTO!$W$15,ROW(AN87)-ROW(AN$15),0),15-13*ORÇAMENTO!$AF$11)),
         0)</f>
        <v>0</v>
      </c>
      <c r="AO87" s="453">
        <f ca="1">IF(AND($D87="Serviço",AO$12&lt;&gt;0,$H87&gt;0,OR(AUTOEVENTO&lt;&gt;"manual",$M87&lt;&gt;$A$15)),
        IF(Import.TipoArredondamento&lt;&gt;"TransfereGOV",
              ROUND(OFFSET($P87,0,AO$13),15-13*ORÇAMENTO!$AF$7)/$H87*OFFSET(ORÇAMENTO!$X$15,ROW(AO87)-ROW(AO$15),0),
              ROUND(ROUND(OFFSET($P87,0,AO$13),15-13*ORÇAMENTO!$AF$7)*OFFSET(ORÇAMENTO!$W$15,ROW(AO87)-ROW(AO$15),0),15-13*ORÇAMENTO!$AF$11)),
         0)</f>
        <v>0</v>
      </c>
      <c r="AP87" s="453">
        <f ca="1">IF(AND($D87="Serviço",AP$12&lt;&gt;0,$H87&gt;0,OR(AUTOEVENTO&lt;&gt;"manual",$M87&lt;&gt;$A$15)),
        IF(Import.TipoArredondamento&lt;&gt;"TransfereGOV",
              ROUND(OFFSET($P87,0,AP$13),15-13*ORÇAMENTO!$AF$7)/$H87*OFFSET(ORÇAMENTO!$X$15,ROW(AP87)-ROW(AP$15),0),
              ROUND(ROUND(OFFSET($P87,0,AP$13),15-13*ORÇAMENTO!$AF$7)*OFFSET(ORÇAMENTO!$W$15,ROW(AP87)-ROW(AP$15),0),15-13*ORÇAMENTO!$AF$11)),
         0)</f>
        <v>0</v>
      </c>
      <c r="AQ87" s="453">
        <f ca="1">IF(AND($D87="Serviço",AQ$12&lt;&gt;0,$H87&gt;0,OR(AUTOEVENTO&lt;&gt;"manual",$M87&lt;&gt;$A$15)),
        IF(Import.TipoArredondamento&lt;&gt;"TransfereGOV",
              ROUND(OFFSET($P87,0,AQ$13),15-13*ORÇAMENTO!$AF$7)/$H87*OFFSET(ORÇAMENTO!$X$15,ROW(AQ87)-ROW(AQ$15),0),
              ROUND(ROUND(OFFSET($P87,0,AQ$13),15-13*ORÇAMENTO!$AF$7)*OFFSET(ORÇAMENTO!$W$15,ROW(AQ87)-ROW(AQ$15),0),15-13*ORÇAMENTO!$AF$11)),
         0)</f>
        <v>0</v>
      </c>
      <c r="AR87" s="453">
        <f ca="1">IF(AND($D87="Serviço",AR$12&lt;&gt;0,$H87&gt;0,OR(AUTOEVENTO&lt;&gt;"manual",$M87&lt;&gt;$A$15)),
        IF(Import.TipoArredondamento&lt;&gt;"TransfereGOV",
              ROUND(OFFSET($P87,0,AR$13),15-13*ORÇAMENTO!$AF$7)/$H87*OFFSET(ORÇAMENTO!$X$15,ROW(AR87)-ROW(AR$15),0),
              ROUND(ROUND(OFFSET($P87,0,AR$13),15-13*ORÇAMENTO!$AF$7)*OFFSET(ORÇAMENTO!$W$15,ROW(AR87)-ROW(AR$15),0),15-13*ORÇAMENTO!$AF$11)),
         0)</f>
        <v>0</v>
      </c>
      <c r="AS87" s="453">
        <f ca="1">IF(AND($D87="Serviço",AS$12&lt;&gt;0,$H87&gt;0,OR(AUTOEVENTO&lt;&gt;"manual",$M87&lt;&gt;$A$15)),
        IF(Import.TipoArredondamento&lt;&gt;"TransfereGOV",
              ROUND(OFFSET($P87,0,AS$13),15-13*ORÇAMENTO!$AF$7)/$H87*OFFSET(ORÇAMENTO!$X$15,ROW(AS87)-ROW(AS$15),0),
              ROUND(ROUND(OFFSET($P87,0,AS$13),15-13*ORÇAMENTO!$AF$7)*OFFSET(ORÇAMENTO!$W$15,ROW(AS87)-ROW(AS$15),0),15-13*ORÇAMENTO!$AF$11)),
         0)</f>
        <v>0</v>
      </c>
      <c r="AT87" s="453">
        <f ca="1">IF(AND($D87="Serviço",AT$12&lt;&gt;0,$H87&gt;0,OR(AUTOEVENTO&lt;&gt;"manual",$M87&lt;&gt;$A$15)),
        IF(Import.TipoArredondamento&lt;&gt;"TransfereGOV",
              ROUND(OFFSET($P87,0,AT$13),15-13*ORÇAMENTO!$AF$7)/$H87*OFFSET(ORÇAMENTO!$X$15,ROW(AT87)-ROW(AT$15),0),
              ROUND(ROUND(OFFSET($P87,0,AT$13),15-13*ORÇAMENTO!$AF$7)*OFFSET(ORÇAMENTO!$W$15,ROW(AT87)-ROW(AT$15),0),15-13*ORÇAMENTO!$AF$11)),
         0)</f>
        <v>0</v>
      </c>
      <c r="AU87" s="453">
        <f ca="1">IF(AND($D87="Serviço",AU$12&lt;&gt;0,$H87&gt;0,OR(AUTOEVENTO&lt;&gt;"manual",$M87&lt;&gt;$A$15)),
        IF(Import.TipoArredondamento&lt;&gt;"TransfereGOV",
              ROUND(OFFSET($P87,0,AU$13),15-13*ORÇAMENTO!$AF$7)/$H87*OFFSET(ORÇAMENTO!$X$15,ROW(AU87)-ROW(AU$15),0),
              ROUND(ROUND(OFFSET($P87,0,AU$13),15-13*ORÇAMENTO!$AF$7)*OFFSET(ORÇAMENTO!$W$15,ROW(AU87)-ROW(AU$15),0),15-13*ORÇAMENTO!$AF$11)),
         0)</f>
        <v>0</v>
      </c>
      <c r="AV87" s="453">
        <f ca="1">IF(AND($D87="Serviço",AV$12&lt;&gt;0,$H87&gt;0,OR(AUTOEVENTO&lt;&gt;"manual",$M87&lt;&gt;$A$15)),
        IF(Import.TipoArredondamento&lt;&gt;"TransfereGOV",
              ROUND(OFFSET($P87,0,AV$13),15-13*ORÇAMENTO!$AF$7)/$H87*OFFSET(ORÇAMENTO!$X$15,ROW(AV87)-ROW(AV$15),0),
              ROUND(ROUND(OFFSET($P87,0,AV$13),15-13*ORÇAMENTO!$AF$7)*OFFSET(ORÇAMENTO!$W$15,ROW(AV87)-ROW(AV$15),0),15-13*ORÇAMENTO!$AF$11)),
         0)</f>
        <v>0</v>
      </c>
      <c r="AW87" s="453">
        <f ca="1">IF(AND($D87="Serviço",AW$12&lt;&gt;0,$H87&gt;0,OR(AUTOEVENTO&lt;&gt;"manual",$M87&lt;&gt;$A$15)),
        IF(Import.TipoArredondamento&lt;&gt;"TransfereGOV",
              ROUND(OFFSET($P87,0,AW$13),15-13*ORÇAMENTO!$AF$7)/$H87*OFFSET(ORÇAMENTO!$X$15,ROW(AW87)-ROW(AW$15),0),
              ROUND(ROUND(OFFSET($P87,0,AW$13),15-13*ORÇAMENTO!$AF$7)*OFFSET(ORÇAMENTO!$W$15,ROW(AW87)-ROW(AW$15),0),15-13*ORÇAMENTO!$AF$11)),
         0)</f>
        <v>0</v>
      </c>
      <c r="AX87" s="453">
        <f ca="1">IF(AND($D87="Serviço",AX$12&lt;&gt;0,$H87&gt;0,OR(AUTOEVENTO&lt;&gt;"manual",$M87&lt;&gt;$A$15)),
        IF(Import.TipoArredondamento&lt;&gt;"TransfereGOV",
              ROUND(OFFSET($P87,0,AX$13),15-13*ORÇAMENTO!$AF$7)/$H87*OFFSET(ORÇAMENTO!$X$15,ROW(AX87)-ROW(AX$15),0),
              ROUND(ROUND(OFFSET($P87,0,AX$13),15-13*ORÇAMENTO!$AF$7)*OFFSET(ORÇAMENTO!$W$15,ROW(AX87)-ROW(AX$15),0),15-13*ORÇAMENTO!$AF$11)),
         0)</f>
        <v>0</v>
      </c>
      <c r="AY87" s="453">
        <f ca="1">IF(AND($D87="Serviço",AY$12&lt;&gt;0,$H87&gt;0,OR(AUTOEVENTO&lt;&gt;"manual",$M87&lt;&gt;$A$15)),
        IF(Import.TipoArredondamento&lt;&gt;"TransfereGOV",
              ROUND(OFFSET($P87,0,AY$13),15-13*ORÇAMENTO!$AF$7)/$H87*OFFSET(ORÇAMENTO!$X$15,ROW(AY87)-ROW(AY$15),0),
              ROUND(ROUND(OFFSET($P87,0,AY$13),15-13*ORÇAMENTO!$AF$7)*OFFSET(ORÇAMENTO!$W$15,ROW(AY87)-ROW(AY$15),0),15-13*ORÇAMENTO!$AF$11)),
         0)</f>
        <v>0</v>
      </c>
      <c r="AZ87" s="453">
        <f ca="1">IF(AND($D87="Serviço",AZ$12&lt;&gt;0,$H87&gt;0,OR(AUTOEVENTO&lt;&gt;"manual",$M87&lt;&gt;$A$15)),
        IF(Import.TipoArredondamento&lt;&gt;"TransfereGOV",
              ROUND(OFFSET($P87,0,AZ$13),15-13*ORÇAMENTO!$AF$7)/$H87*OFFSET(ORÇAMENTO!$X$15,ROW(AZ87)-ROW(AZ$15),0),
              ROUND(ROUND(OFFSET($P87,0,AZ$13),15-13*ORÇAMENTO!$AF$7)*OFFSET(ORÇAMENTO!$W$15,ROW(AZ87)-ROW(AZ$15),0),15-13*ORÇAMENTO!$AF$11)),
         0)</f>
        <v>0</v>
      </c>
      <c r="BA87" s="453">
        <f ca="1">IF(AND($D87="Serviço",BA$12&lt;&gt;0,$H87&gt;0,OR(AUTOEVENTO&lt;&gt;"manual",$M87&lt;&gt;$A$15)),
        IF(Import.TipoArredondamento&lt;&gt;"TransfereGOV",
              ROUND(OFFSET($P87,0,BA$13),15-13*ORÇAMENTO!$AF$7)/$H87*OFFSET(ORÇAMENTO!$X$15,ROW(BA87)-ROW(BA$15),0),
              ROUND(ROUND(OFFSET($P87,0,BA$13),15-13*ORÇAMENTO!$AF$7)*OFFSET(ORÇAMENTO!$W$15,ROW(BA87)-ROW(BA$15),0),15-13*ORÇAMENTO!$AF$11)),
         0)</f>
        <v>0</v>
      </c>
      <c r="BC87" s="171">
        <f ca="1">IF(OR($D87&lt;&gt;"Serviço",AND(AUTOEVENTO="Manual",$M87=$A$15)),0,
         IF(OFFSET(CRONOPLE!$F$15,$M87-$A$15,BC$13)=0,10^12,OFFSET(CRONOPLE!$F$15,$M87-$A$15,BC$13)))</f>
        <v>1000000000000</v>
      </c>
      <c r="BD87" s="171">
        <f ca="1">IF(OR($D87&lt;&gt;"Serviço",AND(AUTOEVENTO="Manual",$M87=$A$15)),0,
         IF(OFFSET(CRONOPLE!$F$15,$M87-$A$15,BD$13)=0,10^12,OFFSET(CRONOPLE!$F$15,$M87-$A$15,BD$13)))</f>
        <v>1000000000000</v>
      </c>
      <c r="BE87" s="171">
        <f ca="1">IF(OR($D87&lt;&gt;"Serviço",AND(AUTOEVENTO="Manual",$M87=$A$15)),0,
         IF(OFFSET(CRONOPLE!$F$15,$M87-$A$15,BE$13)=0,10^12,OFFSET(CRONOPLE!$F$15,$M87-$A$15,BE$13)))</f>
        <v>1000000000000</v>
      </c>
      <c r="BF87" s="171">
        <f ca="1">IF(OR($D87&lt;&gt;"Serviço",AND(AUTOEVENTO="Manual",$M87=$A$15)),0,
         IF(OFFSET(CRONOPLE!$F$15,$M87-$A$15,BF$13)=0,10^12,OFFSET(CRONOPLE!$F$15,$M87-$A$15,BF$13)))</f>
        <v>2</v>
      </c>
      <c r="BG87" s="171">
        <f ca="1">IF(OR($D87&lt;&gt;"Serviço",AND(AUTOEVENTO="Manual",$M87=$A$15)),0,
         IF(OFFSET(CRONOPLE!$F$15,$M87-$A$15,BG$13)=0,10^12,OFFSET(CRONOPLE!$F$15,$M87-$A$15,BG$13)))</f>
        <v>1000000000000</v>
      </c>
      <c r="BH87" s="171">
        <f ca="1">IF(OR($D87&lt;&gt;"Serviço",AND(AUTOEVENTO="Manual",$M87=$A$15)),0,
         IF(OFFSET(CRONOPLE!$F$15,$M87-$A$15,BH$13)=0,10^12,OFFSET(CRONOPLE!$F$15,$M87-$A$15,BH$13)))</f>
        <v>1000000000000</v>
      </c>
      <c r="BI87" s="171">
        <f ca="1">IF(OR($D87&lt;&gt;"Serviço",AND(AUTOEVENTO="Manual",$M87=$A$15)),0,
         IF(OFFSET(CRONOPLE!$F$15,$M87-$A$15,BI$13)=0,10^12,OFFSET(CRONOPLE!$F$15,$M87-$A$15,BI$13)))</f>
        <v>1000000000000</v>
      </c>
      <c r="BJ87" s="171">
        <f ca="1">IF(OR($D87&lt;&gt;"Serviço",AND(AUTOEVENTO="Manual",$M87=$A$15)),0,
         IF(OFFSET(CRONOPLE!$F$15,$M87-$A$15,BJ$13)=0,10^12,OFFSET(CRONOPLE!$F$15,$M87-$A$15,BJ$13)))</f>
        <v>1000000000000</v>
      </c>
      <c r="BK87" s="171">
        <f ca="1">IF(OR($D87&lt;&gt;"Serviço",AND(AUTOEVENTO="Manual",$M87=$A$15)),0,
         IF(OFFSET(CRONOPLE!$F$15,$M87-$A$15,BK$13)=0,10^12,OFFSET(CRONOPLE!$F$15,$M87-$A$15,BK$13)))</f>
        <v>1000000000000</v>
      </c>
      <c r="BL87" s="171">
        <f ca="1">IF(OR($D87&lt;&gt;"Serviço",AND(AUTOEVENTO="Manual",$M87=$A$15)),0,
         IF(OFFSET(CRONOPLE!$F$15,$M87-$A$15,BL$13)=0,10^12,OFFSET(CRONOPLE!$F$15,$M87-$A$15,BL$13)))</f>
        <v>1000000000000</v>
      </c>
      <c r="BM87" s="171">
        <f ca="1">IF(OR($D87&lt;&gt;"Serviço",AND(AUTOEVENTO="Manual",$M87=$A$15)),0,
         IF(OFFSET(CRONOPLE!$F$15,$M87-$A$15,BM$13)=0,10^12,OFFSET(CRONOPLE!$F$15,$M87-$A$15,BM$13)))</f>
        <v>1000000000000</v>
      </c>
      <c r="BN87" s="171">
        <f ca="1">IF(OR($D87&lt;&gt;"Serviço",AND(AUTOEVENTO="Manual",$M87=$A$15)),0,
         IF(OFFSET(CRONOPLE!$F$15,$M87-$A$15,BN$13)=0,10^12,OFFSET(CRONOPLE!$F$15,$M87-$A$15,BN$13)))</f>
        <v>1000000000000</v>
      </c>
      <c r="BO87" s="171">
        <f ca="1">IF(OR($D87&lt;&gt;"Serviço",AND(AUTOEVENTO="Manual",$M87=$A$15)),0,
         IF(OFFSET(CRONOPLE!$F$15,$M87-$A$15,BO$13)=0,10^12,OFFSET(CRONOPLE!$F$15,$M87-$A$15,BO$13)))</f>
        <v>1000000000000</v>
      </c>
      <c r="BP87" s="171">
        <f ca="1">IF(OR($D87&lt;&gt;"Serviço",AND(AUTOEVENTO="Manual",$M87=$A$15)),0,
         IF(OFFSET(CRONOPLE!$F$15,$M87-$A$15,BP$13)=0,10^12,OFFSET(CRONOPLE!$F$15,$M87-$A$15,BP$13)))</f>
        <v>1000000000000</v>
      </c>
      <c r="BQ87" s="171">
        <f ca="1">IF(OR($D87&lt;&gt;"Serviço",AND(AUTOEVENTO="Manual",$M87=$A$15)),0,
         IF(OFFSET(CRONOPLE!$F$15,$M87-$A$15,BQ$13)=0,10^12,OFFSET(CRONOPLE!$F$15,$M87-$A$15,BQ$13)))</f>
        <v>1000000000000</v>
      </c>
      <c r="BR87" s="171">
        <f ca="1">IF(OR($D87&lt;&gt;"Serviço",AND(AUTOEVENTO="Manual",$M87=$A$15)),0,
         IF(OFFSET(CRONOPLE!$F$15,$M87-$A$15,BR$13)=0,10^12,OFFSET(CRONOPLE!$F$15,$M87-$A$15,BR$13)))</f>
        <v>1000000000000</v>
      </c>
      <c r="BS87" s="171">
        <f ca="1">IF(OR($D87&lt;&gt;"Serviço",AND(AUTOEVENTO="Manual",$M87=$A$15)),0,
         IF(OFFSET(CRONOPLE!$F$15,$M87-$A$15,BS$13)=0,10^12,OFFSET(CRONOPLE!$F$15,$M87-$A$15,BS$13)))</f>
        <v>1000000000000</v>
      </c>
      <c r="BT87" s="171">
        <f ca="1">IF(OR($D87&lt;&gt;"Serviço",AND(AUTOEVENTO="Manual",$M87=$A$15)),0,
         IF(OFFSET(CRONOPLE!$F$15,$M87-$A$15,BT$13)=0,10^12,OFFSET(CRONOPLE!$F$15,$M87-$A$15,BT$13)))</f>
        <v>1000000000000</v>
      </c>
      <c r="BV87" s="172">
        <f ca="1">IF(OR($D87&lt;&gt;"Serviço",AND(AUTOEVENTO="Manual",$M87=$A$15),$M87&gt;(ROW(PLE.lastrow)-ROW(PLE.firstrow))),0,
           IF(OFFSET(PLE!$G$15,$M87-$A$15,BV$13)="",10^12,OFFSET(PLE!$G$15,$M87-$A$15,BV$13)))</f>
        <v>1000000000000</v>
      </c>
      <c r="BW87" s="172">
        <f ca="1">IF(OR($D87&lt;&gt;"Serviço",AND(AUTOEVENTO="Manual",$M87=$A$15),$M87&gt;(ROW(PLE.lastrow)-ROW(PLE.firstrow))),0,
           IF(OFFSET(PLE!$G$15,$M87-$A$15,BW$13)="",10^12,OFFSET(PLE!$G$15,$M87-$A$15,BW$13)))</f>
        <v>1000000000000</v>
      </c>
      <c r="BX87" s="172">
        <f ca="1">IF(OR($D87&lt;&gt;"Serviço",AND(AUTOEVENTO="Manual",$M87=$A$15),$M87&gt;(ROW(PLE.lastrow)-ROW(PLE.firstrow))),0,
           IF(OFFSET(PLE!$G$15,$M87-$A$15,BX$13)="",10^12,OFFSET(PLE!$G$15,$M87-$A$15,BX$13)))</f>
        <v>1000000000000</v>
      </c>
      <c r="BY87" s="172">
        <f ca="1">IF(OR($D87&lt;&gt;"Serviço",AND(AUTOEVENTO="Manual",$M87=$A$15),$M87&gt;(ROW(PLE.lastrow)-ROW(PLE.firstrow))),0,
           IF(OFFSET(PLE!$G$15,$M87-$A$15,BY$13)="",10^12,OFFSET(PLE!$G$15,$M87-$A$15,BY$13)))</f>
        <v>1000000000000</v>
      </c>
      <c r="BZ87" s="172">
        <f ca="1">IF(OR($D87&lt;&gt;"Serviço",AND(AUTOEVENTO="Manual",$M87=$A$15),$M87&gt;(ROW(PLE.lastrow)-ROW(PLE.firstrow))),0,
           IF(OFFSET(PLE!$G$15,$M87-$A$15,BZ$13)="",10^12,OFFSET(PLE!$G$15,$M87-$A$15,BZ$13)))</f>
        <v>1000000000000</v>
      </c>
      <c r="CA87" s="172">
        <f ca="1">IF(OR($D87&lt;&gt;"Serviço",AND(AUTOEVENTO="Manual",$M87=$A$15),$M87&gt;(ROW(PLE.lastrow)-ROW(PLE.firstrow))),0,
           IF(OFFSET(PLE!$G$15,$M87-$A$15,CA$13)="",10^12,OFFSET(PLE!$G$15,$M87-$A$15,CA$13)))</f>
        <v>1000000000000</v>
      </c>
      <c r="CB87" s="172">
        <f ca="1">IF(OR($D87&lt;&gt;"Serviço",AND(AUTOEVENTO="Manual",$M87=$A$15),$M87&gt;(ROW(PLE.lastrow)-ROW(PLE.firstrow))),0,
           IF(OFFSET(PLE!$G$15,$M87-$A$15,CB$13)="",10^12,OFFSET(PLE!$G$15,$M87-$A$15,CB$13)))</f>
        <v>1000000000000</v>
      </c>
      <c r="CC87" s="172">
        <f ca="1">IF(OR($D87&lt;&gt;"Serviço",AND(AUTOEVENTO="Manual",$M87=$A$15),$M87&gt;(ROW(PLE.lastrow)-ROW(PLE.firstrow))),0,
           IF(OFFSET(PLE!$G$15,$M87-$A$15,CC$13)="",10^12,OFFSET(PLE!$G$15,$M87-$A$15,CC$13)))</f>
        <v>1000000000000</v>
      </c>
      <c r="CD87" s="172">
        <f ca="1">IF(OR($D87&lt;&gt;"Serviço",AND(AUTOEVENTO="Manual",$M87=$A$15),$M87&gt;(ROW(PLE.lastrow)-ROW(PLE.firstrow))),0,
           IF(OFFSET(PLE!$G$15,$M87-$A$15,CD$13)="",10^12,OFFSET(PLE!$G$15,$M87-$A$15,CD$13)))</f>
        <v>1000000000000</v>
      </c>
      <c r="CE87" s="172">
        <f ca="1">IF(OR($D87&lt;&gt;"Serviço",AND(AUTOEVENTO="Manual",$M87=$A$15),$M87&gt;(ROW(PLE.lastrow)-ROW(PLE.firstrow))),0,
           IF(OFFSET(PLE!$G$15,$M87-$A$15,CE$13)="",10^12,OFFSET(PLE!$G$15,$M87-$A$15,CE$13)))</f>
        <v>1000000000000</v>
      </c>
      <c r="CF87" s="172">
        <f ca="1">IF(OR($D87&lt;&gt;"Serviço",AND(AUTOEVENTO="Manual",$M87=$A$15),$M87&gt;(ROW(PLE.lastrow)-ROW(PLE.firstrow))),0,
           IF(OFFSET(PLE!$G$15,$M87-$A$15,CF$13)="",10^12,OFFSET(PLE!$G$15,$M87-$A$15,CF$13)))</f>
        <v>1000000000000</v>
      </c>
      <c r="CG87" s="172">
        <f ca="1">IF(OR($D87&lt;&gt;"Serviço",AND(AUTOEVENTO="Manual",$M87=$A$15),$M87&gt;(ROW(PLE.lastrow)-ROW(PLE.firstrow))),0,
           IF(OFFSET(PLE!$G$15,$M87-$A$15,CG$13)="",10^12,OFFSET(PLE!$G$15,$M87-$A$15,CG$13)))</f>
        <v>1000000000000</v>
      </c>
      <c r="CH87" s="172">
        <f ca="1">IF(OR($D87&lt;&gt;"Serviço",AND(AUTOEVENTO="Manual",$M87=$A$15),$M87&gt;(ROW(PLE.lastrow)-ROW(PLE.firstrow))),0,
           IF(OFFSET(PLE!$G$15,$M87-$A$15,CH$13)="",10^12,OFFSET(PLE!$G$15,$M87-$A$15,CH$13)))</f>
        <v>1000000000000</v>
      </c>
      <c r="CI87" s="172">
        <f ca="1">IF(OR($D87&lt;&gt;"Serviço",AND(AUTOEVENTO="Manual",$M87=$A$15),$M87&gt;(ROW(PLE.lastrow)-ROW(PLE.firstrow))),0,
           IF(OFFSET(PLE!$G$15,$M87-$A$15,CI$13)="",10^12,OFFSET(PLE!$G$15,$M87-$A$15,CI$13)))</f>
        <v>1000000000000</v>
      </c>
      <c r="CJ87" s="172">
        <f ca="1">IF(OR($D87&lt;&gt;"Serviço",AND(AUTOEVENTO="Manual",$M87=$A$15),$M87&gt;(ROW(PLE.lastrow)-ROW(PLE.firstrow))),0,
           IF(OFFSET(PLE!$G$15,$M87-$A$15,CJ$13)="",10^12,OFFSET(PLE!$G$15,$M87-$A$15,CJ$13)))</f>
        <v>1000000000000</v>
      </c>
      <c r="CK87" s="172">
        <f ca="1">IF(OR($D87&lt;&gt;"Serviço",AND(AUTOEVENTO="Manual",$M87=$A$15),$M87&gt;(ROW(PLE.lastrow)-ROW(PLE.firstrow))),0,
           IF(OFFSET(PLE!$G$15,$M87-$A$15,CK$13)="",10^12,OFFSET(PLE!$G$15,$M87-$A$15,CK$13)))</f>
        <v>1000000000000</v>
      </c>
      <c r="CL87" s="172">
        <f ca="1">IF(OR($D87&lt;&gt;"Serviço",AND(AUTOEVENTO="Manual",$M87=$A$15),$M87&gt;(ROW(PLE.lastrow)-ROW(PLE.firstrow))),0,
           IF(OFFSET(PLE!$G$15,$M87-$A$15,CL$13)="",10^12,OFFSET(PLE!$G$15,$M87-$A$15,CL$13)))</f>
        <v>1000000000000</v>
      </c>
      <c r="CM87" s="172">
        <f ca="1">IF(OR($D87&lt;&gt;"Serviço",AND(AUTOEVENTO="Manual",$M87=$A$15),$M87&gt;(ROW(PLE.lastrow)-ROW(PLE.firstrow))),0,
           IF(OFFSET(PLE!$G$15,$M87-$A$15,CM$13)="",10^12,OFFSET(PLE!$G$15,$M87-$A$15,CM$13)))</f>
        <v>1000000000000</v>
      </c>
    </row>
    <row r="88" spans="1:91" ht="13.2" x14ac:dyDescent="0.25">
      <c r="A88" s="7" t="str">
        <f t="shared" ca="1" si="11"/>
        <v>73.</v>
      </c>
      <c r="B88" s="7">
        <f ca="1">OFFSET(ORÇAMENTO!C$15,ROW(B88)-ROW(B$15),0)</f>
        <v>2</v>
      </c>
      <c r="C88" s="7" t="str">
        <f ca="1">OFFSET(ORÇAMENTO!L$15,ROW(C88)-ROW(C$15),0)</f>
        <v>F</v>
      </c>
      <c r="D88" s="116" t="str">
        <f ca="1">OFFSET(ORÇAMENTO!N$15,ROW(D88)-ROW(D$15),0)</f>
        <v>Nível 2</v>
      </c>
      <c r="E88" s="117" t="str">
        <f ca="1">OFFSET(ORÇAMENTO!O$15,ROW(E88)-ROW(E$15),0)</f>
        <v>2.6.</v>
      </c>
      <c r="F88" s="163" t="str">
        <f ca="1">OFFSET(ORÇAMENTO!R$15,ROW(F88)-ROW(F$15),0)</f>
        <v>ENSAIOS</v>
      </c>
      <c r="G88" s="164" t="str">
        <f ca="1">IF($D88&lt;&gt;"Serviço","",OFFSET(ORÇAMENTO!S$15,ROW(G88)-ROW(G$15),0))</f>
        <v/>
      </c>
      <c r="H88" s="122" cm="1">
        <f t="array" aca="1" ref="H88" ca="1">IF($D88&lt;&gt;"Serviço",0,IF(ACOMPANHAMENTO="BM",ROUND(OFFSET(ORÇAMENTO!AJ$15,ROW(H88)-ROW(H$15),0),15-13*ORÇAMENTO!$AF$7),SUMPRODUCT(($Q$1:$AI$1=1)*ROUND($Q88:$AI88,15-13*ORÇAMENTO!$AF$7))))</f>
        <v>0</v>
      </c>
      <c r="I88" s="468"/>
      <c r="J88" s="651" t="str" cm="1">
        <f t="array" aca="1" ref="J88" ca="1">IF(OR(B88&lt;&gt;"S",CÁLCULO.FrentesPreenchidas=0),"",IF(AND(ACOMPANHAMENTO="PLE",AUTOEVENTO="Manual",OR(H88&gt;0,ORÇAMENTO!AC88="QUANT."),OR(K88="",M88=0,N88="")),"►E",IF(AND(ACOMPANHAMENTO="PLE",ORÇAMENTO!AC88="QUANT."),"►Q",IF(AND(ACOMPANHAMENTO="PLE",H88&lt;&gt;SUMPRODUCT(($Q$1:$AI$1=1)*ROUND(Q88:AI88,15))),"►S",IF(AND(COUNTIF($P$11:$AI$11,"▼")=0,H88&gt;0,I88=""),"◄M","")))))</f>
        <v/>
      </c>
      <c r="K88" s="652"/>
      <c r="L88" s="165" t="s">
        <v>764</v>
      </c>
      <c r="M88" s="166" t="str">
        <f ca="1">IF($D88&lt;&gt;"Serviço","",
          IF(AUTOEVENTO="manual",$A88,
                IF(ISERROR(MATCH($A88,$A$15:OFFSET($A88,-1,0),0)),MAX($M$15:OFFSET(M88,-1,0))+1,
                      INDEX($M$15:OFFSET(M88,-1,0),MATCH($A88,$A$15:OFFSET($A88,-1,0),0)))))</f>
        <v/>
      </c>
      <c r="N88" s="167" t="str">
        <f ca="1">IF($D88&lt;&gt;"Serviço","",
         IF(AUTOEVENTO="Manual",
                IF($A88=0,"&lt;-- defina o número do agrupador",
                       OFFSET(EVENTOS!$D$15,$A88-$A$15,0)),
                OFFSET($F$15,$A88,0)))</f>
        <v/>
      </c>
      <c r="O88" s="168"/>
      <c r="Q88" s="168"/>
      <c r="R88" s="169"/>
      <c r="S88" s="169"/>
      <c r="T88" s="169"/>
      <c r="U88" s="169"/>
      <c r="V88" s="169"/>
      <c r="W88" s="169"/>
      <c r="X88" s="169"/>
      <c r="Y88" s="169"/>
      <c r="Z88" s="170"/>
      <c r="AA88" s="169"/>
      <c r="AB88" s="169"/>
      <c r="AC88" s="169"/>
      <c r="AD88" s="169"/>
      <c r="AE88" s="169"/>
      <c r="AF88" s="169"/>
      <c r="AG88" s="169"/>
      <c r="AH88" s="170"/>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L88" s="453">
        <f ca="1">IF(AND($D88="Serviço",AL$12&lt;&gt;0,$H88&gt;0,OR(AUTOEVENTO&lt;&gt;"manual",$M88&lt;&gt;$A$15)),
        IF(Import.TipoArredondamento&lt;&gt;"TransfereGOV",
              ROUND(OFFSET($P88,0,AL$13),15-13*ORÇAMENTO!$AF$7)/$H88*OFFSET(ORÇAMENTO!$X$15,ROW(AL88)-ROW(AL$15),0),
              ROUND(ROUND(OFFSET($P88,0,AL$13),15-13*ORÇAMENTO!$AF$7)*OFFSET(ORÇAMENTO!$W$15,ROW(AL88)-ROW(AL$15),0),15-13*ORÇAMENTO!$AF$11)),
         0)</f>
        <v>0</v>
      </c>
      <c r="AM88" s="453">
        <f ca="1">IF(AND($D88="Serviço",AM$12&lt;&gt;0,$H88&gt;0,OR(AUTOEVENTO&lt;&gt;"manual",$M88&lt;&gt;$A$15)),
        IF(Import.TipoArredondamento&lt;&gt;"TransfereGOV",
              ROUND(OFFSET($P88,0,AM$13),15-13*ORÇAMENTO!$AF$7)/$H88*OFFSET(ORÇAMENTO!$X$15,ROW(AM88)-ROW(AM$15),0),
              ROUND(ROUND(OFFSET($P88,0,AM$13),15-13*ORÇAMENTO!$AF$7)*OFFSET(ORÇAMENTO!$W$15,ROW(AM88)-ROW(AM$15),0),15-13*ORÇAMENTO!$AF$11)),
         0)</f>
        <v>0</v>
      </c>
      <c r="AN88" s="453">
        <f ca="1">IF(AND($D88="Serviço",AN$12&lt;&gt;0,$H88&gt;0,OR(AUTOEVENTO&lt;&gt;"manual",$M88&lt;&gt;$A$15)),
        IF(Import.TipoArredondamento&lt;&gt;"TransfereGOV",
              ROUND(OFFSET($P88,0,AN$13),15-13*ORÇAMENTO!$AF$7)/$H88*OFFSET(ORÇAMENTO!$X$15,ROW(AN88)-ROW(AN$15),0),
              ROUND(ROUND(OFFSET($P88,0,AN$13),15-13*ORÇAMENTO!$AF$7)*OFFSET(ORÇAMENTO!$W$15,ROW(AN88)-ROW(AN$15),0),15-13*ORÇAMENTO!$AF$11)),
         0)</f>
        <v>0</v>
      </c>
      <c r="AO88" s="453">
        <f ca="1">IF(AND($D88="Serviço",AO$12&lt;&gt;0,$H88&gt;0,OR(AUTOEVENTO&lt;&gt;"manual",$M88&lt;&gt;$A$15)),
        IF(Import.TipoArredondamento&lt;&gt;"TransfereGOV",
              ROUND(OFFSET($P88,0,AO$13),15-13*ORÇAMENTO!$AF$7)/$H88*OFFSET(ORÇAMENTO!$X$15,ROW(AO88)-ROW(AO$15),0),
              ROUND(ROUND(OFFSET($P88,0,AO$13),15-13*ORÇAMENTO!$AF$7)*OFFSET(ORÇAMENTO!$W$15,ROW(AO88)-ROW(AO$15),0),15-13*ORÇAMENTO!$AF$11)),
         0)</f>
        <v>0</v>
      </c>
      <c r="AP88" s="453">
        <f ca="1">IF(AND($D88="Serviço",AP$12&lt;&gt;0,$H88&gt;0,OR(AUTOEVENTO&lt;&gt;"manual",$M88&lt;&gt;$A$15)),
        IF(Import.TipoArredondamento&lt;&gt;"TransfereGOV",
              ROUND(OFFSET($P88,0,AP$13),15-13*ORÇAMENTO!$AF$7)/$H88*OFFSET(ORÇAMENTO!$X$15,ROW(AP88)-ROW(AP$15),0),
              ROUND(ROUND(OFFSET($P88,0,AP$13),15-13*ORÇAMENTO!$AF$7)*OFFSET(ORÇAMENTO!$W$15,ROW(AP88)-ROW(AP$15),0),15-13*ORÇAMENTO!$AF$11)),
         0)</f>
        <v>0</v>
      </c>
      <c r="AQ88" s="453">
        <f ca="1">IF(AND($D88="Serviço",AQ$12&lt;&gt;0,$H88&gt;0,OR(AUTOEVENTO&lt;&gt;"manual",$M88&lt;&gt;$A$15)),
        IF(Import.TipoArredondamento&lt;&gt;"TransfereGOV",
              ROUND(OFFSET($P88,0,AQ$13),15-13*ORÇAMENTO!$AF$7)/$H88*OFFSET(ORÇAMENTO!$X$15,ROW(AQ88)-ROW(AQ$15),0),
              ROUND(ROUND(OFFSET($P88,0,AQ$13),15-13*ORÇAMENTO!$AF$7)*OFFSET(ORÇAMENTO!$W$15,ROW(AQ88)-ROW(AQ$15),0),15-13*ORÇAMENTO!$AF$11)),
         0)</f>
        <v>0</v>
      </c>
      <c r="AR88" s="453">
        <f ca="1">IF(AND($D88="Serviço",AR$12&lt;&gt;0,$H88&gt;0,OR(AUTOEVENTO&lt;&gt;"manual",$M88&lt;&gt;$A$15)),
        IF(Import.TipoArredondamento&lt;&gt;"TransfereGOV",
              ROUND(OFFSET($P88,0,AR$13),15-13*ORÇAMENTO!$AF$7)/$H88*OFFSET(ORÇAMENTO!$X$15,ROW(AR88)-ROW(AR$15),0),
              ROUND(ROUND(OFFSET($P88,0,AR$13),15-13*ORÇAMENTO!$AF$7)*OFFSET(ORÇAMENTO!$W$15,ROW(AR88)-ROW(AR$15),0),15-13*ORÇAMENTO!$AF$11)),
         0)</f>
        <v>0</v>
      </c>
      <c r="AS88" s="453">
        <f ca="1">IF(AND($D88="Serviço",AS$12&lt;&gt;0,$H88&gt;0,OR(AUTOEVENTO&lt;&gt;"manual",$M88&lt;&gt;$A$15)),
        IF(Import.TipoArredondamento&lt;&gt;"TransfereGOV",
              ROUND(OFFSET($P88,0,AS$13),15-13*ORÇAMENTO!$AF$7)/$H88*OFFSET(ORÇAMENTO!$X$15,ROW(AS88)-ROW(AS$15),0),
              ROUND(ROUND(OFFSET($P88,0,AS$13),15-13*ORÇAMENTO!$AF$7)*OFFSET(ORÇAMENTO!$W$15,ROW(AS88)-ROW(AS$15),0),15-13*ORÇAMENTO!$AF$11)),
         0)</f>
        <v>0</v>
      </c>
      <c r="AT88" s="453">
        <f ca="1">IF(AND($D88="Serviço",AT$12&lt;&gt;0,$H88&gt;0,OR(AUTOEVENTO&lt;&gt;"manual",$M88&lt;&gt;$A$15)),
        IF(Import.TipoArredondamento&lt;&gt;"TransfereGOV",
              ROUND(OFFSET($P88,0,AT$13),15-13*ORÇAMENTO!$AF$7)/$H88*OFFSET(ORÇAMENTO!$X$15,ROW(AT88)-ROW(AT$15),0),
              ROUND(ROUND(OFFSET($P88,0,AT$13),15-13*ORÇAMENTO!$AF$7)*OFFSET(ORÇAMENTO!$W$15,ROW(AT88)-ROW(AT$15),0),15-13*ORÇAMENTO!$AF$11)),
         0)</f>
        <v>0</v>
      </c>
      <c r="AU88" s="453">
        <f ca="1">IF(AND($D88="Serviço",AU$12&lt;&gt;0,$H88&gt;0,OR(AUTOEVENTO&lt;&gt;"manual",$M88&lt;&gt;$A$15)),
        IF(Import.TipoArredondamento&lt;&gt;"TransfereGOV",
              ROUND(OFFSET($P88,0,AU$13),15-13*ORÇAMENTO!$AF$7)/$H88*OFFSET(ORÇAMENTO!$X$15,ROW(AU88)-ROW(AU$15),0),
              ROUND(ROUND(OFFSET($P88,0,AU$13),15-13*ORÇAMENTO!$AF$7)*OFFSET(ORÇAMENTO!$W$15,ROW(AU88)-ROW(AU$15),0),15-13*ORÇAMENTO!$AF$11)),
         0)</f>
        <v>0</v>
      </c>
      <c r="AV88" s="453">
        <f ca="1">IF(AND($D88="Serviço",AV$12&lt;&gt;0,$H88&gt;0,OR(AUTOEVENTO&lt;&gt;"manual",$M88&lt;&gt;$A$15)),
        IF(Import.TipoArredondamento&lt;&gt;"TransfereGOV",
              ROUND(OFFSET($P88,0,AV$13),15-13*ORÇAMENTO!$AF$7)/$H88*OFFSET(ORÇAMENTO!$X$15,ROW(AV88)-ROW(AV$15),0),
              ROUND(ROUND(OFFSET($P88,0,AV$13),15-13*ORÇAMENTO!$AF$7)*OFFSET(ORÇAMENTO!$W$15,ROW(AV88)-ROW(AV$15),0),15-13*ORÇAMENTO!$AF$11)),
         0)</f>
        <v>0</v>
      </c>
      <c r="AW88" s="453">
        <f ca="1">IF(AND($D88="Serviço",AW$12&lt;&gt;0,$H88&gt;0,OR(AUTOEVENTO&lt;&gt;"manual",$M88&lt;&gt;$A$15)),
        IF(Import.TipoArredondamento&lt;&gt;"TransfereGOV",
              ROUND(OFFSET($P88,0,AW$13),15-13*ORÇAMENTO!$AF$7)/$H88*OFFSET(ORÇAMENTO!$X$15,ROW(AW88)-ROW(AW$15),0),
              ROUND(ROUND(OFFSET($P88,0,AW$13),15-13*ORÇAMENTO!$AF$7)*OFFSET(ORÇAMENTO!$W$15,ROW(AW88)-ROW(AW$15),0),15-13*ORÇAMENTO!$AF$11)),
         0)</f>
        <v>0</v>
      </c>
      <c r="AX88" s="453">
        <f ca="1">IF(AND($D88="Serviço",AX$12&lt;&gt;0,$H88&gt;0,OR(AUTOEVENTO&lt;&gt;"manual",$M88&lt;&gt;$A$15)),
        IF(Import.TipoArredondamento&lt;&gt;"TransfereGOV",
              ROUND(OFFSET($P88,0,AX$13),15-13*ORÇAMENTO!$AF$7)/$H88*OFFSET(ORÇAMENTO!$X$15,ROW(AX88)-ROW(AX$15),0),
              ROUND(ROUND(OFFSET($P88,0,AX$13),15-13*ORÇAMENTO!$AF$7)*OFFSET(ORÇAMENTO!$W$15,ROW(AX88)-ROW(AX$15),0),15-13*ORÇAMENTO!$AF$11)),
         0)</f>
        <v>0</v>
      </c>
      <c r="AY88" s="453">
        <f ca="1">IF(AND($D88="Serviço",AY$12&lt;&gt;0,$H88&gt;0,OR(AUTOEVENTO&lt;&gt;"manual",$M88&lt;&gt;$A$15)),
        IF(Import.TipoArredondamento&lt;&gt;"TransfereGOV",
              ROUND(OFFSET($P88,0,AY$13),15-13*ORÇAMENTO!$AF$7)/$H88*OFFSET(ORÇAMENTO!$X$15,ROW(AY88)-ROW(AY$15),0),
              ROUND(ROUND(OFFSET($P88,0,AY$13),15-13*ORÇAMENTO!$AF$7)*OFFSET(ORÇAMENTO!$W$15,ROW(AY88)-ROW(AY$15),0),15-13*ORÇAMENTO!$AF$11)),
         0)</f>
        <v>0</v>
      </c>
      <c r="AZ88" s="453">
        <f ca="1">IF(AND($D88="Serviço",AZ$12&lt;&gt;0,$H88&gt;0,OR(AUTOEVENTO&lt;&gt;"manual",$M88&lt;&gt;$A$15)),
        IF(Import.TipoArredondamento&lt;&gt;"TransfereGOV",
              ROUND(OFFSET($P88,0,AZ$13),15-13*ORÇAMENTO!$AF$7)/$H88*OFFSET(ORÇAMENTO!$X$15,ROW(AZ88)-ROW(AZ$15),0),
              ROUND(ROUND(OFFSET($P88,0,AZ$13),15-13*ORÇAMENTO!$AF$7)*OFFSET(ORÇAMENTO!$W$15,ROW(AZ88)-ROW(AZ$15),0),15-13*ORÇAMENTO!$AF$11)),
         0)</f>
        <v>0</v>
      </c>
      <c r="BA88" s="453">
        <f ca="1">IF(AND($D88="Serviço",BA$12&lt;&gt;0,$H88&gt;0,OR(AUTOEVENTO&lt;&gt;"manual",$M88&lt;&gt;$A$15)),
        IF(Import.TipoArredondamento&lt;&gt;"TransfereGOV",
              ROUND(OFFSET($P88,0,BA$13),15-13*ORÇAMENTO!$AF$7)/$H88*OFFSET(ORÇAMENTO!$X$15,ROW(BA88)-ROW(BA$15),0),
              ROUND(ROUND(OFFSET($P88,0,BA$13),15-13*ORÇAMENTO!$AF$7)*OFFSET(ORÇAMENTO!$W$15,ROW(BA88)-ROW(BA$15),0),15-13*ORÇAMENTO!$AF$11)),
         0)</f>
        <v>0</v>
      </c>
      <c r="BC88" s="171">
        <f ca="1">IF(OR($D88&lt;&gt;"Serviço",AND(AUTOEVENTO="Manual",$M88=$A$15)),0,
         IF(OFFSET(CRONOPLE!$F$15,$M88-$A$15,BC$13)=0,10^12,OFFSET(CRONOPLE!$F$15,$M88-$A$15,BC$13)))</f>
        <v>0</v>
      </c>
      <c r="BD88" s="171">
        <f ca="1">IF(OR($D88&lt;&gt;"Serviço",AND(AUTOEVENTO="Manual",$M88=$A$15)),0,
         IF(OFFSET(CRONOPLE!$F$15,$M88-$A$15,BD$13)=0,10^12,OFFSET(CRONOPLE!$F$15,$M88-$A$15,BD$13)))</f>
        <v>0</v>
      </c>
      <c r="BE88" s="171">
        <f ca="1">IF(OR($D88&lt;&gt;"Serviço",AND(AUTOEVENTO="Manual",$M88=$A$15)),0,
         IF(OFFSET(CRONOPLE!$F$15,$M88-$A$15,BE$13)=0,10^12,OFFSET(CRONOPLE!$F$15,$M88-$A$15,BE$13)))</f>
        <v>0</v>
      </c>
      <c r="BF88" s="171">
        <f ca="1">IF(OR($D88&lt;&gt;"Serviço",AND(AUTOEVENTO="Manual",$M88=$A$15)),0,
         IF(OFFSET(CRONOPLE!$F$15,$M88-$A$15,BF$13)=0,10^12,OFFSET(CRONOPLE!$F$15,$M88-$A$15,BF$13)))</f>
        <v>0</v>
      </c>
      <c r="BG88" s="171">
        <f ca="1">IF(OR($D88&lt;&gt;"Serviço",AND(AUTOEVENTO="Manual",$M88=$A$15)),0,
         IF(OFFSET(CRONOPLE!$F$15,$M88-$A$15,BG$13)=0,10^12,OFFSET(CRONOPLE!$F$15,$M88-$A$15,BG$13)))</f>
        <v>0</v>
      </c>
      <c r="BH88" s="171">
        <f ca="1">IF(OR($D88&lt;&gt;"Serviço",AND(AUTOEVENTO="Manual",$M88=$A$15)),0,
         IF(OFFSET(CRONOPLE!$F$15,$M88-$A$15,BH$13)=0,10^12,OFFSET(CRONOPLE!$F$15,$M88-$A$15,BH$13)))</f>
        <v>0</v>
      </c>
      <c r="BI88" s="171">
        <f ca="1">IF(OR($D88&lt;&gt;"Serviço",AND(AUTOEVENTO="Manual",$M88=$A$15)),0,
         IF(OFFSET(CRONOPLE!$F$15,$M88-$A$15,BI$13)=0,10^12,OFFSET(CRONOPLE!$F$15,$M88-$A$15,BI$13)))</f>
        <v>0</v>
      </c>
      <c r="BJ88" s="171">
        <f ca="1">IF(OR($D88&lt;&gt;"Serviço",AND(AUTOEVENTO="Manual",$M88=$A$15)),0,
         IF(OFFSET(CRONOPLE!$F$15,$M88-$A$15,BJ$13)=0,10^12,OFFSET(CRONOPLE!$F$15,$M88-$A$15,BJ$13)))</f>
        <v>0</v>
      </c>
      <c r="BK88" s="171">
        <f ca="1">IF(OR($D88&lt;&gt;"Serviço",AND(AUTOEVENTO="Manual",$M88=$A$15)),0,
         IF(OFFSET(CRONOPLE!$F$15,$M88-$A$15,BK$13)=0,10^12,OFFSET(CRONOPLE!$F$15,$M88-$A$15,BK$13)))</f>
        <v>0</v>
      </c>
      <c r="BL88" s="171">
        <f ca="1">IF(OR($D88&lt;&gt;"Serviço",AND(AUTOEVENTO="Manual",$M88=$A$15)),0,
         IF(OFFSET(CRONOPLE!$F$15,$M88-$A$15,BL$13)=0,10^12,OFFSET(CRONOPLE!$F$15,$M88-$A$15,BL$13)))</f>
        <v>0</v>
      </c>
      <c r="BM88" s="171">
        <f ca="1">IF(OR($D88&lt;&gt;"Serviço",AND(AUTOEVENTO="Manual",$M88=$A$15)),0,
         IF(OFFSET(CRONOPLE!$F$15,$M88-$A$15,BM$13)=0,10^12,OFFSET(CRONOPLE!$F$15,$M88-$A$15,BM$13)))</f>
        <v>0</v>
      </c>
      <c r="BN88" s="171">
        <f ca="1">IF(OR($D88&lt;&gt;"Serviço",AND(AUTOEVENTO="Manual",$M88=$A$15)),0,
         IF(OFFSET(CRONOPLE!$F$15,$M88-$A$15,BN$13)=0,10^12,OFFSET(CRONOPLE!$F$15,$M88-$A$15,BN$13)))</f>
        <v>0</v>
      </c>
      <c r="BO88" s="171">
        <f ca="1">IF(OR($D88&lt;&gt;"Serviço",AND(AUTOEVENTO="Manual",$M88=$A$15)),0,
         IF(OFFSET(CRONOPLE!$F$15,$M88-$A$15,BO$13)=0,10^12,OFFSET(CRONOPLE!$F$15,$M88-$A$15,BO$13)))</f>
        <v>0</v>
      </c>
      <c r="BP88" s="171">
        <f ca="1">IF(OR($D88&lt;&gt;"Serviço",AND(AUTOEVENTO="Manual",$M88=$A$15)),0,
         IF(OFFSET(CRONOPLE!$F$15,$M88-$A$15,BP$13)=0,10^12,OFFSET(CRONOPLE!$F$15,$M88-$A$15,BP$13)))</f>
        <v>0</v>
      </c>
      <c r="BQ88" s="171">
        <f ca="1">IF(OR($D88&lt;&gt;"Serviço",AND(AUTOEVENTO="Manual",$M88=$A$15)),0,
         IF(OFFSET(CRONOPLE!$F$15,$M88-$A$15,BQ$13)=0,10^12,OFFSET(CRONOPLE!$F$15,$M88-$A$15,BQ$13)))</f>
        <v>0</v>
      </c>
      <c r="BR88" s="171">
        <f ca="1">IF(OR($D88&lt;&gt;"Serviço",AND(AUTOEVENTO="Manual",$M88=$A$15)),0,
         IF(OFFSET(CRONOPLE!$F$15,$M88-$A$15,BR$13)=0,10^12,OFFSET(CRONOPLE!$F$15,$M88-$A$15,BR$13)))</f>
        <v>0</v>
      </c>
      <c r="BS88" s="171">
        <f ca="1">IF(OR($D88&lt;&gt;"Serviço",AND(AUTOEVENTO="Manual",$M88=$A$15)),0,
         IF(OFFSET(CRONOPLE!$F$15,$M88-$A$15,BS$13)=0,10^12,OFFSET(CRONOPLE!$F$15,$M88-$A$15,BS$13)))</f>
        <v>0</v>
      </c>
      <c r="BT88" s="171">
        <f ca="1">IF(OR($D88&lt;&gt;"Serviço",AND(AUTOEVENTO="Manual",$M88=$A$15)),0,
         IF(OFFSET(CRONOPLE!$F$15,$M88-$A$15,BT$13)=0,10^12,OFFSET(CRONOPLE!$F$15,$M88-$A$15,BT$13)))</f>
        <v>0</v>
      </c>
      <c r="BV88" s="172">
        <f ca="1">IF(OR($D88&lt;&gt;"Serviço",AND(AUTOEVENTO="Manual",$M88=$A$15),$M88&gt;(ROW(PLE.lastrow)-ROW(PLE.firstrow))),0,
           IF(OFFSET(PLE!$G$15,$M88-$A$15,BV$13)="",10^12,OFFSET(PLE!$G$15,$M88-$A$15,BV$13)))</f>
        <v>0</v>
      </c>
      <c r="BW88" s="172">
        <f ca="1">IF(OR($D88&lt;&gt;"Serviço",AND(AUTOEVENTO="Manual",$M88=$A$15),$M88&gt;(ROW(PLE.lastrow)-ROW(PLE.firstrow))),0,
           IF(OFFSET(PLE!$G$15,$M88-$A$15,BW$13)="",10^12,OFFSET(PLE!$G$15,$M88-$A$15,BW$13)))</f>
        <v>0</v>
      </c>
      <c r="BX88" s="172">
        <f ca="1">IF(OR($D88&lt;&gt;"Serviço",AND(AUTOEVENTO="Manual",$M88=$A$15),$M88&gt;(ROW(PLE.lastrow)-ROW(PLE.firstrow))),0,
           IF(OFFSET(PLE!$G$15,$M88-$A$15,BX$13)="",10^12,OFFSET(PLE!$G$15,$M88-$A$15,BX$13)))</f>
        <v>0</v>
      </c>
      <c r="BY88" s="172">
        <f ca="1">IF(OR($D88&lt;&gt;"Serviço",AND(AUTOEVENTO="Manual",$M88=$A$15),$M88&gt;(ROW(PLE.lastrow)-ROW(PLE.firstrow))),0,
           IF(OFFSET(PLE!$G$15,$M88-$A$15,BY$13)="",10^12,OFFSET(PLE!$G$15,$M88-$A$15,BY$13)))</f>
        <v>0</v>
      </c>
      <c r="BZ88" s="172">
        <f ca="1">IF(OR($D88&lt;&gt;"Serviço",AND(AUTOEVENTO="Manual",$M88=$A$15),$M88&gt;(ROW(PLE.lastrow)-ROW(PLE.firstrow))),0,
           IF(OFFSET(PLE!$G$15,$M88-$A$15,BZ$13)="",10^12,OFFSET(PLE!$G$15,$M88-$A$15,BZ$13)))</f>
        <v>0</v>
      </c>
      <c r="CA88" s="172">
        <f ca="1">IF(OR($D88&lt;&gt;"Serviço",AND(AUTOEVENTO="Manual",$M88=$A$15),$M88&gt;(ROW(PLE.lastrow)-ROW(PLE.firstrow))),0,
           IF(OFFSET(PLE!$G$15,$M88-$A$15,CA$13)="",10^12,OFFSET(PLE!$G$15,$M88-$A$15,CA$13)))</f>
        <v>0</v>
      </c>
      <c r="CB88" s="172">
        <f ca="1">IF(OR($D88&lt;&gt;"Serviço",AND(AUTOEVENTO="Manual",$M88=$A$15),$M88&gt;(ROW(PLE.lastrow)-ROW(PLE.firstrow))),0,
           IF(OFFSET(PLE!$G$15,$M88-$A$15,CB$13)="",10^12,OFFSET(PLE!$G$15,$M88-$A$15,CB$13)))</f>
        <v>0</v>
      </c>
      <c r="CC88" s="172">
        <f ca="1">IF(OR($D88&lt;&gt;"Serviço",AND(AUTOEVENTO="Manual",$M88=$A$15),$M88&gt;(ROW(PLE.lastrow)-ROW(PLE.firstrow))),0,
           IF(OFFSET(PLE!$G$15,$M88-$A$15,CC$13)="",10^12,OFFSET(PLE!$G$15,$M88-$A$15,CC$13)))</f>
        <v>0</v>
      </c>
      <c r="CD88" s="172">
        <f ca="1">IF(OR($D88&lt;&gt;"Serviço",AND(AUTOEVENTO="Manual",$M88=$A$15),$M88&gt;(ROW(PLE.lastrow)-ROW(PLE.firstrow))),0,
           IF(OFFSET(PLE!$G$15,$M88-$A$15,CD$13)="",10^12,OFFSET(PLE!$G$15,$M88-$A$15,CD$13)))</f>
        <v>0</v>
      </c>
      <c r="CE88" s="172">
        <f ca="1">IF(OR($D88&lt;&gt;"Serviço",AND(AUTOEVENTO="Manual",$M88=$A$15),$M88&gt;(ROW(PLE.lastrow)-ROW(PLE.firstrow))),0,
           IF(OFFSET(PLE!$G$15,$M88-$A$15,CE$13)="",10^12,OFFSET(PLE!$G$15,$M88-$A$15,CE$13)))</f>
        <v>0</v>
      </c>
      <c r="CF88" s="172">
        <f ca="1">IF(OR($D88&lt;&gt;"Serviço",AND(AUTOEVENTO="Manual",$M88=$A$15),$M88&gt;(ROW(PLE.lastrow)-ROW(PLE.firstrow))),0,
           IF(OFFSET(PLE!$G$15,$M88-$A$15,CF$13)="",10^12,OFFSET(PLE!$G$15,$M88-$A$15,CF$13)))</f>
        <v>0</v>
      </c>
      <c r="CG88" s="172">
        <f ca="1">IF(OR($D88&lt;&gt;"Serviço",AND(AUTOEVENTO="Manual",$M88=$A$15),$M88&gt;(ROW(PLE.lastrow)-ROW(PLE.firstrow))),0,
           IF(OFFSET(PLE!$G$15,$M88-$A$15,CG$13)="",10^12,OFFSET(PLE!$G$15,$M88-$A$15,CG$13)))</f>
        <v>0</v>
      </c>
      <c r="CH88" s="172">
        <f ca="1">IF(OR($D88&lt;&gt;"Serviço",AND(AUTOEVENTO="Manual",$M88=$A$15),$M88&gt;(ROW(PLE.lastrow)-ROW(PLE.firstrow))),0,
           IF(OFFSET(PLE!$G$15,$M88-$A$15,CH$13)="",10^12,OFFSET(PLE!$G$15,$M88-$A$15,CH$13)))</f>
        <v>0</v>
      </c>
      <c r="CI88" s="172">
        <f ca="1">IF(OR($D88&lt;&gt;"Serviço",AND(AUTOEVENTO="Manual",$M88=$A$15),$M88&gt;(ROW(PLE.lastrow)-ROW(PLE.firstrow))),0,
           IF(OFFSET(PLE!$G$15,$M88-$A$15,CI$13)="",10^12,OFFSET(PLE!$G$15,$M88-$A$15,CI$13)))</f>
        <v>0</v>
      </c>
      <c r="CJ88" s="172">
        <f ca="1">IF(OR($D88&lt;&gt;"Serviço",AND(AUTOEVENTO="Manual",$M88=$A$15),$M88&gt;(ROW(PLE.lastrow)-ROW(PLE.firstrow))),0,
           IF(OFFSET(PLE!$G$15,$M88-$A$15,CJ$13)="",10^12,OFFSET(PLE!$G$15,$M88-$A$15,CJ$13)))</f>
        <v>0</v>
      </c>
      <c r="CK88" s="172">
        <f ca="1">IF(OR($D88&lt;&gt;"Serviço",AND(AUTOEVENTO="Manual",$M88=$A$15),$M88&gt;(ROW(PLE.lastrow)-ROW(PLE.firstrow))),0,
           IF(OFFSET(PLE!$G$15,$M88-$A$15,CK$13)="",10^12,OFFSET(PLE!$G$15,$M88-$A$15,CK$13)))</f>
        <v>0</v>
      </c>
      <c r="CL88" s="172">
        <f ca="1">IF(OR($D88&lt;&gt;"Serviço",AND(AUTOEVENTO="Manual",$M88=$A$15),$M88&gt;(ROW(PLE.lastrow)-ROW(PLE.firstrow))),0,
           IF(OFFSET(PLE!$G$15,$M88-$A$15,CL$13)="",10^12,OFFSET(PLE!$G$15,$M88-$A$15,CL$13)))</f>
        <v>0</v>
      </c>
      <c r="CM88" s="172">
        <f ca="1">IF(OR($D88&lt;&gt;"Serviço",AND(AUTOEVENTO="Manual",$M88=$A$15),$M88&gt;(ROW(PLE.lastrow)-ROW(PLE.firstrow))),0,
           IF(OFFSET(PLE!$G$15,$M88-$A$15,CM$13)="",10^12,OFFSET(PLE!$G$15,$M88-$A$15,CM$13)))</f>
        <v>0</v>
      </c>
    </row>
    <row r="89" spans="1:91" ht="26.4" x14ac:dyDescent="0.25">
      <c r="A89" s="7" t="str">
        <f t="shared" ca="1" si="11"/>
        <v>73</v>
      </c>
      <c r="B89" s="7" t="str">
        <f ca="1">OFFSET(ORÇAMENTO!C$15,ROW(B89)-ROW(B$15),0)</f>
        <v>S</v>
      </c>
      <c r="C89" s="7" t="str">
        <f ca="1">OFFSET(ORÇAMENTO!L$15,ROW(C89)-ROW(C$15),0)</f>
        <v>F</v>
      </c>
      <c r="D89" s="116" t="str">
        <f ca="1">OFFSET(ORÇAMENTO!N$15,ROW(D89)-ROW(D$15),0)</f>
        <v>Serviço</v>
      </c>
      <c r="E89" s="117" t="str">
        <f ca="1">OFFSET(ORÇAMENTO!O$15,ROW(E89)-ROW(E$15),0)</f>
        <v>2.6.1.</v>
      </c>
      <c r="F89" s="163" t="str">
        <f ca="1">OFFSET(ORÇAMENTO!R$15,ROW(F89)-ROW(F$15),0)</f>
        <v>ENSAIO DE DETERMINAÇÃO DO TEOR DE BETUME - SOXHLET - CIMENTO ASFALTICO DE PETROLEO</v>
      </c>
      <c r="G89" s="164" t="str">
        <f ca="1">IF($D89&lt;&gt;"Serviço","",OFFSET(ORÇAMENTO!S$15,ROW(G89)-ROW(G$15),0))</f>
        <v>UN</v>
      </c>
      <c r="H89" s="122" cm="1">
        <f t="array" aca="1" ref="H89" ca="1">IF($D89&lt;&gt;"Serviço",0,IF(ACOMPANHAMENTO="BM",ROUND(OFFSET(ORÇAMENTO!AJ$15,ROW(H89)-ROW(H$15),0),15-13*ORÇAMENTO!$AF$7),SUMPRODUCT(($Q$1:$AI$1=1)*ROUND($Q89:$AI89,15-13*ORÇAMENTO!$AF$7))))</f>
        <v>1</v>
      </c>
      <c r="I89" s="468"/>
      <c r="J89" s="651" t="e" cm="1">
        <f t="array" aca="1" ref="J89" ca="1">IF(OR(B89&lt;&gt;"S",CÁLCULO.FrentesPreenchidas=0),"",IF(AND(ACOMPANHAMENTO="PLE",AUTOEVENTO="Manual",OR(H89&gt;0,ORÇAMENTO!AC89="QUANT."),OR(K89="",M89=0,N89="")),"►E",IF(AND(ACOMPANHAMENTO="PLE",ORÇAMENTO!AC89="QUANT."),"►Q",IF(AND(ACOMPANHAMENTO="PLE",H89&lt;&gt;SUMPRODUCT(($Q$1:$AI$1=1)*ROUND(Q89:AI89,15))),"►S",IF(AND(COUNTIF($P$11:$AI$11,"▼")=0,H89&gt;0,I89=""),"◄M","")))))</f>
        <v>#NAME?</v>
      </c>
      <c r="K89" s="652"/>
      <c r="L89" s="165" t="s">
        <v>764</v>
      </c>
      <c r="M89" s="166">
        <f ca="1">IF($D89&lt;&gt;"Serviço","",
          IF(AUTOEVENTO="manual",$A89,
                IF(ISERROR(MATCH($A89,$A$15:OFFSET($A89,-1,0),0)),MAX($M$15:OFFSET(M89,-1,0))+1,
                      INDEX($M$15:OFFSET(M89,-1,0),MATCH($A89,$A$15:OFFSET($A89,-1,0),0)))))</f>
        <v>13</v>
      </c>
      <c r="N89" s="167" t="str">
        <f ca="1">IF($D89&lt;&gt;"Serviço","",
         IF(AUTOEVENTO="Manual",
                IF($A89=0,"&lt;-- defina o número do agrupador",
                       OFFSET(EVENTOS!$D$15,$A89-$A$15,0)),
                OFFSET($F$15,$A89,0)))</f>
        <v>ENSAIOS</v>
      </c>
      <c r="O89" s="168"/>
      <c r="Q89" s="168"/>
      <c r="R89" s="169"/>
      <c r="S89" s="169"/>
      <c r="T89" s="169">
        <v>1</v>
      </c>
      <c r="U89" s="169"/>
      <c r="V89" s="169"/>
      <c r="W89" s="169"/>
      <c r="X89" s="169"/>
      <c r="Y89" s="169"/>
      <c r="Z89" s="170"/>
      <c r="AA89" s="169"/>
      <c r="AB89" s="169"/>
      <c r="AC89" s="169"/>
      <c r="AD89" s="169"/>
      <c r="AE89" s="169"/>
      <c r="AF89" s="169"/>
      <c r="AG89" s="169"/>
      <c r="AH89" s="170"/>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L89" s="453">
        <f ca="1">IF(AND($D89="Serviço",AL$12&lt;&gt;0,$H89&gt;0,OR(AUTOEVENTO&lt;&gt;"manual",$M89&lt;&gt;$A$15)),
        IF(Import.TipoArredondamento&lt;&gt;"TransfereGOV",
              ROUND(OFFSET($P89,0,AL$13),15-13*ORÇAMENTO!$AF$7)/$H89*OFFSET(ORÇAMENTO!$X$15,ROW(AL89)-ROW(AL$15),0),
              ROUND(ROUND(OFFSET($P89,0,AL$13),15-13*ORÇAMENTO!$AF$7)*OFFSET(ORÇAMENTO!$W$15,ROW(AL89)-ROW(AL$15),0),15-13*ORÇAMENTO!$AF$11)),
         0)</f>
        <v>0</v>
      </c>
      <c r="AM89" s="453">
        <f ca="1">IF(AND($D89="Serviço",AM$12&lt;&gt;0,$H89&gt;0,OR(AUTOEVENTO&lt;&gt;"manual",$M89&lt;&gt;$A$15)),
        IF(Import.TipoArredondamento&lt;&gt;"TransfereGOV",
              ROUND(OFFSET($P89,0,AM$13),15-13*ORÇAMENTO!$AF$7)/$H89*OFFSET(ORÇAMENTO!$X$15,ROW(AM89)-ROW(AM$15),0),
              ROUND(ROUND(OFFSET($P89,0,AM$13),15-13*ORÇAMENTO!$AF$7)*OFFSET(ORÇAMENTO!$W$15,ROW(AM89)-ROW(AM$15),0),15-13*ORÇAMENTO!$AF$11)),
         0)</f>
        <v>260.79000000000002</v>
      </c>
      <c r="AN89" s="453">
        <f ca="1">IF(AND($D89="Serviço",AN$12&lt;&gt;0,$H89&gt;0,OR(AUTOEVENTO&lt;&gt;"manual",$M89&lt;&gt;$A$15)),
        IF(Import.TipoArredondamento&lt;&gt;"TransfereGOV",
              ROUND(OFFSET($P89,0,AN$13),15-13*ORÇAMENTO!$AF$7)/$H89*OFFSET(ORÇAMENTO!$X$15,ROW(AN89)-ROW(AN$15),0),
              ROUND(ROUND(OFFSET($P89,0,AN$13),15-13*ORÇAMENTO!$AF$7)*OFFSET(ORÇAMENTO!$W$15,ROW(AN89)-ROW(AN$15),0),15-13*ORÇAMENTO!$AF$11)),
         0)</f>
        <v>0</v>
      </c>
      <c r="AO89" s="453">
        <f ca="1">IF(AND($D89="Serviço",AO$12&lt;&gt;0,$H89&gt;0,OR(AUTOEVENTO&lt;&gt;"manual",$M89&lt;&gt;$A$15)),
        IF(Import.TipoArredondamento&lt;&gt;"TransfereGOV",
              ROUND(OFFSET($P89,0,AO$13),15-13*ORÇAMENTO!$AF$7)/$H89*OFFSET(ORÇAMENTO!$X$15,ROW(AO89)-ROW(AO$15),0),
              ROUND(ROUND(OFFSET($P89,0,AO$13),15-13*ORÇAMENTO!$AF$7)*OFFSET(ORÇAMENTO!$W$15,ROW(AO89)-ROW(AO$15),0),15-13*ORÇAMENTO!$AF$11)),
         0)</f>
        <v>0</v>
      </c>
      <c r="AP89" s="453">
        <f ca="1">IF(AND($D89="Serviço",AP$12&lt;&gt;0,$H89&gt;0,OR(AUTOEVENTO&lt;&gt;"manual",$M89&lt;&gt;$A$15)),
        IF(Import.TipoArredondamento&lt;&gt;"TransfereGOV",
              ROUND(OFFSET($P89,0,AP$13),15-13*ORÇAMENTO!$AF$7)/$H89*OFFSET(ORÇAMENTO!$X$15,ROW(AP89)-ROW(AP$15),0),
              ROUND(ROUND(OFFSET($P89,0,AP$13),15-13*ORÇAMENTO!$AF$7)*OFFSET(ORÇAMENTO!$W$15,ROW(AP89)-ROW(AP$15),0),15-13*ORÇAMENTO!$AF$11)),
         0)</f>
        <v>0</v>
      </c>
      <c r="AQ89" s="453">
        <f ca="1">IF(AND($D89="Serviço",AQ$12&lt;&gt;0,$H89&gt;0,OR(AUTOEVENTO&lt;&gt;"manual",$M89&lt;&gt;$A$15)),
        IF(Import.TipoArredondamento&lt;&gt;"TransfereGOV",
              ROUND(OFFSET($P89,0,AQ$13),15-13*ORÇAMENTO!$AF$7)/$H89*OFFSET(ORÇAMENTO!$X$15,ROW(AQ89)-ROW(AQ$15),0),
              ROUND(ROUND(OFFSET($P89,0,AQ$13),15-13*ORÇAMENTO!$AF$7)*OFFSET(ORÇAMENTO!$W$15,ROW(AQ89)-ROW(AQ$15),0),15-13*ORÇAMENTO!$AF$11)),
         0)</f>
        <v>0</v>
      </c>
      <c r="AR89" s="453">
        <f ca="1">IF(AND($D89="Serviço",AR$12&lt;&gt;0,$H89&gt;0,OR(AUTOEVENTO&lt;&gt;"manual",$M89&lt;&gt;$A$15)),
        IF(Import.TipoArredondamento&lt;&gt;"TransfereGOV",
              ROUND(OFFSET($P89,0,AR$13),15-13*ORÇAMENTO!$AF$7)/$H89*OFFSET(ORÇAMENTO!$X$15,ROW(AR89)-ROW(AR$15),0),
              ROUND(ROUND(OFFSET($P89,0,AR$13),15-13*ORÇAMENTO!$AF$7)*OFFSET(ORÇAMENTO!$W$15,ROW(AR89)-ROW(AR$15),0),15-13*ORÇAMENTO!$AF$11)),
         0)</f>
        <v>0</v>
      </c>
      <c r="AS89" s="453">
        <f ca="1">IF(AND($D89="Serviço",AS$12&lt;&gt;0,$H89&gt;0,OR(AUTOEVENTO&lt;&gt;"manual",$M89&lt;&gt;$A$15)),
        IF(Import.TipoArredondamento&lt;&gt;"TransfereGOV",
              ROUND(OFFSET($P89,0,AS$13),15-13*ORÇAMENTO!$AF$7)/$H89*OFFSET(ORÇAMENTO!$X$15,ROW(AS89)-ROW(AS$15),0),
              ROUND(ROUND(OFFSET($P89,0,AS$13),15-13*ORÇAMENTO!$AF$7)*OFFSET(ORÇAMENTO!$W$15,ROW(AS89)-ROW(AS$15),0),15-13*ORÇAMENTO!$AF$11)),
         0)</f>
        <v>0</v>
      </c>
      <c r="AT89" s="453">
        <f ca="1">IF(AND($D89="Serviço",AT$12&lt;&gt;0,$H89&gt;0,OR(AUTOEVENTO&lt;&gt;"manual",$M89&lt;&gt;$A$15)),
        IF(Import.TipoArredondamento&lt;&gt;"TransfereGOV",
              ROUND(OFFSET($P89,0,AT$13),15-13*ORÇAMENTO!$AF$7)/$H89*OFFSET(ORÇAMENTO!$X$15,ROW(AT89)-ROW(AT$15),0),
              ROUND(ROUND(OFFSET($P89,0,AT$13),15-13*ORÇAMENTO!$AF$7)*OFFSET(ORÇAMENTO!$W$15,ROW(AT89)-ROW(AT$15),0),15-13*ORÇAMENTO!$AF$11)),
         0)</f>
        <v>0</v>
      </c>
      <c r="AU89" s="453">
        <f ca="1">IF(AND($D89="Serviço",AU$12&lt;&gt;0,$H89&gt;0,OR(AUTOEVENTO&lt;&gt;"manual",$M89&lt;&gt;$A$15)),
        IF(Import.TipoArredondamento&lt;&gt;"TransfereGOV",
              ROUND(OFFSET($P89,0,AU$13),15-13*ORÇAMENTO!$AF$7)/$H89*OFFSET(ORÇAMENTO!$X$15,ROW(AU89)-ROW(AU$15),0),
              ROUND(ROUND(OFFSET($P89,0,AU$13),15-13*ORÇAMENTO!$AF$7)*OFFSET(ORÇAMENTO!$W$15,ROW(AU89)-ROW(AU$15),0),15-13*ORÇAMENTO!$AF$11)),
         0)</f>
        <v>0</v>
      </c>
      <c r="AV89" s="453">
        <f ca="1">IF(AND($D89="Serviço",AV$12&lt;&gt;0,$H89&gt;0,OR(AUTOEVENTO&lt;&gt;"manual",$M89&lt;&gt;$A$15)),
        IF(Import.TipoArredondamento&lt;&gt;"TransfereGOV",
              ROUND(OFFSET($P89,0,AV$13),15-13*ORÇAMENTO!$AF$7)/$H89*OFFSET(ORÇAMENTO!$X$15,ROW(AV89)-ROW(AV$15),0),
              ROUND(ROUND(OFFSET($P89,0,AV$13),15-13*ORÇAMENTO!$AF$7)*OFFSET(ORÇAMENTO!$W$15,ROW(AV89)-ROW(AV$15),0),15-13*ORÇAMENTO!$AF$11)),
         0)</f>
        <v>0</v>
      </c>
      <c r="AW89" s="453">
        <f ca="1">IF(AND($D89="Serviço",AW$12&lt;&gt;0,$H89&gt;0,OR(AUTOEVENTO&lt;&gt;"manual",$M89&lt;&gt;$A$15)),
        IF(Import.TipoArredondamento&lt;&gt;"TransfereGOV",
              ROUND(OFFSET($P89,0,AW$13),15-13*ORÇAMENTO!$AF$7)/$H89*OFFSET(ORÇAMENTO!$X$15,ROW(AW89)-ROW(AW$15),0),
              ROUND(ROUND(OFFSET($P89,0,AW$13),15-13*ORÇAMENTO!$AF$7)*OFFSET(ORÇAMENTO!$W$15,ROW(AW89)-ROW(AW$15),0),15-13*ORÇAMENTO!$AF$11)),
         0)</f>
        <v>0</v>
      </c>
      <c r="AX89" s="453">
        <f ca="1">IF(AND($D89="Serviço",AX$12&lt;&gt;0,$H89&gt;0,OR(AUTOEVENTO&lt;&gt;"manual",$M89&lt;&gt;$A$15)),
        IF(Import.TipoArredondamento&lt;&gt;"TransfereGOV",
              ROUND(OFFSET($P89,0,AX$13),15-13*ORÇAMENTO!$AF$7)/$H89*OFFSET(ORÇAMENTO!$X$15,ROW(AX89)-ROW(AX$15),0),
              ROUND(ROUND(OFFSET($P89,0,AX$13),15-13*ORÇAMENTO!$AF$7)*OFFSET(ORÇAMENTO!$W$15,ROW(AX89)-ROW(AX$15),0),15-13*ORÇAMENTO!$AF$11)),
         0)</f>
        <v>0</v>
      </c>
      <c r="AY89" s="453">
        <f ca="1">IF(AND($D89="Serviço",AY$12&lt;&gt;0,$H89&gt;0,OR(AUTOEVENTO&lt;&gt;"manual",$M89&lt;&gt;$A$15)),
        IF(Import.TipoArredondamento&lt;&gt;"TransfereGOV",
              ROUND(OFFSET($P89,0,AY$13),15-13*ORÇAMENTO!$AF$7)/$H89*OFFSET(ORÇAMENTO!$X$15,ROW(AY89)-ROW(AY$15),0),
              ROUND(ROUND(OFFSET($P89,0,AY$13),15-13*ORÇAMENTO!$AF$7)*OFFSET(ORÇAMENTO!$W$15,ROW(AY89)-ROW(AY$15),0),15-13*ORÇAMENTO!$AF$11)),
         0)</f>
        <v>0</v>
      </c>
      <c r="AZ89" s="453">
        <f ca="1">IF(AND($D89="Serviço",AZ$12&lt;&gt;0,$H89&gt;0,OR(AUTOEVENTO&lt;&gt;"manual",$M89&lt;&gt;$A$15)),
        IF(Import.TipoArredondamento&lt;&gt;"TransfereGOV",
              ROUND(OFFSET($P89,0,AZ$13),15-13*ORÇAMENTO!$AF$7)/$H89*OFFSET(ORÇAMENTO!$X$15,ROW(AZ89)-ROW(AZ$15),0),
              ROUND(ROUND(OFFSET($P89,0,AZ$13),15-13*ORÇAMENTO!$AF$7)*OFFSET(ORÇAMENTO!$W$15,ROW(AZ89)-ROW(AZ$15),0),15-13*ORÇAMENTO!$AF$11)),
         0)</f>
        <v>0</v>
      </c>
      <c r="BA89" s="453">
        <f ca="1">IF(AND($D89="Serviço",BA$12&lt;&gt;0,$H89&gt;0,OR(AUTOEVENTO&lt;&gt;"manual",$M89&lt;&gt;$A$15)),
        IF(Import.TipoArredondamento&lt;&gt;"TransfereGOV",
              ROUND(OFFSET($P89,0,BA$13),15-13*ORÇAMENTO!$AF$7)/$H89*OFFSET(ORÇAMENTO!$X$15,ROW(BA89)-ROW(BA$15),0),
              ROUND(ROUND(OFFSET($P89,0,BA$13),15-13*ORÇAMENTO!$AF$7)*OFFSET(ORÇAMENTO!$W$15,ROW(BA89)-ROW(BA$15),0),15-13*ORÇAMENTO!$AF$11)),
         0)</f>
        <v>0</v>
      </c>
      <c r="BC89" s="171">
        <f ca="1">IF(OR($D89&lt;&gt;"Serviço",AND(AUTOEVENTO="Manual",$M89=$A$15)),0,
         IF(OFFSET(CRONOPLE!$F$15,$M89-$A$15,BC$13)=0,10^12,OFFSET(CRONOPLE!$F$15,$M89-$A$15,BC$13)))</f>
        <v>1000000000000</v>
      </c>
      <c r="BD89" s="171">
        <f ca="1">IF(OR($D89&lt;&gt;"Serviço",AND(AUTOEVENTO="Manual",$M89=$A$15)),0,
         IF(OFFSET(CRONOPLE!$F$15,$M89-$A$15,BD$13)=0,10^12,OFFSET(CRONOPLE!$F$15,$M89-$A$15,BD$13)))</f>
        <v>1000000000000</v>
      </c>
      <c r="BE89" s="171">
        <f ca="1">IF(OR($D89&lt;&gt;"Serviço",AND(AUTOEVENTO="Manual",$M89=$A$15)),0,
         IF(OFFSET(CRONOPLE!$F$15,$M89-$A$15,BE$13)=0,10^12,OFFSET(CRONOPLE!$F$15,$M89-$A$15,BE$13)))</f>
        <v>1000000000000</v>
      </c>
      <c r="BF89" s="171">
        <f ca="1">IF(OR($D89&lt;&gt;"Serviço",AND(AUTOEVENTO="Manual",$M89=$A$15)),0,
         IF(OFFSET(CRONOPLE!$F$15,$M89-$A$15,BF$13)=0,10^12,OFFSET(CRONOPLE!$F$15,$M89-$A$15,BF$13)))</f>
        <v>1</v>
      </c>
      <c r="BG89" s="171">
        <f ca="1">IF(OR($D89&lt;&gt;"Serviço",AND(AUTOEVENTO="Manual",$M89=$A$15)),0,
         IF(OFFSET(CRONOPLE!$F$15,$M89-$A$15,BG$13)=0,10^12,OFFSET(CRONOPLE!$F$15,$M89-$A$15,BG$13)))</f>
        <v>1000000000000</v>
      </c>
      <c r="BH89" s="171">
        <f ca="1">IF(OR($D89&lt;&gt;"Serviço",AND(AUTOEVENTO="Manual",$M89=$A$15)),0,
         IF(OFFSET(CRONOPLE!$F$15,$M89-$A$15,BH$13)=0,10^12,OFFSET(CRONOPLE!$F$15,$M89-$A$15,BH$13)))</f>
        <v>1000000000000</v>
      </c>
      <c r="BI89" s="171">
        <f ca="1">IF(OR($D89&lt;&gt;"Serviço",AND(AUTOEVENTO="Manual",$M89=$A$15)),0,
         IF(OFFSET(CRONOPLE!$F$15,$M89-$A$15,BI$13)=0,10^12,OFFSET(CRONOPLE!$F$15,$M89-$A$15,BI$13)))</f>
        <v>1000000000000</v>
      </c>
      <c r="BJ89" s="171">
        <f ca="1">IF(OR($D89&lt;&gt;"Serviço",AND(AUTOEVENTO="Manual",$M89=$A$15)),0,
         IF(OFFSET(CRONOPLE!$F$15,$M89-$A$15,BJ$13)=0,10^12,OFFSET(CRONOPLE!$F$15,$M89-$A$15,BJ$13)))</f>
        <v>1000000000000</v>
      </c>
      <c r="BK89" s="171">
        <f ca="1">IF(OR($D89&lt;&gt;"Serviço",AND(AUTOEVENTO="Manual",$M89=$A$15)),0,
         IF(OFFSET(CRONOPLE!$F$15,$M89-$A$15,BK$13)=0,10^12,OFFSET(CRONOPLE!$F$15,$M89-$A$15,BK$13)))</f>
        <v>1000000000000</v>
      </c>
      <c r="BL89" s="171">
        <f ca="1">IF(OR($D89&lt;&gt;"Serviço",AND(AUTOEVENTO="Manual",$M89=$A$15)),0,
         IF(OFFSET(CRONOPLE!$F$15,$M89-$A$15,BL$13)=0,10^12,OFFSET(CRONOPLE!$F$15,$M89-$A$15,BL$13)))</f>
        <v>1000000000000</v>
      </c>
      <c r="BM89" s="171">
        <f ca="1">IF(OR($D89&lt;&gt;"Serviço",AND(AUTOEVENTO="Manual",$M89=$A$15)),0,
         IF(OFFSET(CRONOPLE!$F$15,$M89-$A$15,BM$13)=0,10^12,OFFSET(CRONOPLE!$F$15,$M89-$A$15,BM$13)))</f>
        <v>1000000000000</v>
      </c>
      <c r="BN89" s="171">
        <f ca="1">IF(OR($D89&lt;&gt;"Serviço",AND(AUTOEVENTO="Manual",$M89=$A$15)),0,
         IF(OFFSET(CRONOPLE!$F$15,$M89-$A$15,BN$13)=0,10^12,OFFSET(CRONOPLE!$F$15,$M89-$A$15,BN$13)))</f>
        <v>1000000000000</v>
      </c>
      <c r="BO89" s="171">
        <f ca="1">IF(OR($D89&lt;&gt;"Serviço",AND(AUTOEVENTO="Manual",$M89=$A$15)),0,
         IF(OFFSET(CRONOPLE!$F$15,$M89-$A$15,BO$13)=0,10^12,OFFSET(CRONOPLE!$F$15,$M89-$A$15,BO$13)))</f>
        <v>1000000000000</v>
      </c>
      <c r="BP89" s="171">
        <f ca="1">IF(OR($D89&lt;&gt;"Serviço",AND(AUTOEVENTO="Manual",$M89=$A$15)),0,
         IF(OFFSET(CRONOPLE!$F$15,$M89-$A$15,BP$13)=0,10^12,OFFSET(CRONOPLE!$F$15,$M89-$A$15,BP$13)))</f>
        <v>1000000000000</v>
      </c>
      <c r="BQ89" s="171">
        <f ca="1">IF(OR($D89&lt;&gt;"Serviço",AND(AUTOEVENTO="Manual",$M89=$A$15)),0,
         IF(OFFSET(CRONOPLE!$F$15,$M89-$A$15,BQ$13)=0,10^12,OFFSET(CRONOPLE!$F$15,$M89-$A$15,BQ$13)))</f>
        <v>1000000000000</v>
      </c>
      <c r="BR89" s="171">
        <f ca="1">IF(OR($D89&lt;&gt;"Serviço",AND(AUTOEVENTO="Manual",$M89=$A$15)),0,
         IF(OFFSET(CRONOPLE!$F$15,$M89-$A$15,BR$13)=0,10^12,OFFSET(CRONOPLE!$F$15,$M89-$A$15,BR$13)))</f>
        <v>1000000000000</v>
      </c>
      <c r="BS89" s="171">
        <f ca="1">IF(OR($D89&lt;&gt;"Serviço",AND(AUTOEVENTO="Manual",$M89=$A$15)),0,
         IF(OFFSET(CRONOPLE!$F$15,$M89-$A$15,BS$13)=0,10^12,OFFSET(CRONOPLE!$F$15,$M89-$A$15,BS$13)))</f>
        <v>1000000000000</v>
      </c>
      <c r="BT89" s="171">
        <f ca="1">IF(OR($D89&lt;&gt;"Serviço",AND(AUTOEVENTO="Manual",$M89=$A$15)),0,
         IF(OFFSET(CRONOPLE!$F$15,$M89-$A$15,BT$13)=0,10^12,OFFSET(CRONOPLE!$F$15,$M89-$A$15,BT$13)))</f>
        <v>1000000000000</v>
      </c>
      <c r="BV89" s="172">
        <f ca="1">IF(OR($D89&lt;&gt;"Serviço",AND(AUTOEVENTO="Manual",$M89=$A$15),$M89&gt;(ROW(PLE.lastrow)-ROW(PLE.firstrow))),0,
           IF(OFFSET(PLE!$G$15,$M89-$A$15,BV$13)="",10^12,OFFSET(PLE!$G$15,$M89-$A$15,BV$13)))</f>
        <v>1000000000000</v>
      </c>
      <c r="BW89" s="172">
        <f ca="1">IF(OR($D89&lt;&gt;"Serviço",AND(AUTOEVENTO="Manual",$M89=$A$15),$M89&gt;(ROW(PLE.lastrow)-ROW(PLE.firstrow))),0,
           IF(OFFSET(PLE!$G$15,$M89-$A$15,BW$13)="",10^12,OFFSET(PLE!$G$15,$M89-$A$15,BW$13)))</f>
        <v>1000000000000</v>
      </c>
      <c r="BX89" s="172">
        <f ca="1">IF(OR($D89&lt;&gt;"Serviço",AND(AUTOEVENTO="Manual",$M89=$A$15),$M89&gt;(ROW(PLE.lastrow)-ROW(PLE.firstrow))),0,
           IF(OFFSET(PLE!$G$15,$M89-$A$15,BX$13)="",10^12,OFFSET(PLE!$G$15,$M89-$A$15,BX$13)))</f>
        <v>1000000000000</v>
      </c>
      <c r="BY89" s="172">
        <f ca="1">IF(OR($D89&lt;&gt;"Serviço",AND(AUTOEVENTO="Manual",$M89=$A$15),$M89&gt;(ROW(PLE.lastrow)-ROW(PLE.firstrow))),0,
           IF(OFFSET(PLE!$G$15,$M89-$A$15,BY$13)="",10^12,OFFSET(PLE!$G$15,$M89-$A$15,BY$13)))</f>
        <v>1000000000000</v>
      </c>
      <c r="BZ89" s="172">
        <f ca="1">IF(OR($D89&lt;&gt;"Serviço",AND(AUTOEVENTO="Manual",$M89=$A$15),$M89&gt;(ROW(PLE.lastrow)-ROW(PLE.firstrow))),0,
           IF(OFFSET(PLE!$G$15,$M89-$A$15,BZ$13)="",10^12,OFFSET(PLE!$G$15,$M89-$A$15,BZ$13)))</f>
        <v>1000000000000</v>
      </c>
      <c r="CA89" s="172">
        <f ca="1">IF(OR($D89&lt;&gt;"Serviço",AND(AUTOEVENTO="Manual",$M89=$A$15),$M89&gt;(ROW(PLE.lastrow)-ROW(PLE.firstrow))),0,
           IF(OFFSET(PLE!$G$15,$M89-$A$15,CA$13)="",10^12,OFFSET(PLE!$G$15,$M89-$A$15,CA$13)))</f>
        <v>1000000000000</v>
      </c>
      <c r="CB89" s="172">
        <f ca="1">IF(OR($D89&lt;&gt;"Serviço",AND(AUTOEVENTO="Manual",$M89=$A$15),$M89&gt;(ROW(PLE.lastrow)-ROW(PLE.firstrow))),0,
           IF(OFFSET(PLE!$G$15,$M89-$A$15,CB$13)="",10^12,OFFSET(PLE!$G$15,$M89-$A$15,CB$13)))</f>
        <v>1000000000000</v>
      </c>
      <c r="CC89" s="172">
        <f ca="1">IF(OR($D89&lt;&gt;"Serviço",AND(AUTOEVENTO="Manual",$M89=$A$15),$M89&gt;(ROW(PLE.lastrow)-ROW(PLE.firstrow))),0,
           IF(OFFSET(PLE!$G$15,$M89-$A$15,CC$13)="",10^12,OFFSET(PLE!$G$15,$M89-$A$15,CC$13)))</f>
        <v>1000000000000</v>
      </c>
      <c r="CD89" s="172">
        <f ca="1">IF(OR($D89&lt;&gt;"Serviço",AND(AUTOEVENTO="Manual",$M89=$A$15),$M89&gt;(ROW(PLE.lastrow)-ROW(PLE.firstrow))),0,
           IF(OFFSET(PLE!$G$15,$M89-$A$15,CD$13)="",10^12,OFFSET(PLE!$G$15,$M89-$A$15,CD$13)))</f>
        <v>1000000000000</v>
      </c>
      <c r="CE89" s="172">
        <f ca="1">IF(OR($D89&lt;&gt;"Serviço",AND(AUTOEVENTO="Manual",$M89=$A$15),$M89&gt;(ROW(PLE.lastrow)-ROW(PLE.firstrow))),0,
           IF(OFFSET(PLE!$G$15,$M89-$A$15,CE$13)="",10^12,OFFSET(PLE!$G$15,$M89-$A$15,CE$13)))</f>
        <v>1000000000000</v>
      </c>
      <c r="CF89" s="172">
        <f ca="1">IF(OR($D89&lt;&gt;"Serviço",AND(AUTOEVENTO="Manual",$M89=$A$15),$M89&gt;(ROW(PLE.lastrow)-ROW(PLE.firstrow))),0,
           IF(OFFSET(PLE!$G$15,$M89-$A$15,CF$13)="",10^12,OFFSET(PLE!$G$15,$M89-$A$15,CF$13)))</f>
        <v>1000000000000</v>
      </c>
      <c r="CG89" s="172">
        <f ca="1">IF(OR($D89&lt;&gt;"Serviço",AND(AUTOEVENTO="Manual",$M89=$A$15),$M89&gt;(ROW(PLE.lastrow)-ROW(PLE.firstrow))),0,
           IF(OFFSET(PLE!$G$15,$M89-$A$15,CG$13)="",10^12,OFFSET(PLE!$G$15,$M89-$A$15,CG$13)))</f>
        <v>1000000000000</v>
      </c>
      <c r="CH89" s="172">
        <f ca="1">IF(OR($D89&lt;&gt;"Serviço",AND(AUTOEVENTO="Manual",$M89=$A$15),$M89&gt;(ROW(PLE.lastrow)-ROW(PLE.firstrow))),0,
           IF(OFFSET(PLE!$G$15,$M89-$A$15,CH$13)="",10^12,OFFSET(PLE!$G$15,$M89-$A$15,CH$13)))</f>
        <v>1000000000000</v>
      </c>
      <c r="CI89" s="172">
        <f ca="1">IF(OR($D89&lt;&gt;"Serviço",AND(AUTOEVENTO="Manual",$M89=$A$15),$M89&gt;(ROW(PLE.lastrow)-ROW(PLE.firstrow))),0,
           IF(OFFSET(PLE!$G$15,$M89-$A$15,CI$13)="",10^12,OFFSET(PLE!$G$15,$M89-$A$15,CI$13)))</f>
        <v>1000000000000</v>
      </c>
      <c r="CJ89" s="172">
        <f ca="1">IF(OR($D89&lt;&gt;"Serviço",AND(AUTOEVENTO="Manual",$M89=$A$15),$M89&gt;(ROW(PLE.lastrow)-ROW(PLE.firstrow))),0,
           IF(OFFSET(PLE!$G$15,$M89-$A$15,CJ$13)="",10^12,OFFSET(PLE!$G$15,$M89-$A$15,CJ$13)))</f>
        <v>1000000000000</v>
      </c>
      <c r="CK89" s="172">
        <f ca="1">IF(OR($D89&lt;&gt;"Serviço",AND(AUTOEVENTO="Manual",$M89=$A$15),$M89&gt;(ROW(PLE.lastrow)-ROW(PLE.firstrow))),0,
           IF(OFFSET(PLE!$G$15,$M89-$A$15,CK$13)="",10^12,OFFSET(PLE!$G$15,$M89-$A$15,CK$13)))</f>
        <v>1000000000000</v>
      </c>
      <c r="CL89" s="172">
        <f ca="1">IF(OR($D89&lt;&gt;"Serviço",AND(AUTOEVENTO="Manual",$M89=$A$15),$M89&gt;(ROW(PLE.lastrow)-ROW(PLE.firstrow))),0,
           IF(OFFSET(PLE!$G$15,$M89-$A$15,CL$13)="",10^12,OFFSET(PLE!$G$15,$M89-$A$15,CL$13)))</f>
        <v>1000000000000</v>
      </c>
      <c r="CM89" s="172">
        <f ca="1">IF(OR($D89&lt;&gt;"Serviço",AND(AUTOEVENTO="Manual",$M89=$A$15),$M89&gt;(ROW(PLE.lastrow)-ROW(PLE.firstrow))),0,
           IF(OFFSET(PLE!$G$15,$M89-$A$15,CM$13)="",10^12,OFFSET(PLE!$G$15,$M89-$A$15,CM$13)))</f>
        <v>1000000000000</v>
      </c>
    </row>
    <row r="90" spans="1:91" ht="13.2" x14ac:dyDescent="0.25">
      <c r="A90" s="7" t="str">
        <f t="shared" ca="1" si="11"/>
        <v>73</v>
      </c>
      <c r="B90" s="7" t="str">
        <f ca="1">OFFSET(ORÇAMENTO!C$15,ROW(B90)-ROW(B$15),0)</f>
        <v>S</v>
      </c>
      <c r="C90" s="7" t="str">
        <f ca="1">OFFSET(ORÇAMENTO!L$15,ROW(C90)-ROW(C$15),0)</f>
        <v>F</v>
      </c>
      <c r="D90" s="116" t="str">
        <f ca="1">OFFSET(ORÇAMENTO!N$15,ROW(D90)-ROW(D$15),0)</f>
        <v>Serviço</v>
      </c>
      <c r="E90" s="117" t="str">
        <f ca="1">OFFSET(ORÇAMENTO!O$15,ROW(E90)-ROW(E$15),0)</f>
        <v>2.6.2.</v>
      </c>
      <c r="F90" s="163" t="str">
        <f ca="1">OFFSET(ORÇAMENTO!R$15,ROW(F90)-ROW(F$15),0)</f>
        <v xml:space="preserve">ENSAIO MARSHALL - MISTURA BETUMINOSA À QUENTE </v>
      </c>
      <c r="G90" s="164" t="str">
        <f ca="1">IF($D90&lt;&gt;"Serviço","",OFFSET(ORÇAMENTO!S$15,ROW(G90)-ROW(G$15),0))</f>
        <v>UN</v>
      </c>
      <c r="H90" s="122" cm="1">
        <f t="array" aca="1" ref="H90" ca="1">IF($D90&lt;&gt;"Serviço",0,IF(ACOMPANHAMENTO="BM",ROUND(OFFSET(ORÇAMENTO!AJ$15,ROW(H90)-ROW(H$15),0),15-13*ORÇAMENTO!$AF$7),SUMPRODUCT(($Q$1:$AI$1=1)*ROUND($Q90:$AI90,15-13*ORÇAMENTO!$AF$7))))</f>
        <v>1</v>
      </c>
      <c r="I90" s="468"/>
      <c r="J90" s="651" t="e" cm="1">
        <f t="array" aca="1" ref="J90" ca="1">IF(OR(B90&lt;&gt;"S",CÁLCULO.FrentesPreenchidas=0),"",IF(AND(ACOMPANHAMENTO="PLE",AUTOEVENTO="Manual",OR(H90&gt;0,ORÇAMENTO!AC90="QUANT."),OR(K90="",M90=0,N90="")),"►E",IF(AND(ACOMPANHAMENTO="PLE",ORÇAMENTO!AC90="QUANT."),"►Q",IF(AND(ACOMPANHAMENTO="PLE",H90&lt;&gt;SUMPRODUCT(($Q$1:$AI$1=1)*ROUND(Q90:AI90,15))),"►S",IF(AND(COUNTIF($P$11:$AI$11,"▼")=0,H90&gt;0,I90=""),"◄M","")))))</f>
        <v>#NAME?</v>
      </c>
      <c r="K90" s="652"/>
      <c r="L90" s="165" t="s">
        <v>764</v>
      </c>
      <c r="M90" s="166">
        <f ca="1">IF($D90&lt;&gt;"Serviço","",
          IF(AUTOEVENTO="manual",$A90,
                IF(ISERROR(MATCH($A90,$A$15:OFFSET($A90,-1,0),0)),MAX($M$15:OFFSET(M90,-1,0))+1,
                      INDEX($M$15:OFFSET(M90,-1,0),MATCH($A90,$A$15:OFFSET($A90,-1,0),0)))))</f>
        <v>13</v>
      </c>
      <c r="N90" s="167" t="str">
        <f ca="1">IF($D90&lt;&gt;"Serviço","",
         IF(AUTOEVENTO="Manual",
                IF($A90=0,"&lt;-- defina o número do agrupador",
                       OFFSET(EVENTOS!$D$15,$A90-$A$15,0)),
                OFFSET($F$15,$A90,0)))</f>
        <v>ENSAIOS</v>
      </c>
      <c r="O90" s="168"/>
      <c r="Q90" s="168"/>
      <c r="R90" s="169"/>
      <c r="S90" s="169"/>
      <c r="T90" s="169">
        <v>1</v>
      </c>
      <c r="U90" s="169"/>
      <c r="V90" s="169"/>
      <c r="W90" s="169"/>
      <c r="X90" s="169"/>
      <c r="Y90" s="169"/>
      <c r="Z90" s="170"/>
      <c r="AA90" s="169"/>
      <c r="AB90" s="169"/>
      <c r="AC90" s="169"/>
      <c r="AD90" s="169"/>
      <c r="AE90" s="169"/>
      <c r="AF90" s="169"/>
      <c r="AG90" s="169"/>
      <c r="AH90" s="170"/>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L90" s="453">
        <f ca="1">IF(AND($D90="Serviço",AL$12&lt;&gt;0,$H90&gt;0,OR(AUTOEVENTO&lt;&gt;"manual",$M90&lt;&gt;$A$15)),
        IF(Import.TipoArredondamento&lt;&gt;"TransfereGOV",
              ROUND(OFFSET($P90,0,AL$13),15-13*ORÇAMENTO!$AF$7)/$H90*OFFSET(ORÇAMENTO!$X$15,ROW(AL90)-ROW(AL$15),0),
              ROUND(ROUND(OFFSET($P90,0,AL$13),15-13*ORÇAMENTO!$AF$7)*OFFSET(ORÇAMENTO!$W$15,ROW(AL90)-ROW(AL$15),0),15-13*ORÇAMENTO!$AF$11)),
         0)</f>
        <v>0</v>
      </c>
      <c r="AM90" s="453">
        <f ca="1">IF(AND($D90="Serviço",AM$12&lt;&gt;0,$H90&gt;0,OR(AUTOEVENTO&lt;&gt;"manual",$M90&lt;&gt;$A$15)),
        IF(Import.TipoArredondamento&lt;&gt;"TransfereGOV",
              ROUND(OFFSET($P90,0,AM$13),15-13*ORÇAMENTO!$AF$7)/$H90*OFFSET(ORÇAMENTO!$X$15,ROW(AM90)-ROW(AM$15),0),
              ROUND(ROUND(OFFSET($P90,0,AM$13),15-13*ORÇAMENTO!$AF$7)*OFFSET(ORÇAMENTO!$W$15,ROW(AM90)-ROW(AM$15),0),15-13*ORÇAMENTO!$AF$11)),
         0)</f>
        <v>521.61</v>
      </c>
      <c r="AN90" s="453">
        <f ca="1">IF(AND($D90="Serviço",AN$12&lt;&gt;0,$H90&gt;0,OR(AUTOEVENTO&lt;&gt;"manual",$M90&lt;&gt;$A$15)),
        IF(Import.TipoArredondamento&lt;&gt;"TransfereGOV",
              ROUND(OFFSET($P90,0,AN$13),15-13*ORÇAMENTO!$AF$7)/$H90*OFFSET(ORÇAMENTO!$X$15,ROW(AN90)-ROW(AN$15),0),
              ROUND(ROUND(OFFSET($P90,0,AN$13),15-13*ORÇAMENTO!$AF$7)*OFFSET(ORÇAMENTO!$W$15,ROW(AN90)-ROW(AN$15),0),15-13*ORÇAMENTO!$AF$11)),
         0)</f>
        <v>0</v>
      </c>
      <c r="AO90" s="453">
        <f ca="1">IF(AND($D90="Serviço",AO$12&lt;&gt;0,$H90&gt;0,OR(AUTOEVENTO&lt;&gt;"manual",$M90&lt;&gt;$A$15)),
        IF(Import.TipoArredondamento&lt;&gt;"TransfereGOV",
              ROUND(OFFSET($P90,0,AO$13),15-13*ORÇAMENTO!$AF$7)/$H90*OFFSET(ORÇAMENTO!$X$15,ROW(AO90)-ROW(AO$15),0),
              ROUND(ROUND(OFFSET($P90,0,AO$13),15-13*ORÇAMENTO!$AF$7)*OFFSET(ORÇAMENTO!$W$15,ROW(AO90)-ROW(AO$15),0),15-13*ORÇAMENTO!$AF$11)),
         0)</f>
        <v>0</v>
      </c>
      <c r="AP90" s="453">
        <f ca="1">IF(AND($D90="Serviço",AP$12&lt;&gt;0,$H90&gt;0,OR(AUTOEVENTO&lt;&gt;"manual",$M90&lt;&gt;$A$15)),
        IF(Import.TipoArredondamento&lt;&gt;"TransfereGOV",
              ROUND(OFFSET($P90,0,AP$13),15-13*ORÇAMENTO!$AF$7)/$H90*OFFSET(ORÇAMENTO!$X$15,ROW(AP90)-ROW(AP$15),0),
              ROUND(ROUND(OFFSET($P90,0,AP$13),15-13*ORÇAMENTO!$AF$7)*OFFSET(ORÇAMENTO!$W$15,ROW(AP90)-ROW(AP$15),0),15-13*ORÇAMENTO!$AF$11)),
         0)</f>
        <v>0</v>
      </c>
      <c r="AQ90" s="453">
        <f ca="1">IF(AND($D90="Serviço",AQ$12&lt;&gt;0,$H90&gt;0,OR(AUTOEVENTO&lt;&gt;"manual",$M90&lt;&gt;$A$15)),
        IF(Import.TipoArredondamento&lt;&gt;"TransfereGOV",
              ROUND(OFFSET($P90,0,AQ$13),15-13*ORÇAMENTO!$AF$7)/$H90*OFFSET(ORÇAMENTO!$X$15,ROW(AQ90)-ROW(AQ$15),0),
              ROUND(ROUND(OFFSET($P90,0,AQ$13),15-13*ORÇAMENTO!$AF$7)*OFFSET(ORÇAMENTO!$W$15,ROW(AQ90)-ROW(AQ$15),0),15-13*ORÇAMENTO!$AF$11)),
         0)</f>
        <v>0</v>
      </c>
      <c r="AR90" s="453">
        <f ca="1">IF(AND($D90="Serviço",AR$12&lt;&gt;0,$H90&gt;0,OR(AUTOEVENTO&lt;&gt;"manual",$M90&lt;&gt;$A$15)),
        IF(Import.TipoArredondamento&lt;&gt;"TransfereGOV",
              ROUND(OFFSET($P90,0,AR$13),15-13*ORÇAMENTO!$AF$7)/$H90*OFFSET(ORÇAMENTO!$X$15,ROW(AR90)-ROW(AR$15),0),
              ROUND(ROUND(OFFSET($P90,0,AR$13),15-13*ORÇAMENTO!$AF$7)*OFFSET(ORÇAMENTO!$W$15,ROW(AR90)-ROW(AR$15),0),15-13*ORÇAMENTO!$AF$11)),
         0)</f>
        <v>0</v>
      </c>
      <c r="AS90" s="453">
        <f ca="1">IF(AND($D90="Serviço",AS$12&lt;&gt;0,$H90&gt;0,OR(AUTOEVENTO&lt;&gt;"manual",$M90&lt;&gt;$A$15)),
        IF(Import.TipoArredondamento&lt;&gt;"TransfereGOV",
              ROUND(OFFSET($P90,0,AS$13),15-13*ORÇAMENTO!$AF$7)/$H90*OFFSET(ORÇAMENTO!$X$15,ROW(AS90)-ROW(AS$15),0),
              ROUND(ROUND(OFFSET($P90,0,AS$13),15-13*ORÇAMENTO!$AF$7)*OFFSET(ORÇAMENTO!$W$15,ROW(AS90)-ROW(AS$15),0),15-13*ORÇAMENTO!$AF$11)),
         0)</f>
        <v>0</v>
      </c>
      <c r="AT90" s="453">
        <f ca="1">IF(AND($D90="Serviço",AT$12&lt;&gt;0,$H90&gt;0,OR(AUTOEVENTO&lt;&gt;"manual",$M90&lt;&gt;$A$15)),
        IF(Import.TipoArredondamento&lt;&gt;"TransfereGOV",
              ROUND(OFFSET($P90,0,AT$13),15-13*ORÇAMENTO!$AF$7)/$H90*OFFSET(ORÇAMENTO!$X$15,ROW(AT90)-ROW(AT$15),0),
              ROUND(ROUND(OFFSET($P90,0,AT$13),15-13*ORÇAMENTO!$AF$7)*OFFSET(ORÇAMENTO!$W$15,ROW(AT90)-ROW(AT$15),0),15-13*ORÇAMENTO!$AF$11)),
         0)</f>
        <v>0</v>
      </c>
      <c r="AU90" s="453">
        <f ca="1">IF(AND($D90="Serviço",AU$12&lt;&gt;0,$H90&gt;0,OR(AUTOEVENTO&lt;&gt;"manual",$M90&lt;&gt;$A$15)),
        IF(Import.TipoArredondamento&lt;&gt;"TransfereGOV",
              ROUND(OFFSET($P90,0,AU$13),15-13*ORÇAMENTO!$AF$7)/$H90*OFFSET(ORÇAMENTO!$X$15,ROW(AU90)-ROW(AU$15),0),
              ROUND(ROUND(OFFSET($P90,0,AU$13),15-13*ORÇAMENTO!$AF$7)*OFFSET(ORÇAMENTO!$W$15,ROW(AU90)-ROW(AU$15),0),15-13*ORÇAMENTO!$AF$11)),
         0)</f>
        <v>0</v>
      </c>
      <c r="AV90" s="453">
        <f ca="1">IF(AND($D90="Serviço",AV$12&lt;&gt;0,$H90&gt;0,OR(AUTOEVENTO&lt;&gt;"manual",$M90&lt;&gt;$A$15)),
        IF(Import.TipoArredondamento&lt;&gt;"TransfereGOV",
              ROUND(OFFSET($P90,0,AV$13),15-13*ORÇAMENTO!$AF$7)/$H90*OFFSET(ORÇAMENTO!$X$15,ROW(AV90)-ROW(AV$15),0),
              ROUND(ROUND(OFFSET($P90,0,AV$13),15-13*ORÇAMENTO!$AF$7)*OFFSET(ORÇAMENTO!$W$15,ROW(AV90)-ROW(AV$15),0),15-13*ORÇAMENTO!$AF$11)),
         0)</f>
        <v>0</v>
      </c>
      <c r="AW90" s="453">
        <f ca="1">IF(AND($D90="Serviço",AW$12&lt;&gt;0,$H90&gt;0,OR(AUTOEVENTO&lt;&gt;"manual",$M90&lt;&gt;$A$15)),
        IF(Import.TipoArredondamento&lt;&gt;"TransfereGOV",
              ROUND(OFFSET($P90,0,AW$13),15-13*ORÇAMENTO!$AF$7)/$H90*OFFSET(ORÇAMENTO!$X$15,ROW(AW90)-ROW(AW$15),0),
              ROUND(ROUND(OFFSET($P90,0,AW$13),15-13*ORÇAMENTO!$AF$7)*OFFSET(ORÇAMENTO!$W$15,ROW(AW90)-ROW(AW$15),0),15-13*ORÇAMENTO!$AF$11)),
         0)</f>
        <v>0</v>
      </c>
      <c r="AX90" s="453">
        <f ca="1">IF(AND($D90="Serviço",AX$12&lt;&gt;0,$H90&gt;0,OR(AUTOEVENTO&lt;&gt;"manual",$M90&lt;&gt;$A$15)),
        IF(Import.TipoArredondamento&lt;&gt;"TransfereGOV",
              ROUND(OFFSET($P90,0,AX$13),15-13*ORÇAMENTO!$AF$7)/$H90*OFFSET(ORÇAMENTO!$X$15,ROW(AX90)-ROW(AX$15),0),
              ROUND(ROUND(OFFSET($P90,0,AX$13),15-13*ORÇAMENTO!$AF$7)*OFFSET(ORÇAMENTO!$W$15,ROW(AX90)-ROW(AX$15),0),15-13*ORÇAMENTO!$AF$11)),
         0)</f>
        <v>0</v>
      </c>
      <c r="AY90" s="453">
        <f ca="1">IF(AND($D90="Serviço",AY$12&lt;&gt;0,$H90&gt;0,OR(AUTOEVENTO&lt;&gt;"manual",$M90&lt;&gt;$A$15)),
        IF(Import.TipoArredondamento&lt;&gt;"TransfereGOV",
              ROUND(OFFSET($P90,0,AY$13),15-13*ORÇAMENTO!$AF$7)/$H90*OFFSET(ORÇAMENTO!$X$15,ROW(AY90)-ROW(AY$15),0),
              ROUND(ROUND(OFFSET($P90,0,AY$13),15-13*ORÇAMENTO!$AF$7)*OFFSET(ORÇAMENTO!$W$15,ROW(AY90)-ROW(AY$15),0),15-13*ORÇAMENTO!$AF$11)),
         0)</f>
        <v>0</v>
      </c>
      <c r="AZ90" s="453">
        <f ca="1">IF(AND($D90="Serviço",AZ$12&lt;&gt;0,$H90&gt;0,OR(AUTOEVENTO&lt;&gt;"manual",$M90&lt;&gt;$A$15)),
        IF(Import.TipoArredondamento&lt;&gt;"TransfereGOV",
              ROUND(OFFSET($P90,0,AZ$13),15-13*ORÇAMENTO!$AF$7)/$H90*OFFSET(ORÇAMENTO!$X$15,ROW(AZ90)-ROW(AZ$15),0),
              ROUND(ROUND(OFFSET($P90,0,AZ$13),15-13*ORÇAMENTO!$AF$7)*OFFSET(ORÇAMENTO!$W$15,ROW(AZ90)-ROW(AZ$15),0),15-13*ORÇAMENTO!$AF$11)),
         0)</f>
        <v>0</v>
      </c>
      <c r="BA90" s="453">
        <f ca="1">IF(AND($D90="Serviço",BA$12&lt;&gt;0,$H90&gt;0,OR(AUTOEVENTO&lt;&gt;"manual",$M90&lt;&gt;$A$15)),
        IF(Import.TipoArredondamento&lt;&gt;"TransfereGOV",
              ROUND(OFFSET($P90,0,BA$13),15-13*ORÇAMENTO!$AF$7)/$H90*OFFSET(ORÇAMENTO!$X$15,ROW(BA90)-ROW(BA$15),0),
              ROUND(ROUND(OFFSET($P90,0,BA$13),15-13*ORÇAMENTO!$AF$7)*OFFSET(ORÇAMENTO!$W$15,ROW(BA90)-ROW(BA$15),0),15-13*ORÇAMENTO!$AF$11)),
         0)</f>
        <v>0</v>
      </c>
      <c r="BC90" s="171">
        <f ca="1">IF(OR($D90&lt;&gt;"Serviço",AND(AUTOEVENTO="Manual",$M90=$A$15)),0,
         IF(OFFSET(CRONOPLE!$F$15,$M90-$A$15,BC$13)=0,10^12,OFFSET(CRONOPLE!$F$15,$M90-$A$15,BC$13)))</f>
        <v>1000000000000</v>
      </c>
      <c r="BD90" s="171">
        <f ca="1">IF(OR($D90&lt;&gt;"Serviço",AND(AUTOEVENTO="Manual",$M90=$A$15)),0,
         IF(OFFSET(CRONOPLE!$F$15,$M90-$A$15,BD$13)=0,10^12,OFFSET(CRONOPLE!$F$15,$M90-$A$15,BD$13)))</f>
        <v>1000000000000</v>
      </c>
      <c r="BE90" s="171">
        <f ca="1">IF(OR($D90&lt;&gt;"Serviço",AND(AUTOEVENTO="Manual",$M90=$A$15)),0,
         IF(OFFSET(CRONOPLE!$F$15,$M90-$A$15,BE$13)=0,10^12,OFFSET(CRONOPLE!$F$15,$M90-$A$15,BE$13)))</f>
        <v>1000000000000</v>
      </c>
      <c r="BF90" s="171">
        <f ca="1">IF(OR($D90&lt;&gt;"Serviço",AND(AUTOEVENTO="Manual",$M90=$A$15)),0,
         IF(OFFSET(CRONOPLE!$F$15,$M90-$A$15,BF$13)=0,10^12,OFFSET(CRONOPLE!$F$15,$M90-$A$15,BF$13)))</f>
        <v>1</v>
      </c>
      <c r="BG90" s="171">
        <f ca="1">IF(OR($D90&lt;&gt;"Serviço",AND(AUTOEVENTO="Manual",$M90=$A$15)),0,
         IF(OFFSET(CRONOPLE!$F$15,$M90-$A$15,BG$13)=0,10^12,OFFSET(CRONOPLE!$F$15,$M90-$A$15,BG$13)))</f>
        <v>1000000000000</v>
      </c>
      <c r="BH90" s="171">
        <f ca="1">IF(OR($D90&lt;&gt;"Serviço",AND(AUTOEVENTO="Manual",$M90=$A$15)),0,
         IF(OFFSET(CRONOPLE!$F$15,$M90-$A$15,BH$13)=0,10^12,OFFSET(CRONOPLE!$F$15,$M90-$A$15,BH$13)))</f>
        <v>1000000000000</v>
      </c>
      <c r="BI90" s="171">
        <f ca="1">IF(OR($D90&lt;&gt;"Serviço",AND(AUTOEVENTO="Manual",$M90=$A$15)),0,
         IF(OFFSET(CRONOPLE!$F$15,$M90-$A$15,BI$13)=0,10^12,OFFSET(CRONOPLE!$F$15,$M90-$A$15,BI$13)))</f>
        <v>1000000000000</v>
      </c>
      <c r="BJ90" s="171">
        <f ca="1">IF(OR($D90&lt;&gt;"Serviço",AND(AUTOEVENTO="Manual",$M90=$A$15)),0,
         IF(OFFSET(CRONOPLE!$F$15,$M90-$A$15,BJ$13)=0,10^12,OFFSET(CRONOPLE!$F$15,$M90-$A$15,BJ$13)))</f>
        <v>1000000000000</v>
      </c>
      <c r="BK90" s="171">
        <f ca="1">IF(OR($D90&lt;&gt;"Serviço",AND(AUTOEVENTO="Manual",$M90=$A$15)),0,
         IF(OFFSET(CRONOPLE!$F$15,$M90-$A$15,BK$13)=0,10^12,OFFSET(CRONOPLE!$F$15,$M90-$A$15,BK$13)))</f>
        <v>1000000000000</v>
      </c>
      <c r="BL90" s="171">
        <f ca="1">IF(OR($D90&lt;&gt;"Serviço",AND(AUTOEVENTO="Manual",$M90=$A$15)),0,
         IF(OFFSET(CRONOPLE!$F$15,$M90-$A$15,BL$13)=0,10^12,OFFSET(CRONOPLE!$F$15,$M90-$A$15,BL$13)))</f>
        <v>1000000000000</v>
      </c>
      <c r="BM90" s="171">
        <f ca="1">IF(OR($D90&lt;&gt;"Serviço",AND(AUTOEVENTO="Manual",$M90=$A$15)),0,
         IF(OFFSET(CRONOPLE!$F$15,$M90-$A$15,BM$13)=0,10^12,OFFSET(CRONOPLE!$F$15,$M90-$A$15,BM$13)))</f>
        <v>1000000000000</v>
      </c>
      <c r="BN90" s="171">
        <f ca="1">IF(OR($D90&lt;&gt;"Serviço",AND(AUTOEVENTO="Manual",$M90=$A$15)),0,
         IF(OFFSET(CRONOPLE!$F$15,$M90-$A$15,BN$13)=0,10^12,OFFSET(CRONOPLE!$F$15,$M90-$A$15,BN$13)))</f>
        <v>1000000000000</v>
      </c>
      <c r="BO90" s="171">
        <f ca="1">IF(OR($D90&lt;&gt;"Serviço",AND(AUTOEVENTO="Manual",$M90=$A$15)),0,
         IF(OFFSET(CRONOPLE!$F$15,$M90-$A$15,BO$13)=0,10^12,OFFSET(CRONOPLE!$F$15,$M90-$A$15,BO$13)))</f>
        <v>1000000000000</v>
      </c>
      <c r="BP90" s="171">
        <f ca="1">IF(OR($D90&lt;&gt;"Serviço",AND(AUTOEVENTO="Manual",$M90=$A$15)),0,
         IF(OFFSET(CRONOPLE!$F$15,$M90-$A$15,BP$13)=0,10^12,OFFSET(CRONOPLE!$F$15,$M90-$A$15,BP$13)))</f>
        <v>1000000000000</v>
      </c>
      <c r="BQ90" s="171">
        <f ca="1">IF(OR($D90&lt;&gt;"Serviço",AND(AUTOEVENTO="Manual",$M90=$A$15)),0,
         IF(OFFSET(CRONOPLE!$F$15,$M90-$A$15,BQ$13)=0,10^12,OFFSET(CRONOPLE!$F$15,$M90-$A$15,BQ$13)))</f>
        <v>1000000000000</v>
      </c>
      <c r="BR90" s="171">
        <f ca="1">IF(OR($D90&lt;&gt;"Serviço",AND(AUTOEVENTO="Manual",$M90=$A$15)),0,
         IF(OFFSET(CRONOPLE!$F$15,$M90-$A$15,BR$13)=0,10^12,OFFSET(CRONOPLE!$F$15,$M90-$A$15,BR$13)))</f>
        <v>1000000000000</v>
      </c>
      <c r="BS90" s="171">
        <f ca="1">IF(OR($D90&lt;&gt;"Serviço",AND(AUTOEVENTO="Manual",$M90=$A$15)),0,
         IF(OFFSET(CRONOPLE!$F$15,$M90-$A$15,BS$13)=0,10^12,OFFSET(CRONOPLE!$F$15,$M90-$A$15,BS$13)))</f>
        <v>1000000000000</v>
      </c>
      <c r="BT90" s="171">
        <f ca="1">IF(OR($D90&lt;&gt;"Serviço",AND(AUTOEVENTO="Manual",$M90=$A$15)),0,
         IF(OFFSET(CRONOPLE!$F$15,$M90-$A$15,BT$13)=0,10^12,OFFSET(CRONOPLE!$F$15,$M90-$A$15,BT$13)))</f>
        <v>1000000000000</v>
      </c>
      <c r="BV90" s="172">
        <f ca="1">IF(OR($D90&lt;&gt;"Serviço",AND(AUTOEVENTO="Manual",$M90=$A$15),$M90&gt;(ROW(PLE.lastrow)-ROW(PLE.firstrow))),0,
           IF(OFFSET(PLE!$G$15,$M90-$A$15,BV$13)="",10^12,OFFSET(PLE!$G$15,$M90-$A$15,BV$13)))</f>
        <v>1000000000000</v>
      </c>
      <c r="BW90" s="172">
        <f ca="1">IF(OR($D90&lt;&gt;"Serviço",AND(AUTOEVENTO="Manual",$M90=$A$15),$M90&gt;(ROW(PLE.lastrow)-ROW(PLE.firstrow))),0,
           IF(OFFSET(PLE!$G$15,$M90-$A$15,BW$13)="",10^12,OFFSET(PLE!$G$15,$M90-$A$15,BW$13)))</f>
        <v>1000000000000</v>
      </c>
      <c r="BX90" s="172">
        <f ca="1">IF(OR($D90&lt;&gt;"Serviço",AND(AUTOEVENTO="Manual",$M90=$A$15),$M90&gt;(ROW(PLE.lastrow)-ROW(PLE.firstrow))),0,
           IF(OFFSET(PLE!$G$15,$M90-$A$15,BX$13)="",10^12,OFFSET(PLE!$G$15,$M90-$A$15,BX$13)))</f>
        <v>1000000000000</v>
      </c>
      <c r="BY90" s="172">
        <f ca="1">IF(OR($D90&lt;&gt;"Serviço",AND(AUTOEVENTO="Manual",$M90=$A$15),$M90&gt;(ROW(PLE.lastrow)-ROW(PLE.firstrow))),0,
           IF(OFFSET(PLE!$G$15,$M90-$A$15,BY$13)="",10^12,OFFSET(PLE!$G$15,$M90-$A$15,BY$13)))</f>
        <v>1000000000000</v>
      </c>
      <c r="BZ90" s="172">
        <f ca="1">IF(OR($D90&lt;&gt;"Serviço",AND(AUTOEVENTO="Manual",$M90=$A$15),$M90&gt;(ROW(PLE.lastrow)-ROW(PLE.firstrow))),0,
           IF(OFFSET(PLE!$G$15,$M90-$A$15,BZ$13)="",10^12,OFFSET(PLE!$G$15,$M90-$A$15,BZ$13)))</f>
        <v>1000000000000</v>
      </c>
      <c r="CA90" s="172">
        <f ca="1">IF(OR($D90&lt;&gt;"Serviço",AND(AUTOEVENTO="Manual",$M90=$A$15),$M90&gt;(ROW(PLE.lastrow)-ROW(PLE.firstrow))),0,
           IF(OFFSET(PLE!$G$15,$M90-$A$15,CA$13)="",10^12,OFFSET(PLE!$G$15,$M90-$A$15,CA$13)))</f>
        <v>1000000000000</v>
      </c>
      <c r="CB90" s="172">
        <f ca="1">IF(OR($D90&lt;&gt;"Serviço",AND(AUTOEVENTO="Manual",$M90=$A$15),$M90&gt;(ROW(PLE.lastrow)-ROW(PLE.firstrow))),0,
           IF(OFFSET(PLE!$G$15,$M90-$A$15,CB$13)="",10^12,OFFSET(PLE!$G$15,$M90-$A$15,CB$13)))</f>
        <v>1000000000000</v>
      </c>
      <c r="CC90" s="172">
        <f ca="1">IF(OR($D90&lt;&gt;"Serviço",AND(AUTOEVENTO="Manual",$M90=$A$15),$M90&gt;(ROW(PLE.lastrow)-ROW(PLE.firstrow))),0,
           IF(OFFSET(PLE!$G$15,$M90-$A$15,CC$13)="",10^12,OFFSET(PLE!$G$15,$M90-$A$15,CC$13)))</f>
        <v>1000000000000</v>
      </c>
      <c r="CD90" s="172">
        <f ca="1">IF(OR($D90&lt;&gt;"Serviço",AND(AUTOEVENTO="Manual",$M90=$A$15),$M90&gt;(ROW(PLE.lastrow)-ROW(PLE.firstrow))),0,
           IF(OFFSET(PLE!$G$15,$M90-$A$15,CD$13)="",10^12,OFFSET(PLE!$G$15,$M90-$A$15,CD$13)))</f>
        <v>1000000000000</v>
      </c>
      <c r="CE90" s="172">
        <f ca="1">IF(OR($D90&lt;&gt;"Serviço",AND(AUTOEVENTO="Manual",$M90=$A$15),$M90&gt;(ROW(PLE.lastrow)-ROW(PLE.firstrow))),0,
           IF(OFFSET(PLE!$G$15,$M90-$A$15,CE$13)="",10^12,OFFSET(PLE!$G$15,$M90-$A$15,CE$13)))</f>
        <v>1000000000000</v>
      </c>
      <c r="CF90" s="172">
        <f ca="1">IF(OR($D90&lt;&gt;"Serviço",AND(AUTOEVENTO="Manual",$M90=$A$15),$M90&gt;(ROW(PLE.lastrow)-ROW(PLE.firstrow))),0,
           IF(OFFSET(PLE!$G$15,$M90-$A$15,CF$13)="",10^12,OFFSET(PLE!$G$15,$M90-$A$15,CF$13)))</f>
        <v>1000000000000</v>
      </c>
      <c r="CG90" s="172">
        <f ca="1">IF(OR($D90&lt;&gt;"Serviço",AND(AUTOEVENTO="Manual",$M90=$A$15),$M90&gt;(ROW(PLE.lastrow)-ROW(PLE.firstrow))),0,
           IF(OFFSET(PLE!$G$15,$M90-$A$15,CG$13)="",10^12,OFFSET(PLE!$G$15,$M90-$A$15,CG$13)))</f>
        <v>1000000000000</v>
      </c>
      <c r="CH90" s="172">
        <f ca="1">IF(OR($D90&lt;&gt;"Serviço",AND(AUTOEVENTO="Manual",$M90=$A$15),$M90&gt;(ROW(PLE.lastrow)-ROW(PLE.firstrow))),0,
           IF(OFFSET(PLE!$G$15,$M90-$A$15,CH$13)="",10^12,OFFSET(PLE!$G$15,$M90-$A$15,CH$13)))</f>
        <v>1000000000000</v>
      </c>
      <c r="CI90" s="172">
        <f ca="1">IF(OR($D90&lt;&gt;"Serviço",AND(AUTOEVENTO="Manual",$M90=$A$15),$M90&gt;(ROW(PLE.lastrow)-ROW(PLE.firstrow))),0,
           IF(OFFSET(PLE!$G$15,$M90-$A$15,CI$13)="",10^12,OFFSET(PLE!$G$15,$M90-$A$15,CI$13)))</f>
        <v>1000000000000</v>
      </c>
      <c r="CJ90" s="172">
        <f ca="1">IF(OR($D90&lt;&gt;"Serviço",AND(AUTOEVENTO="Manual",$M90=$A$15),$M90&gt;(ROW(PLE.lastrow)-ROW(PLE.firstrow))),0,
           IF(OFFSET(PLE!$G$15,$M90-$A$15,CJ$13)="",10^12,OFFSET(PLE!$G$15,$M90-$A$15,CJ$13)))</f>
        <v>1000000000000</v>
      </c>
      <c r="CK90" s="172">
        <f ca="1">IF(OR($D90&lt;&gt;"Serviço",AND(AUTOEVENTO="Manual",$M90=$A$15),$M90&gt;(ROW(PLE.lastrow)-ROW(PLE.firstrow))),0,
           IF(OFFSET(PLE!$G$15,$M90-$A$15,CK$13)="",10^12,OFFSET(PLE!$G$15,$M90-$A$15,CK$13)))</f>
        <v>1000000000000</v>
      </c>
      <c r="CL90" s="172">
        <f ca="1">IF(OR($D90&lt;&gt;"Serviço",AND(AUTOEVENTO="Manual",$M90=$A$15),$M90&gt;(ROW(PLE.lastrow)-ROW(PLE.firstrow))),0,
           IF(OFFSET(PLE!$G$15,$M90-$A$15,CL$13)="",10^12,OFFSET(PLE!$G$15,$M90-$A$15,CL$13)))</f>
        <v>1000000000000</v>
      </c>
      <c r="CM90" s="172">
        <f ca="1">IF(OR($D90&lt;&gt;"Serviço",AND(AUTOEVENTO="Manual",$M90=$A$15),$M90&gt;(ROW(PLE.lastrow)-ROW(PLE.firstrow))),0,
           IF(OFFSET(PLE!$G$15,$M90-$A$15,CM$13)="",10^12,OFFSET(PLE!$G$15,$M90-$A$15,CM$13)))</f>
        <v>1000000000000</v>
      </c>
    </row>
    <row r="91" spans="1:91" ht="39.6" x14ac:dyDescent="0.25">
      <c r="A91" s="7" t="str">
        <f t="shared" ca="1" si="11"/>
        <v>73</v>
      </c>
      <c r="B91" s="7" t="str">
        <f ca="1">OFFSET(ORÇAMENTO!C$15,ROW(B91)-ROW(B$15),0)</f>
        <v>S</v>
      </c>
      <c r="C91" s="7" t="str">
        <f ca="1">OFFSET(ORÇAMENTO!L$15,ROW(C91)-ROW(C$15),0)</f>
        <v>F</v>
      </c>
      <c r="D91" s="116" t="str">
        <f ca="1">OFFSET(ORÇAMENTO!N$15,ROW(D91)-ROW(D$15),0)</f>
        <v>Serviço</v>
      </c>
      <c r="E91" s="117" t="str">
        <f ca="1">OFFSET(ORÇAMENTO!O$15,ROW(E91)-ROW(E$15),0)</f>
        <v>2.6.3.</v>
      </c>
      <c r="F91" s="163" t="str">
        <f ca="1">OFFSET(ORÇAMENTO!R$15,ROW(F91)-ROW(F$15),0)</f>
        <v xml:space="preserve">ENSAIO DE CONTROLE DO GRAU DE COMPACTAÇÃO, DENSIDADE E ESPESSURA DA MASSA ASFÁLTICA COM COLETA ATRAVÉS DE SONDA ROTATIVA </v>
      </c>
      <c r="G91" s="164" t="str">
        <f ca="1">IF($D91&lt;&gt;"Serviço","",OFFSET(ORÇAMENTO!S$15,ROW(G91)-ROW(G$15),0))</f>
        <v>UN</v>
      </c>
      <c r="H91" s="122" cm="1">
        <f t="array" aca="1" ref="H91" ca="1">IF($D91&lt;&gt;"Serviço",0,IF(ACOMPANHAMENTO="BM",ROUND(OFFSET(ORÇAMENTO!AJ$15,ROW(H91)-ROW(H$15),0),15-13*ORÇAMENTO!$AF$7),SUMPRODUCT(($Q$1:$AI$1=1)*ROUND($Q91:$AI91,15-13*ORÇAMENTO!$AF$7))))</f>
        <v>1</v>
      </c>
      <c r="I91" s="468"/>
      <c r="J91" s="651" t="e" cm="1">
        <f t="array" aca="1" ref="J91" ca="1">IF(OR(B91&lt;&gt;"S",CÁLCULO.FrentesPreenchidas=0),"",IF(AND(ACOMPANHAMENTO="PLE",AUTOEVENTO="Manual",OR(H91&gt;0,ORÇAMENTO!AC91="QUANT."),OR(K91="",M91=0,N91="")),"►E",IF(AND(ACOMPANHAMENTO="PLE",ORÇAMENTO!AC91="QUANT."),"►Q",IF(AND(ACOMPANHAMENTO="PLE",H91&lt;&gt;SUMPRODUCT(($Q$1:$AI$1=1)*ROUND(Q91:AI91,15))),"►S",IF(AND(COUNTIF($P$11:$AI$11,"▼")=0,H91&gt;0,I91=""),"◄M","")))))</f>
        <v>#NAME?</v>
      </c>
      <c r="K91" s="652"/>
      <c r="L91" s="165" t="s">
        <v>764</v>
      </c>
      <c r="M91" s="166">
        <f ca="1">IF($D91&lt;&gt;"Serviço","",
          IF(AUTOEVENTO="manual",$A91,
                IF(ISERROR(MATCH($A91,$A$15:OFFSET($A91,-1,0),0)),MAX($M$15:OFFSET(M91,-1,0))+1,
                      INDEX($M$15:OFFSET(M91,-1,0),MATCH($A91,$A$15:OFFSET($A91,-1,0),0)))))</f>
        <v>13</v>
      </c>
      <c r="N91" s="167" t="str">
        <f ca="1">IF($D91&lt;&gt;"Serviço","",
         IF(AUTOEVENTO="Manual",
                IF($A91=0,"&lt;-- defina o número do agrupador",
                       OFFSET(EVENTOS!$D$15,$A91-$A$15,0)),
                OFFSET($F$15,$A91,0)))</f>
        <v>ENSAIOS</v>
      </c>
      <c r="O91" s="168"/>
      <c r="Q91" s="168"/>
      <c r="R91" s="169"/>
      <c r="S91" s="169"/>
      <c r="T91" s="169">
        <v>1</v>
      </c>
      <c r="U91" s="169"/>
      <c r="V91" s="169"/>
      <c r="W91" s="169"/>
      <c r="X91" s="169"/>
      <c r="Y91" s="169"/>
      <c r="Z91" s="170"/>
      <c r="AA91" s="169"/>
      <c r="AB91" s="169"/>
      <c r="AC91" s="169"/>
      <c r="AD91" s="169"/>
      <c r="AE91" s="169"/>
      <c r="AF91" s="169"/>
      <c r="AG91" s="169"/>
      <c r="AH91" s="170"/>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L91" s="453">
        <f ca="1">IF(AND($D91="Serviço",AL$12&lt;&gt;0,$H91&gt;0,OR(AUTOEVENTO&lt;&gt;"manual",$M91&lt;&gt;$A$15)),
        IF(Import.TipoArredondamento&lt;&gt;"TransfereGOV",
              ROUND(OFFSET($P91,0,AL$13),15-13*ORÇAMENTO!$AF$7)/$H91*OFFSET(ORÇAMENTO!$X$15,ROW(AL91)-ROW(AL$15),0),
              ROUND(ROUND(OFFSET($P91,0,AL$13),15-13*ORÇAMENTO!$AF$7)*OFFSET(ORÇAMENTO!$W$15,ROW(AL91)-ROW(AL$15),0),15-13*ORÇAMENTO!$AF$11)),
         0)</f>
        <v>0</v>
      </c>
      <c r="AM91" s="453">
        <f ca="1">IF(AND($D91="Serviço",AM$12&lt;&gt;0,$H91&gt;0,OR(AUTOEVENTO&lt;&gt;"manual",$M91&lt;&gt;$A$15)),
        IF(Import.TipoArredondamento&lt;&gt;"TransfereGOV",
              ROUND(OFFSET($P91,0,AM$13),15-13*ORÇAMENTO!$AF$7)/$H91*OFFSET(ORÇAMENTO!$X$15,ROW(AM91)-ROW(AM$15),0),
              ROUND(ROUND(OFFSET($P91,0,AM$13),15-13*ORÇAMENTO!$AF$7)*OFFSET(ORÇAMENTO!$W$15,ROW(AM91)-ROW(AM$15),0),15-13*ORÇAMENTO!$AF$11)),
         0)</f>
        <v>136.72999999999999</v>
      </c>
      <c r="AN91" s="453">
        <f ca="1">IF(AND($D91="Serviço",AN$12&lt;&gt;0,$H91&gt;0,OR(AUTOEVENTO&lt;&gt;"manual",$M91&lt;&gt;$A$15)),
        IF(Import.TipoArredondamento&lt;&gt;"TransfereGOV",
              ROUND(OFFSET($P91,0,AN$13),15-13*ORÇAMENTO!$AF$7)/$H91*OFFSET(ORÇAMENTO!$X$15,ROW(AN91)-ROW(AN$15),0),
              ROUND(ROUND(OFFSET($P91,0,AN$13),15-13*ORÇAMENTO!$AF$7)*OFFSET(ORÇAMENTO!$W$15,ROW(AN91)-ROW(AN$15),0),15-13*ORÇAMENTO!$AF$11)),
         0)</f>
        <v>0</v>
      </c>
      <c r="AO91" s="453">
        <f ca="1">IF(AND($D91="Serviço",AO$12&lt;&gt;0,$H91&gt;0,OR(AUTOEVENTO&lt;&gt;"manual",$M91&lt;&gt;$A$15)),
        IF(Import.TipoArredondamento&lt;&gt;"TransfereGOV",
              ROUND(OFFSET($P91,0,AO$13),15-13*ORÇAMENTO!$AF$7)/$H91*OFFSET(ORÇAMENTO!$X$15,ROW(AO91)-ROW(AO$15),0),
              ROUND(ROUND(OFFSET($P91,0,AO$13),15-13*ORÇAMENTO!$AF$7)*OFFSET(ORÇAMENTO!$W$15,ROW(AO91)-ROW(AO$15),0),15-13*ORÇAMENTO!$AF$11)),
         0)</f>
        <v>0</v>
      </c>
      <c r="AP91" s="453">
        <f ca="1">IF(AND($D91="Serviço",AP$12&lt;&gt;0,$H91&gt;0,OR(AUTOEVENTO&lt;&gt;"manual",$M91&lt;&gt;$A$15)),
        IF(Import.TipoArredondamento&lt;&gt;"TransfereGOV",
              ROUND(OFFSET($P91,0,AP$13),15-13*ORÇAMENTO!$AF$7)/$H91*OFFSET(ORÇAMENTO!$X$15,ROW(AP91)-ROW(AP$15),0),
              ROUND(ROUND(OFFSET($P91,0,AP$13),15-13*ORÇAMENTO!$AF$7)*OFFSET(ORÇAMENTO!$W$15,ROW(AP91)-ROW(AP$15),0),15-13*ORÇAMENTO!$AF$11)),
         0)</f>
        <v>0</v>
      </c>
      <c r="AQ91" s="453">
        <f ca="1">IF(AND($D91="Serviço",AQ$12&lt;&gt;0,$H91&gt;0,OR(AUTOEVENTO&lt;&gt;"manual",$M91&lt;&gt;$A$15)),
        IF(Import.TipoArredondamento&lt;&gt;"TransfereGOV",
              ROUND(OFFSET($P91,0,AQ$13),15-13*ORÇAMENTO!$AF$7)/$H91*OFFSET(ORÇAMENTO!$X$15,ROW(AQ91)-ROW(AQ$15),0),
              ROUND(ROUND(OFFSET($P91,0,AQ$13),15-13*ORÇAMENTO!$AF$7)*OFFSET(ORÇAMENTO!$W$15,ROW(AQ91)-ROW(AQ$15),0),15-13*ORÇAMENTO!$AF$11)),
         0)</f>
        <v>0</v>
      </c>
      <c r="AR91" s="453">
        <f ca="1">IF(AND($D91="Serviço",AR$12&lt;&gt;0,$H91&gt;0,OR(AUTOEVENTO&lt;&gt;"manual",$M91&lt;&gt;$A$15)),
        IF(Import.TipoArredondamento&lt;&gt;"TransfereGOV",
              ROUND(OFFSET($P91,0,AR$13),15-13*ORÇAMENTO!$AF$7)/$H91*OFFSET(ORÇAMENTO!$X$15,ROW(AR91)-ROW(AR$15),0),
              ROUND(ROUND(OFFSET($P91,0,AR$13),15-13*ORÇAMENTO!$AF$7)*OFFSET(ORÇAMENTO!$W$15,ROW(AR91)-ROW(AR$15),0),15-13*ORÇAMENTO!$AF$11)),
         0)</f>
        <v>0</v>
      </c>
      <c r="AS91" s="453">
        <f ca="1">IF(AND($D91="Serviço",AS$12&lt;&gt;0,$H91&gt;0,OR(AUTOEVENTO&lt;&gt;"manual",$M91&lt;&gt;$A$15)),
        IF(Import.TipoArredondamento&lt;&gt;"TransfereGOV",
              ROUND(OFFSET($P91,0,AS$13),15-13*ORÇAMENTO!$AF$7)/$H91*OFFSET(ORÇAMENTO!$X$15,ROW(AS91)-ROW(AS$15),0),
              ROUND(ROUND(OFFSET($P91,0,AS$13),15-13*ORÇAMENTO!$AF$7)*OFFSET(ORÇAMENTO!$W$15,ROW(AS91)-ROW(AS$15),0),15-13*ORÇAMENTO!$AF$11)),
         0)</f>
        <v>0</v>
      </c>
      <c r="AT91" s="453">
        <f ca="1">IF(AND($D91="Serviço",AT$12&lt;&gt;0,$H91&gt;0,OR(AUTOEVENTO&lt;&gt;"manual",$M91&lt;&gt;$A$15)),
        IF(Import.TipoArredondamento&lt;&gt;"TransfereGOV",
              ROUND(OFFSET($P91,0,AT$13),15-13*ORÇAMENTO!$AF$7)/$H91*OFFSET(ORÇAMENTO!$X$15,ROW(AT91)-ROW(AT$15),0),
              ROUND(ROUND(OFFSET($P91,0,AT$13),15-13*ORÇAMENTO!$AF$7)*OFFSET(ORÇAMENTO!$W$15,ROW(AT91)-ROW(AT$15),0),15-13*ORÇAMENTO!$AF$11)),
         0)</f>
        <v>0</v>
      </c>
      <c r="AU91" s="453">
        <f ca="1">IF(AND($D91="Serviço",AU$12&lt;&gt;0,$H91&gt;0,OR(AUTOEVENTO&lt;&gt;"manual",$M91&lt;&gt;$A$15)),
        IF(Import.TipoArredondamento&lt;&gt;"TransfereGOV",
              ROUND(OFFSET($P91,0,AU$13),15-13*ORÇAMENTO!$AF$7)/$H91*OFFSET(ORÇAMENTO!$X$15,ROW(AU91)-ROW(AU$15),0),
              ROUND(ROUND(OFFSET($P91,0,AU$13),15-13*ORÇAMENTO!$AF$7)*OFFSET(ORÇAMENTO!$W$15,ROW(AU91)-ROW(AU$15),0),15-13*ORÇAMENTO!$AF$11)),
         0)</f>
        <v>0</v>
      </c>
      <c r="AV91" s="453">
        <f ca="1">IF(AND($D91="Serviço",AV$12&lt;&gt;0,$H91&gt;0,OR(AUTOEVENTO&lt;&gt;"manual",$M91&lt;&gt;$A$15)),
        IF(Import.TipoArredondamento&lt;&gt;"TransfereGOV",
              ROUND(OFFSET($P91,0,AV$13),15-13*ORÇAMENTO!$AF$7)/$H91*OFFSET(ORÇAMENTO!$X$15,ROW(AV91)-ROW(AV$15),0),
              ROUND(ROUND(OFFSET($P91,0,AV$13),15-13*ORÇAMENTO!$AF$7)*OFFSET(ORÇAMENTO!$W$15,ROW(AV91)-ROW(AV$15),0),15-13*ORÇAMENTO!$AF$11)),
         0)</f>
        <v>0</v>
      </c>
      <c r="AW91" s="453">
        <f ca="1">IF(AND($D91="Serviço",AW$12&lt;&gt;0,$H91&gt;0,OR(AUTOEVENTO&lt;&gt;"manual",$M91&lt;&gt;$A$15)),
        IF(Import.TipoArredondamento&lt;&gt;"TransfereGOV",
              ROUND(OFFSET($P91,0,AW$13),15-13*ORÇAMENTO!$AF$7)/$H91*OFFSET(ORÇAMENTO!$X$15,ROW(AW91)-ROW(AW$15),0),
              ROUND(ROUND(OFFSET($P91,0,AW$13),15-13*ORÇAMENTO!$AF$7)*OFFSET(ORÇAMENTO!$W$15,ROW(AW91)-ROW(AW$15),0),15-13*ORÇAMENTO!$AF$11)),
         0)</f>
        <v>0</v>
      </c>
      <c r="AX91" s="453">
        <f ca="1">IF(AND($D91="Serviço",AX$12&lt;&gt;0,$H91&gt;0,OR(AUTOEVENTO&lt;&gt;"manual",$M91&lt;&gt;$A$15)),
        IF(Import.TipoArredondamento&lt;&gt;"TransfereGOV",
              ROUND(OFFSET($P91,0,AX$13),15-13*ORÇAMENTO!$AF$7)/$H91*OFFSET(ORÇAMENTO!$X$15,ROW(AX91)-ROW(AX$15),0),
              ROUND(ROUND(OFFSET($P91,0,AX$13),15-13*ORÇAMENTO!$AF$7)*OFFSET(ORÇAMENTO!$W$15,ROW(AX91)-ROW(AX$15),0),15-13*ORÇAMENTO!$AF$11)),
         0)</f>
        <v>0</v>
      </c>
      <c r="AY91" s="453">
        <f ca="1">IF(AND($D91="Serviço",AY$12&lt;&gt;0,$H91&gt;0,OR(AUTOEVENTO&lt;&gt;"manual",$M91&lt;&gt;$A$15)),
        IF(Import.TipoArredondamento&lt;&gt;"TransfereGOV",
              ROUND(OFFSET($P91,0,AY$13),15-13*ORÇAMENTO!$AF$7)/$H91*OFFSET(ORÇAMENTO!$X$15,ROW(AY91)-ROW(AY$15),0),
              ROUND(ROUND(OFFSET($P91,0,AY$13),15-13*ORÇAMENTO!$AF$7)*OFFSET(ORÇAMENTO!$W$15,ROW(AY91)-ROW(AY$15),0),15-13*ORÇAMENTO!$AF$11)),
         0)</f>
        <v>0</v>
      </c>
      <c r="AZ91" s="453">
        <f ca="1">IF(AND($D91="Serviço",AZ$12&lt;&gt;0,$H91&gt;0,OR(AUTOEVENTO&lt;&gt;"manual",$M91&lt;&gt;$A$15)),
        IF(Import.TipoArredondamento&lt;&gt;"TransfereGOV",
              ROUND(OFFSET($P91,0,AZ$13),15-13*ORÇAMENTO!$AF$7)/$H91*OFFSET(ORÇAMENTO!$X$15,ROW(AZ91)-ROW(AZ$15),0),
              ROUND(ROUND(OFFSET($P91,0,AZ$13),15-13*ORÇAMENTO!$AF$7)*OFFSET(ORÇAMENTO!$W$15,ROW(AZ91)-ROW(AZ$15),0),15-13*ORÇAMENTO!$AF$11)),
         0)</f>
        <v>0</v>
      </c>
      <c r="BA91" s="453">
        <f ca="1">IF(AND($D91="Serviço",BA$12&lt;&gt;0,$H91&gt;0,OR(AUTOEVENTO&lt;&gt;"manual",$M91&lt;&gt;$A$15)),
        IF(Import.TipoArredondamento&lt;&gt;"TransfereGOV",
              ROUND(OFFSET($P91,0,BA$13),15-13*ORÇAMENTO!$AF$7)/$H91*OFFSET(ORÇAMENTO!$X$15,ROW(BA91)-ROW(BA$15),0),
              ROUND(ROUND(OFFSET($P91,0,BA$13),15-13*ORÇAMENTO!$AF$7)*OFFSET(ORÇAMENTO!$W$15,ROW(BA91)-ROW(BA$15),0),15-13*ORÇAMENTO!$AF$11)),
         0)</f>
        <v>0</v>
      </c>
      <c r="BC91" s="171">
        <f ca="1">IF(OR($D91&lt;&gt;"Serviço",AND(AUTOEVENTO="Manual",$M91=$A$15)),0,
         IF(OFFSET(CRONOPLE!$F$15,$M91-$A$15,BC$13)=0,10^12,OFFSET(CRONOPLE!$F$15,$M91-$A$15,BC$13)))</f>
        <v>1000000000000</v>
      </c>
      <c r="BD91" s="171">
        <f ca="1">IF(OR($D91&lt;&gt;"Serviço",AND(AUTOEVENTO="Manual",$M91=$A$15)),0,
         IF(OFFSET(CRONOPLE!$F$15,$M91-$A$15,BD$13)=0,10^12,OFFSET(CRONOPLE!$F$15,$M91-$A$15,BD$13)))</f>
        <v>1000000000000</v>
      </c>
      <c r="BE91" s="171">
        <f ca="1">IF(OR($D91&lt;&gt;"Serviço",AND(AUTOEVENTO="Manual",$M91=$A$15)),0,
         IF(OFFSET(CRONOPLE!$F$15,$M91-$A$15,BE$13)=0,10^12,OFFSET(CRONOPLE!$F$15,$M91-$A$15,BE$13)))</f>
        <v>1000000000000</v>
      </c>
      <c r="BF91" s="171">
        <f ca="1">IF(OR($D91&lt;&gt;"Serviço",AND(AUTOEVENTO="Manual",$M91=$A$15)),0,
         IF(OFFSET(CRONOPLE!$F$15,$M91-$A$15,BF$13)=0,10^12,OFFSET(CRONOPLE!$F$15,$M91-$A$15,BF$13)))</f>
        <v>1</v>
      </c>
      <c r="BG91" s="171">
        <f ca="1">IF(OR($D91&lt;&gt;"Serviço",AND(AUTOEVENTO="Manual",$M91=$A$15)),0,
         IF(OFFSET(CRONOPLE!$F$15,$M91-$A$15,BG$13)=0,10^12,OFFSET(CRONOPLE!$F$15,$M91-$A$15,BG$13)))</f>
        <v>1000000000000</v>
      </c>
      <c r="BH91" s="171">
        <f ca="1">IF(OR($D91&lt;&gt;"Serviço",AND(AUTOEVENTO="Manual",$M91=$A$15)),0,
         IF(OFFSET(CRONOPLE!$F$15,$M91-$A$15,BH$13)=0,10^12,OFFSET(CRONOPLE!$F$15,$M91-$A$15,BH$13)))</f>
        <v>1000000000000</v>
      </c>
      <c r="BI91" s="171">
        <f ca="1">IF(OR($D91&lt;&gt;"Serviço",AND(AUTOEVENTO="Manual",$M91=$A$15)),0,
         IF(OFFSET(CRONOPLE!$F$15,$M91-$A$15,BI$13)=0,10^12,OFFSET(CRONOPLE!$F$15,$M91-$A$15,BI$13)))</f>
        <v>1000000000000</v>
      </c>
      <c r="BJ91" s="171">
        <f ca="1">IF(OR($D91&lt;&gt;"Serviço",AND(AUTOEVENTO="Manual",$M91=$A$15)),0,
         IF(OFFSET(CRONOPLE!$F$15,$M91-$A$15,BJ$13)=0,10^12,OFFSET(CRONOPLE!$F$15,$M91-$A$15,BJ$13)))</f>
        <v>1000000000000</v>
      </c>
      <c r="BK91" s="171">
        <f ca="1">IF(OR($D91&lt;&gt;"Serviço",AND(AUTOEVENTO="Manual",$M91=$A$15)),0,
         IF(OFFSET(CRONOPLE!$F$15,$M91-$A$15,BK$13)=0,10^12,OFFSET(CRONOPLE!$F$15,$M91-$A$15,BK$13)))</f>
        <v>1000000000000</v>
      </c>
      <c r="BL91" s="171">
        <f ca="1">IF(OR($D91&lt;&gt;"Serviço",AND(AUTOEVENTO="Manual",$M91=$A$15)),0,
         IF(OFFSET(CRONOPLE!$F$15,$M91-$A$15,BL$13)=0,10^12,OFFSET(CRONOPLE!$F$15,$M91-$A$15,BL$13)))</f>
        <v>1000000000000</v>
      </c>
      <c r="BM91" s="171">
        <f ca="1">IF(OR($D91&lt;&gt;"Serviço",AND(AUTOEVENTO="Manual",$M91=$A$15)),0,
         IF(OFFSET(CRONOPLE!$F$15,$M91-$A$15,BM$13)=0,10^12,OFFSET(CRONOPLE!$F$15,$M91-$A$15,BM$13)))</f>
        <v>1000000000000</v>
      </c>
      <c r="BN91" s="171">
        <f ca="1">IF(OR($D91&lt;&gt;"Serviço",AND(AUTOEVENTO="Manual",$M91=$A$15)),0,
         IF(OFFSET(CRONOPLE!$F$15,$M91-$A$15,BN$13)=0,10^12,OFFSET(CRONOPLE!$F$15,$M91-$A$15,BN$13)))</f>
        <v>1000000000000</v>
      </c>
      <c r="BO91" s="171">
        <f ca="1">IF(OR($D91&lt;&gt;"Serviço",AND(AUTOEVENTO="Manual",$M91=$A$15)),0,
         IF(OFFSET(CRONOPLE!$F$15,$M91-$A$15,BO$13)=0,10^12,OFFSET(CRONOPLE!$F$15,$M91-$A$15,BO$13)))</f>
        <v>1000000000000</v>
      </c>
      <c r="BP91" s="171">
        <f ca="1">IF(OR($D91&lt;&gt;"Serviço",AND(AUTOEVENTO="Manual",$M91=$A$15)),0,
         IF(OFFSET(CRONOPLE!$F$15,$M91-$A$15,BP$13)=0,10^12,OFFSET(CRONOPLE!$F$15,$M91-$A$15,BP$13)))</f>
        <v>1000000000000</v>
      </c>
      <c r="BQ91" s="171">
        <f ca="1">IF(OR($D91&lt;&gt;"Serviço",AND(AUTOEVENTO="Manual",$M91=$A$15)),0,
         IF(OFFSET(CRONOPLE!$F$15,$M91-$A$15,BQ$13)=0,10^12,OFFSET(CRONOPLE!$F$15,$M91-$A$15,BQ$13)))</f>
        <v>1000000000000</v>
      </c>
      <c r="BR91" s="171">
        <f ca="1">IF(OR($D91&lt;&gt;"Serviço",AND(AUTOEVENTO="Manual",$M91=$A$15)),0,
         IF(OFFSET(CRONOPLE!$F$15,$M91-$A$15,BR$13)=0,10^12,OFFSET(CRONOPLE!$F$15,$M91-$A$15,BR$13)))</f>
        <v>1000000000000</v>
      </c>
      <c r="BS91" s="171">
        <f ca="1">IF(OR($D91&lt;&gt;"Serviço",AND(AUTOEVENTO="Manual",$M91=$A$15)),0,
         IF(OFFSET(CRONOPLE!$F$15,$M91-$A$15,BS$13)=0,10^12,OFFSET(CRONOPLE!$F$15,$M91-$A$15,BS$13)))</f>
        <v>1000000000000</v>
      </c>
      <c r="BT91" s="171">
        <f ca="1">IF(OR($D91&lt;&gt;"Serviço",AND(AUTOEVENTO="Manual",$M91=$A$15)),0,
         IF(OFFSET(CRONOPLE!$F$15,$M91-$A$15,BT$13)=0,10^12,OFFSET(CRONOPLE!$F$15,$M91-$A$15,BT$13)))</f>
        <v>1000000000000</v>
      </c>
      <c r="BV91" s="172">
        <f ca="1">IF(OR($D91&lt;&gt;"Serviço",AND(AUTOEVENTO="Manual",$M91=$A$15),$M91&gt;(ROW(PLE.lastrow)-ROW(PLE.firstrow))),0,
           IF(OFFSET(PLE!$G$15,$M91-$A$15,BV$13)="",10^12,OFFSET(PLE!$G$15,$M91-$A$15,BV$13)))</f>
        <v>1000000000000</v>
      </c>
      <c r="BW91" s="172">
        <f ca="1">IF(OR($D91&lt;&gt;"Serviço",AND(AUTOEVENTO="Manual",$M91=$A$15),$M91&gt;(ROW(PLE.lastrow)-ROW(PLE.firstrow))),0,
           IF(OFFSET(PLE!$G$15,$M91-$A$15,BW$13)="",10^12,OFFSET(PLE!$G$15,$M91-$A$15,BW$13)))</f>
        <v>1000000000000</v>
      </c>
      <c r="BX91" s="172">
        <f ca="1">IF(OR($D91&lt;&gt;"Serviço",AND(AUTOEVENTO="Manual",$M91=$A$15),$M91&gt;(ROW(PLE.lastrow)-ROW(PLE.firstrow))),0,
           IF(OFFSET(PLE!$G$15,$M91-$A$15,BX$13)="",10^12,OFFSET(PLE!$G$15,$M91-$A$15,BX$13)))</f>
        <v>1000000000000</v>
      </c>
      <c r="BY91" s="172">
        <f ca="1">IF(OR($D91&lt;&gt;"Serviço",AND(AUTOEVENTO="Manual",$M91=$A$15),$M91&gt;(ROW(PLE.lastrow)-ROW(PLE.firstrow))),0,
           IF(OFFSET(PLE!$G$15,$M91-$A$15,BY$13)="",10^12,OFFSET(PLE!$G$15,$M91-$A$15,BY$13)))</f>
        <v>1000000000000</v>
      </c>
      <c r="BZ91" s="172">
        <f ca="1">IF(OR($D91&lt;&gt;"Serviço",AND(AUTOEVENTO="Manual",$M91=$A$15),$M91&gt;(ROW(PLE.lastrow)-ROW(PLE.firstrow))),0,
           IF(OFFSET(PLE!$G$15,$M91-$A$15,BZ$13)="",10^12,OFFSET(PLE!$G$15,$M91-$A$15,BZ$13)))</f>
        <v>1000000000000</v>
      </c>
      <c r="CA91" s="172">
        <f ca="1">IF(OR($D91&lt;&gt;"Serviço",AND(AUTOEVENTO="Manual",$M91=$A$15),$M91&gt;(ROW(PLE.lastrow)-ROW(PLE.firstrow))),0,
           IF(OFFSET(PLE!$G$15,$M91-$A$15,CA$13)="",10^12,OFFSET(PLE!$G$15,$M91-$A$15,CA$13)))</f>
        <v>1000000000000</v>
      </c>
      <c r="CB91" s="172">
        <f ca="1">IF(OR($D91&lt;&gt;"Serviço",AND(AUTOEVENTO="Manual",$M91=$A$15),$M91&gt;(ROW(PLE.lastrow)-ROW(PLE.firstrow))),0,
           IF(OFFSET(PLE!$G$15,$M91-$A$15,CB$13)="",10^12,OFFSET(PLE!$G$15,$M91-$A$15,CB$13)))</f>
        <v>1000000000000</v>
      </c>
      <c r="CC91" s="172">
        <f ca="1">IF(OR($D91&lt;&gt;"Serviço",AND(AUTOEVENTO="Manual",$M91=$A$15),$M91&gt;(ROW(PLE.lastrow)-ROW(PLE.firstrow))),0,
           IF(OFFSET(PLE!$G$15,$M91-$A$15,CC$13)="",10^12,OFFSET(PLE!$G$15,$M91-$A$15,CC$13)))</f>
        <v>1000000000000</v>
      </c>
      <c r="CD91" s="172">
        <f ca="1">IF(OR($D91&lt;&gt;"Serviço",AND(AUTOEVENTO="Manual",$M91=$A$15),$M91&gt;(ROW(PLE.lastrow)-ROW(PLE.firstrow))),0,
           IF(OFFSET(PLE!$G$15,$M91-$A$15,CD$13)="",10^12,OFFSET(PLE!$G$15,$M91-$A$15,CD$13)))</f>
        <v>1000000000000</v>
      </c>
      <c r="CE91" s="172">
        <f ca="1">IF(OR($D91&lt;&gt;"Serviço",AND(AUTOEVENTO="Manual",$M91=$A$15),$M91&gt;(ROW(PLE.lastrow)-ROW(PLE.firstrow))),0,
           IF(OFFSET(PLE!$G$15,$M91-$A$15,CE$13)="",10^12,OFFSET(PLE!$G$15,$M91-$A$15,CE$13)))</f>
        <v>1000000000000</v>
      </c>
      <c r="CF91" s="172">
        <f ca="1">IF(OR($D91&lt;&gt;"Serviço",AND(AUTOEVENTO="Manual",$M91=$A$15),$M91&gt;(ROW(PLE.lastrow)-ROW(PLE.firstrow))),0,
           IF(OFFSET(PLE!$G$15,$M91-$A$15,CF$13)="",10^12,OFFSET(PLE!$G$15,$M91-$A$15,CF$13)))</f>
        <v>1000000000000</v>
      </c>
      <c r="CG91" s="172">
        <f ca="1">IF(OR($D91&lt;&gt;"Serviço",AND(AUTOEVENTO="Manual",$M91=$A$15),$M91&gt;(ROW(PLE.lastrow)-ROW(PLE.firstrow))),0,
           IF(OFFSET(PLE!$G$15,$M91-$A$15,CG$13)="",10^12,OFFSET(PLE!$G$15,$M91-$A$15,CG$13)))</f>
        <v>1000000000000</v>
      </c>
      <c r="CH91" s="172">
        <f ca="1">IF(OR($D91&lt;&gt;"Serviço",AND(AUTOEVENTO="Manual",$M91=$A$15),$M91&gt;(ROW(PLE.lastrow)-ROW(PLE.firstrow))),0,
           IF(OFFSET(PLE!$G$15,$M91-$A$15,CH$13)="",10^12,OFFSET(PLE!$G$15,$M91-$A$15,CH$13)))</f>
        <v>1000000000000</v>
      </c>
      <c r="CI91" s="172">
        <f ca="1">IF(OR($D91&lt;&gt;"Serviço",AND(AUTOEVENTO="Manual",$M91=$A$15),$M91&gt;(ROW(PLE.lastrow)-ROW(PLE.firstrow))),0,
           IF(OFFSET(PLE!$G$15,$M91-$A$15,CI$13)="",10^12,OFFSET(PLE!$G$15,$M91-$A$15,CI$13)))</f>
        <v>1000000000000</v>
      </c>
      <c r="CJ91" s="172">
        <f ca="1">IF(OR($D91&lt;&gt;"Serviço",AND(AUTOEVENTO="Manual",$M91=$A$15),$M91&gt;(ROW(PLE.lastrow)-ROW(PLE.firstrow))),0,
           IF(OFFSET(PLE!$G$15,$M91-$A$15,CJ$13)="",10^12,OFFSET(PLE!$G$15,$M91-$A$15,CJ$13)))</f>
        <v>1000000000000</v>
      </c>
      <c r="CK91" s="172">
        <f ca="1">IF(OR($D91&lt;&gt;"Serviço",AND(AUTOEVENTO="Manual",$M91=$A$15),$M91&gt;(ROW(PLE.lastrow)-ROW(PLE.firstrow))),0,
           IF(OFFSET(PLE!$G$15,$M91-$A$15,CK$13)="",10^12,OFFSET(PLE!$G$15,$M91-$A$15,CK$13)))</f>
        <v>1000000000000</v>
      </c>
      <c r="CL91" s="172">
        <f ca="1">IF(OR($D91&lt;&gt;"Serviço",AND(AUTOEVENTO="Manual",$M91=$A$15),$M91&gt;(ROW(PLE.lastrow)-ROW(PLE.firstrow))),0,
           IF(OFFSET(PLE!$G$15,$M91-$A$15,CL$13)="",10^12,OFFSET(PLE!$G$15,$M91-$A$15,CL$13)))</f>
        <v>1000000000000</v>
      </c>
      <c r="CM91" s="172">
        <f ca="1">IF(OR($D91&lt;&gt;"Serviço",AND(AUTOEVENTO="Manual",$M91=$A$15),$M91&gt;(ROW(PLE.lastrow)-ROW(PLE.firstrow))),0,
           IF(OFFSET(PLE!$G$15,$M91-$A$15,CM$13)="",10^12,OFFSET(PLE!$G$15,$M91-$A$15,CM$13)))</f>
        <v>1000000000000</v>
      </c>
    </row>
    <row r="92" spans="1:91" ht="13.2" x14ac:dyDescent="0.25">
      <c r="A92" s="7" t="str">
        <f t="shared" ca="1" si="11"/>
        <v>73</v>
      </c>
      <c r="B92" s="7" t="str">
        <f ca="1">OFFSET(ORÇAMENTO!C$15,ROW(B92)-ROW(B$15),0)</f>
        <v>S</v>
      </c>
      <c r="C92" s="7" t="str">
        <f ca="1">OFFSET(ORÇAMENTO!L$15,ROW(C92)-ROW(C$15),0)</f>
        <v>F</v>
      </c>
      <c r="D92" s="116" t="str">
        <f ca="1">OFFSET(ORÇAMENTO!N$15,ROW(D92)-ROW(D$15),0)</f>
        <v>Serviço</v>
      </c>
      <c r="E92" s="117" t="str">
        <f ca="1">OFFSET(ORÇAMENTO!O$15,ROW(E92)-ROW(E$15),0)</f>
        <v>2.6.4.</v>
      </c>
      <c r="F92" s="163" t="str">
        <f ca="1">OFFSET(ORÇAMENTO!R$15,ROW(F92)-ROW(F$15),0)</f>
        <v xml:space="preserve">ENSAIO BANDEJA DO LIGANTE DE PINTURA </v>
      </c>
      <c r="G92" s="164" t="str">
        <f ca="1">IF($D92&lt;&gt;"Serviço","",OFFSET(ORÇAMENTO!S$15,ROW(G92)-ROW(G$15),0))</f>
        <v>UN</v>
      </c>
      <c r="H92" s="122" cm="1">
        <f t="array" aca="1" ref="H92" ca="1">IF($D92&lt;&gt;"Serviço",0,IF(ACOMPANHAMENTO="BM",ROUND(OFFSET(ORÇAMENTO!AJ$15,ROW(H92)-ROW(H$15),0),15-13*ORÇAMENTO!$AF$7),SUMPRODUCT(($Q$1:$AI$1=1)*ROUND($Q92:$AI92,15-13*ORÇAMENTO!$AF$7))))</f>
        <v>1</v>
      </c>
      <c r="I92" s="468"/>
      <c r="J92" s="651" t="e" cm="1">
        <f t="array" aca="1" ref="J92" ca="1">IF(OR(B92&lt;&gt;"S",CÁLCULO.FrentesPreenchidas=0),"",IF(AND(ACOMPANHAMENTO="PLE",AUTOEVENTO="Manual",OR(H92&gt;0,ORÇAMENTO!AC92="QUANT."),OR(K92="",M92=0,N92="")),"►E",IF(AND(ACOMPANHAMENTO="PLE",ORÇAMENTO!AC92="QUANT."),"►Q",IF(AND(ACOMPANHAMENTO="PLE",H92&lt;&gt;SUMPRODUCT(($Q$1:$AI$1=1)*ROUND(Q92:AI92,15))),"►S",IF(AND(COUNTIF($P$11:$AI$11,"▼")=0,H92&gt;0,I92=""),"◄M","")))))</f>
        <v>#NAME?</v>
      </c>
      <c r="K92" s="652"/>
      <c r="L92" s="165" t="s">
        <v>764</v>
      </c>
      <c r="M92" s="166">
        <f ca="1">IF($D92&lt;&gt;"Serviço","",
          IF(AUTOEVENTO="manual",$A92,
                IF(ISERROR(MATCH($A92,$A$15:OFFSET($A92,-1,0),0)),MAX($M$15:OFFSET(M92,-1,0))+1,
                      INDEX($M$15:OFFSET(M92,-1,0),MATCH($A92,$A$15:OFFSET($A92,-1,0),0)))))</f>
        <v>13</v>
      </c>
      <c r="N92" s="167" t="str">
        <f ca="1">IF($D92&lt;&gt;"Serviço","",
         IF(AUTOEVENTO="Manual",
                IF($A92=0,"&lt;-- defina o número do agrupador",
                       OFFSET(EVENTOS!$D$15,$A92-$A$15,0)),
                OFFSET($F$15,$A92,0)))</f>
        <v>ENSAIOS</v>
      </c>
      <c r="O92" s="168"/>
      <c r="Q92" s="168"/>
      <c r="R92" s="169"/>
      <c r="S92" s="169"/>
      <c r="T92" s="169">
        <v>1</v>
      </c>
      <c r="U92" s="169"/>
      <c r="V92" s="169"/>
      <c r="W92" s="169"/>
      <c r="X92" s="169"/>
      <c r="Y92" s="169"/>
      <c r="Z92" s="170"/>
      <c r="AA92" s="169"/>
      <c r="AB92" s="169"/>
      <c r="AC92" s="169"/>
      <c r="AD92" s="169"/>
      <c r="AE92" s="169"/>
      <c r="AF92" s="169"/>
      <c r="AG92" s="169"/>
      <c r="AH92" s="170"/>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L92" s="453">
        <f ca="1">IF(AND($D92="Serviço",AL$12&lt;&gt;0,$H92&gt;0,OR(AUTOEVENTO&lt;&gt;"manual",$M92&lt;&gt;$A$15)),
        IF(Import.TipoArredondamento&lt;&gt;"TransfereGOV",
              ROUND(OFFSET($P92,0,AL$13),15-13*ORÇAMENTO!$AF$7)/$H92*OFFSET(ORÇAMENTO!$X$15,ROW(AL92)-ROW(AL$15),0),
              ROUND(ROUND(OFFSET($P92,0,AL$13),15-13*ORÇAMENTO!$AF$7)*OFFSET(ORÇAMENTO!$W$15,ROW(AL92)-ROW(AL$15),0),15-13*ORÇAMENTO!$AF$11)),
         0)</f>
        <v>0</v>
      </c>
      <c r="AM92" s="453">
        <f ca="1">IF(AND($D92="Serviço",AM$12&lt;&gt;0,$H92&gt;0,OR(AUTOEVENTO&lt;&gt;"manual",$M92&lt;&gt;$A$15)),
        IF(Import.TipoArredondamento&lt;&gt;"TransfereGOV",
              ROUND(OFFSET($P92,0,AM$13),15-13*ORÇAMENTO!$AF$7)/$H92*OFFSET(ORÇAMENTO!$X$15,ROW(AM92)-ROW(AM$15),0),
              ROUND(ROUND(OFFSET($P92,0,AM$13),15-13*ORÇAMENTO!$AF$7)*OFFSET(ORÇAMENTO!$W$15,ROW(AM92)-ROW(AM$15),0),15-13*ORÇAMENTO!$AF$11)),
         0)</f>
        <v>212.78</v>
      </c>
      <c r="AN92" s="453">
        <f ca="1">IF(AND($D92="Serviço",AN$12&lt;&gt;0,$H92&gt;0,OR(AUTOEVENTO&lt;&gt;"manual",$M92&lt;&gt;$A$15)),
        IF(Import.TipoArredondamento&lt;&gt;"TransfereGOV",
              ROUND(OFFSET($P92,0,AN$13),15-13*ORÇAMENTO!$AF$7)/$H92*OFFSET(ORÇAMENTO!$X$15,ROW(AN92)-ROW(AN$15),0),
              ROUND(ROUND(OFFSET($P92,0,AN$13),15-13*ORÇAMENTO!$AF$7)*OFFSET(ORÇAMENTO!$W$15,ROW(AN92)-ROW(AN$15),0),15-13*ORÇAMENTO!$AF$11)),
         0)</f>
        <v>0</v>
      </c>
      <c r="AO92" s="453">
        <f ca="1">IF(AND($D92="Serviço",AO$12&lt;&gt;0,$H92&gt;0,OR(AUTOEVENTO&lt;&gt;"manual",$M92&lt;&gt;$A$15)),
        IF(Import.TipoArredondamento&lt;&gt;"TransfereGOV",
              ROUND(OFFSET($P92,0,AO$13),15-13*ORÇAMENTO!$AF$7)/$H92*OFFSET(ORÇAMENTO!$X$15,ROW(AO92)-ROW(AO$15),0),
              ROUND(ROUND(OFFSET($P92,0,AO$13),15-13*ORÇAMENTO!$AF$7)*OFFSET(ORÇAMENTO!$W$15,ROW(AO92)-ROW(AO$15),0),15-13*ORÇAMENTO!$AF$11)),
         0)</f>
        <v>0</v>
      </c>
      <c r="AP92" s="453">
        <f ca="1">IF(AND($D92="Serviço",AP$12&lt;&gt;0,$H92&gt;0,OR(AUTOEVENTO&lt;&gt;"manual",$M92&lt;&gt;$A$15)),
        IF(Import.TipoArredondamento&lt;&gt;"TransfereGOV",
              ROUND(OFFSET($P92,0,AP$13),15-13*ORÇAMENTO!$AF$7)/$H92*OFFSET(ORÇAMENTO!$X$15,ROW(AP92)-ROW(AP$15),0),
              ROUND(ROUND(OFFSET($P92,0,AP$13),15-13*ORÇAMENTO!$AF$7)*OFFSET(ORÇAMENTO!$W$15,ROW(AP92)-ROW(AP$15),0),15-13*ORÇAMENTO!$AF$11)),
         0)</f>
        <v>0</v>
      </c>
      <c r="AQ92" s="453">
        <f ca="1">IF(AND($D92="Serviço",AQ$12&lt;&gt;0,$H92&gt;0,OR(AUTOEVENTO&lt;&gt;"manual",$M92&lt;&gt;$A$15)),
        IF(Import.TipoArredondamento&lt;&gt;"TransfereGOV",
              ROUND(OFFSET($P92,0,AQ$13),15-13*ORÇAMENTO!$AF$7)/$H92*OFFSET(ORÇAMENTO!$X$15,ROW(AQ92)-ROW(AQ$15),0),
              ROUND(ROUND(OFFSET($P92,0,AQ$13),15-13*ORÇAMENTO!$AF$7)*OFFSET(ORÇAMENTO!$W$15,ROW(AQ92)-ROW(AQ$15),0),15-13*ORÇAMENTO!$AF$11)),
         0)</f>
        <v>0</v>
      </c>
      <c r="AR92" s="453">
        <f ca="1">IF(AND($D92="Serviço",AR$12&lt;&gt;0,$H92&gt;0,OR(AUTOEVENTO&lt;&gt;"manual",$M92&lt;&gt;$A$15)),
        IF(Import.TipoArredondamento&lt;&gt;"TransfereGOV",
              ROUND(OFFSET($P92,0,AR$13),15-13*ORÇAMENTO!$AF$7)/$H92*OFFSET(ORÇAMENTO!$X$15,ROW(AR92)-ROW(AR$15),0),
              ROUND(ROUND(OFFSET($P92,0,AR$13),15-13*ORÇAMENTO!$AF$7)*OFFSET(ORÇAMENTO!$W$15,ROW(AR92)-ROW(AR$15),0),15-13*ORÇAMENTO!$AF$11)),
         0)</f>
        <v>0</v>
      </c>
      <c r="AS92" s="453">
        <f ca="1">IF(AND($D92="Serviço",AS$12&lt;&gt;0,$H92&gt;0,OR(AUTOEVENTO&lt;&gt;"manual",$M92&lt;&gt;$A$15)),
        IF(Import.TipoArredondamento&lt;&gt;"TransfereGOV",
              ROUND(OFFSET($P92,0,AS$13),15-13*ORÇAMENTO!$AF$7)/$H92*OFFSET(ORÇAMENTO!$X$15,ROW(AS92)-ROW(AS$15),0),
              ROUND(ROUND(OFFSET($P92,0,AS$13),15-13*ORÇAMENTO!$AF$7)*OFFSET(ORÇAMENTO!$W$15,ROW(AS92)-ROW(AS$15),0),15-13*ORÇAMENTO!$AF$11)),
         0)</f>
        <v>0</v>
      </c>
      <c r="AT92" s="453">
        <f ca="1">IF(AND($D92="Serviço",AT$12&lt;&gt;0,$H92&gt;0,OR(AUTOEVENTO&lt;&gt;"manual",$M92&lt;&gt;$A$15)),
        IF(Import.TipoArredondamento&lt;&gt;"TransfereGOV",
              ROUND(OFFSET($P92,0,AT$13),15-13*ORÇAMENTO!$AF$7)/$H92*OFFSET(ORÇAMENTO!$X$15,ROW(AT92)-ROW(AT$15),0),
              ROUND(ROUND(OFFSET($P92,0,AT$13),15-13*ORÇAMENTO!$AF$7)*OFFSET(ORÇAMENTO!$W$15,ROW(AT92)-ROW(AT$15),0),15-13*ORÇAMENTO!$AF$11)),
         0)</f>
        <v>0</v>
      </c>
      <c r="AU92" s="453">
        <f ca="1">IF(AND($D92="Serviço",AU$12&lt;&gt;0,$H92&gt;0,OR(AUTOEVENTO&lt;&gt;"manual",$M92&lt;&gt;$A$15)),
        IF(Import.TipoArredondamento&lt;&gt;"TransfereGOV",
              ROUND(OFFSET($P92,0,AU$13),15-13*ORÇAMENTO!$AF$7)/$H92*OFFSET(ORÇAMENTO!$X$15,ROW(AU92)-ROW(AU$15),0),
              ROUND(ROUND(OFFSET($P92,0,AU$13),15-13*ORÇAMENTO!$AF$7)*OFFSET(ORÇAMENTO!$W$15,ROW(AU92)-ROW(AU$15),0),15-13*ORÇAMENTO!$AF$11)),
         0)</f>
        <v>0</v>
      </c>
      <c r="AV92" s="453">
        <f ca="1">IF(AND($D92="Serviço",AV$12&lt;&gt;0,$H92&gt;0,OR(AUTOEVENTO&lt;&gt;"manual",$M92&lt;&gt;$A$15)),
        IF(Import.TipoArredondamento&lt;&gt;"TransfereGOV",
              ROUND(OFFSET($P92,0,AV$13),15-13*ORÇAMENTO!$AF$7)/$H92*OFFSET(ORÇAMENTO!$X$15,ROW(AV92)-ROW(AV$15),0),
              ROUND(ROUND(OFFSET($P92,0,AV$13),15-13*ORÇAMENTO!$AF$7)*OFFSET(ORÇAMENTO!$W$15,ROW(AV92)-ROW(AV$15),0),15-13*ORÇAMENTO!$AF$11)),
         0)</f>
        <v>0</v>
      </c>
      <c r="AW92" s="453">
        <f ca="1">IF(AND($D92="Serviço",AW$12&lt;&gt;0,$H92&gt;0,OR(AUTOEVENTO&lt;&gt;"manual",$M92&lt;&gt;$A$15)),
        IF(Import.TipoArredondamento&lt;&gt;"TransfereGOV",
              ROUND(OFFSET($P92,0,AW$13),15-13*ORÇAMENTO!$AF$7)/$H92*OFFSET(ORÇAMENTO!$X$15,ROW(AW92)-ROW(AW$15),0),
              ROUND(ROUND(OFFSET($P92,0,AW$13),15-13*ORÇAMENTO!$AF$7)*OFFSET(ORÇAMENTO!$W$15,ROW(AW92)-ROW(AW$15),0),15-13*ORÇAMENTO!$AF$11)),
         0)</f>
        <v>0</v>
      </c>
      <c r="AX92" s="453">
        <f ca="1">IF(AND($D92="Serviço",AX$12&lt;&gt;0,$H92&gt;0,OR(AUTOEVENTO&lt;&gt;"manual",$M92&lt;&gt;$A$15)),
        IF(Import.TipoArredondamento&lt;&gt;"TransfereGOV",
              ROUND(OFFSET($P92,0,AX$13),15-13*ORÇAMENTO!$AF$7)/$H92*OFFSET(ORÇAMENTO!$X$15,ROW(AX92)-ROW(AX$15),0),
              ROUND(ROUND(OFFSET($P92,0,AX$13),15-13*ORÇAMENTO!$AF$7)*OFFSET(ORÇAMENTO!$W$15,ROW(AX92)-ROW(AX$15),0),15-13*ORÇAMENTO!$AF$11)),
         0)</f>
        <v>0</v>
      </c>
      <c r="AY92" s="453">
        <f ca="1">IF(AND($D92="Serviço",AY$12&lt;&gt;0,$H92&gt;0,OR(AUTOEVENTO&lt;&gt;"manual",$M92&lt;&gt;$A$15)),
        IF(Import.TipoArredondamento&lt;&gt;"TransfereGOV",
              ROUND(OFFSET($P92,0,AY$13),15-13*ORÇAMENTO!$AF$7)/$H92*OFFSET(ORÇAMENTO!$X$15,ROW(AY92)-ROW(AY$15),0),
              ROUND(ROUND(OFFSET($P92,0,AY$13),15-13*ORÇAMENTO!$AF$7)*OFFSET(ORÇAMENTO!$W$15,ROW(AY92)-ROW(AY$15),0),15-13*ORÇAMENTO!$AF$11)),
         0)</f>
        <v>0</v>
      </c>
      <c r="AZ92" s="453">
        <f ca="1">IF(AND($D92="Serviço",AZ$12&lt;&gt;0,$H92&gt;0,OR(AUTOEVENTO&lt;&gt;"manual",$M92&lt;&gt;$A$15)),
        IF(Import.TipoArredondamento&lt;&gt;"TransfereGOV",
              ROUND(OFFSET($P92,0,AZ$13),15-13*ORÇAMENTO!$AF$7)/$H92*OFFSET(ORÇAMENTO!$X$15,ROW(AZ92)-ROW(AZ$15),0),
              ROUND(ROUND(OFFSET($P92,0,AZ$13),15-13*ORÇAMENTO!$AF$7)*OFFSET(ORÇAMENTO!$W$15,ROW(AZ92)-ROW(AZ$15),0),15-13*ORÇAMENTO!$AF$11)),
         0)</f>
        <v>0</v>
      </c>
      <c r="BA92" s="453">
        <f ca="1">IF(AND($D92="Serviço",BA$12&lt;&gt;0,$H92&gt;0,OR(AUTOEVENTO&lt;&gt;"manual",$M92&lt;&gt;$A$15)),
        IF(Import.TipoArredondamento&lt;&gt;"TransfereGOV",
              ROUND(OFFSET($P92,0,BA$13),15-13*ORÇAMENTO!$AF$7)/$H92*OFFSET(ORÇAMENTO!$X$15,ROW(BA92)-ROW(BA$15),0),
              ROUND(ROUND(OFFSET($P92,0,BA$13),15-13*ORÇAMENTO!$AF$7)*OFFSET(ORÇAMENTO!$W$15,ROW(BA92)-ROW(BA$15),0),15-13*ORÇAMENTO!$AF$11)),
         0)</f>
        <v>0</v>
      </c>
      <c r="BC92" s="171">
        <f ca="1">IF(OR($D92&lt;&gt;"Serviço",AND(AUTOEVENTO="Manual",$M92=$A$15)),0,
         IF(OFFSET(CRONOPLE!$F$15,$M92-$A$15,BC$13)=0,10^12,OFFSET(CRONOPLE!$F$15,$M92-$A$15,BC$13)))</f>
        <v>1000000000000</v>
      </c>
      <c r="BD92" s="171">
        <f ca="1">IF(OR($D92&lt;&gt;"Serviço",AND(AUTOEVENTO="Manual",$M92=$A$15)),0,
         IF(OFFSET(CRONOPLE!$F$15,$M92-$A$15,BD$13)=0,10^12,OFFSET(CRONOPLE!$F$15,$M92-$A$15,BD$13)))</f>
        <v>1000000000000</v>
      </c>
      <c r="BE92" s="171">
        <f ca="1">IF(OR($D92&lt;&gt;"Serviço",AND(AUTOEVENTO="Manual",$M92=$A$15)),0,
         IF(OFFSET(CRONOPLE!$F$15,$M92-$A$15,BE$13)=0,10^12,OFFSET(CRONOPLE!$F$15,$M92-$A$15,BE$13)))</f>
        <v>1000000000000</v>
      </c>
      <c r="BF92" s="171">
        <f ca="1">IF(OR($D92&lt;&gt;"Serviço",AND(AUTOEVENTO="Manual",$M92=$A$15)),0,
         IF(OFFSET(CRONOPLE!$F$15,$M92-$A$15,BF$13)=0,10^12,OFFSET(CRONOPLE!$F$15,$M92-$A$15,BF$13)))</f>
        <v>1</v>
      </c>
      <c r="BG92" s="171">
        <f ca="1">IF(OR($D92&lt;&gt;"Serviço",AND(AUTOEVENTO="Manual",$M92=$A$15)),0,
         IF(OFFSET(CRONOPLE!$F$15,$M92-$A$15,BG$13)=0,10^12,OFFSET(CRONOPLE!$F$15,$M92-$A$15,BG$13)))</f>
        <v>1000000000000</v>
      </c>
      <c r="BH92" s="171">
        <f ca="1">IF(OR($D92&lt;&gt;"Serviço",AND(AUTOEVENTO="Manual",$M92=$A$15)),0,
         IF(OFFSET(CRONOPLE!$F$15,$M92-$A$15,BH$13)=0,10^12,OFFSET(CRONOPLE!$F$15,$M92-$A$15,BH$13)))</f>
        <v>1000000000000</v>
      </c>
      <c r="BI92" s="171">
        <f ca="1">IF(OR($D92&lt;&gt;"Serviço",AND(AUTOEVENTO="Manual",$M92=$A$15)),0,
         IF(OFFSET(CRONOPLE!$F$15,$M92-$A$15,BI$13)=0,10^12,OFFSET(CRONOPLE!$F$15,$M92-$A$15,BI$13)))</f>
        <v>1000000000000</v>
      </c>
      <c r="BJ92" s="171">
        <f ca="1">IF(OR($D92&lt;&gt;"Serviço",AND(AUTOEVENTO="Manual",$M92=$A$15)),0,
         IF(OFFSET(CRONOPLE!$F$15,$M92-$A$15,BJ$13)=0,10^12,OFFSET(CRONOPLE!$F$15,$M92-$A$15,BJ$13)))</f>
        <v>1000000000000</v>
      </c>
      <c r="BK92" s="171">
        <f ca="1">IF(OR($D92&lt;&gt;"Serviço",AND(AUTOEVENTO="Manual",$M92=$A$15)),0,
         IF(OFFSET(CRONOPLE!$F$15,$M92-$A$15,BK$13)=0,10^12,OFFSET(CRONOPLE!$F$15,$M92-$A$15,BK$13)))</f>
        <v>1000000000000</v>
      </c>
      <c r="BL92" s="171">
        <f ca="1">IF(OR($D92&lt;&gt;"Serviço",AND(AUTOEVENTO="Manual",$M92=$A$15)),0,
         IF(OFFSET(CRONOPLE!$F$15,$M92-$A$15,BL$13)=0,10^12,OFFSET(CRONOPLE!$F$15,$M92-$A$15,BL$13)))</f>
        <v>1000000000000</v>
      </c>
      <c r="BM92" s="171">
        <f ca="1">IF(OR($D92&lt;&gt;"Serviço",AND(AUTOEVENTO="Manual",$M92=$A$15)),0,
         IF(OFFSET(CRONOPLE!$F$15,$M92-$A$15,BM$13)=0,10^12,OFFSET(CRONOPLE!$F$15,$M92-$A$15,BM$13)))</f>
        <v>1000000000000</v>
      </c>
      <c r="BN92" s="171">
        <f ca="1">IF(OR($D92&lt;&gt;"Serviço",AND(AUTOEVENTO="Manual",$M92=$A$15)),0,
         IF(OFFSET(CRONOPLE!$F$15,$M92-$A$15,BN$13)=0,10^12,OFFSET(CRONOPLE!$F$15,$M92-$A$15,BN$13)))</f>
        <v>1000000000000</v>
      </c>
      <c r="BO92" s="171">
        <f ca="1">IF(OR($D92&lt;&gt;"Serviço",AND(AUTOEVENTO="Manual",$M92=$A$15)),0,
         IF(OFFSET(CRONOPLE!$F$15,$M92-$A$15,BO$13)=0,10^12,OFFSET(CRONOPLE!$F$15,$M92-$A$15,BO$13)))</f>
        <v>1000000000000</v>
      </c>
      <c r="BP92" s="171">
        <f ca="1">IF(OR($D92&lt;&gt;"Serviço",AND(AUTOEVENTO="Manual",$M92=$A$15)),0,
         IF(OFFSET(CRONOPLE!$F$15,$M92-$A$15,BP$13)=0,10^12,OFFSET(CRONOPLE!$F$15,$M92-$A$15,BP$13)))</f>
        <v>1000000000000</v>
      </c>
      <c r="BQ92" s="171">
        <f ca="1">IF(OR($D92&lt;&gt;"Serviço",AND(AUTOEVENTO="Manual",$M92=$A$15)),0,
         IF(OFFSET(CRONOPLE!$F$15,$M92-$A$15,BQ$13)=0,10^12,OFFSET(CRONOPLE!$F$15,$M92-$A$15,BQ$13)))</f>
        <v>1000000000000</v>
      </c>
      <c r="BR92" s="171">
        <f ca="1">IF(OR($D92&lt;&gt;"Serviço",AND(AUTOEVENTO="Manual",$M92=$A$15)),0,
         IF(OFFSET(CRONOPLE!$F$15,$M92-$A$15,BR$13)=0,10^12,OFFSET(CRONOPLE!$F$15,$M92-$A$15,BR$13)))</f>
        <v>1000000000000</v>
      </c>
      <c r="BS92" s="171">
        <f ca="1">IF(OR($D92&lt;&gt;"Serviço",AND(AUTOEVENTO="Manual",$M92=$A$15)),0,
         IF(OFFSET(CRONOPLE!$F$15,$M92-$A$15,BS$13)=0,10^12,OFFSET(CRONOPLE!$F$15,$M92-$A$15,BS$13)))</f>
        <v>1000000000000</v>
      </c>
      <c r="BT92" s="171">
        <f ca="1">IF(OR($D92&lt;&gt;"Serviço",AND(AUTOEVENTO="Manual",$M92=$A$15)),0,
         IF(OFFSET(CRONOPLE!$F$15,$M92-$A$15,BT$13)=0,10^12,OFFSET(CRONOPLE!$F$15,$M92-$A$15,BT$13)))</f>
        <v>1000000000000</v>
      </c>
      <c r="BV92" s="172">
        <f ca="1">IF(OR($D92&lt;&gt;"Serviço",AND(AUTOEVENTO="Manual",$M92=$A$15),$M92&gt;(ROW(PLE.lastrow)-ROW(PLE.firstrow))),0,
           IF(OFFSET(PLE!$G$15,$M92-$A$15,BV$13)="",10^12,OFFSET(PLE!$G$15,$M92-$A$15,BV$13)))</f>
        <v>1000000000000</v>
      </c>
      <c r="BW92" s="172">
        <f ca="1">IF(OR($D92&lt;&gt;"Serviço",AND(AUTOEVENTO="Manual",$M92=$A$15),$M92&gt;(ROW(PLE.lastrow)-ROW(PLE.firstrow))),0,
           IF(OFFSET(PLE!$G$15,$M92-$A$15,BW$13)="",10^12,OFFSET(PLE!$G$15,$M92-$A$15,BW$13)))</f>
        <v>1000000000000</v>
      </c>
      <c r="BX92" s="172">
        <f ca="1">IF(OR($D92&lt;&gt;"Serviço",AND(AUTOEVENTO="Manual",$M92=$A$15),$M92&gt;(ROW(PLE.lastrow)-ROW(PLE.firstrow))),0,
           IF(OFFSET(PLE!$G$15,$M92-$A$15,BX$13)="",10^12,OFFSET(PLE!$G$15,$M92-$A$15,BX$13)))</f>
        <v>1000000000000</v>
      </c>
      <c r="BY92" s="172">
        <f ca="1">IF(OR($D92&lt;&gt;"Serviço",AND(AUTOEVENTO="Manual",$M92=$A$15),$M92&gt;(ROW(PLE.lastrow)-ROW(PLE.firstrow))),0,
           IF(OFFSET(PLE!$G$15,$M92-$A$15,BY$13)="",10^12,OFFSET(PLE!$G$15,$M92-$A$15,BY$13)))</f>
        <v>1000000000000</v>
      </c>
      <c r="BZ92" s="172">
        <f ca="1">IF(OR($D92&lt;&gt;"Serviço",AND(AUTOEVENTO="Manual",$M92=$A$15),$M92&gt;(ROW(PLE.lastrow)-ROW(PLE.firstrow))),0,
           IF(OFFSET(PLE!$G$15,$M92-$A$15,BZ$13)="",10^12,OFFSET(PLE!$G$15,$M92-$A$15,BZ$13)))</f>
        <v>1000000000000</v>
      </c>
      <c r="CA92" s="172">
        <f ca="1">IF(OR($D92&lt;&gt;"Serviço",AND(AUTOEVENTO="Manual",$M92=$A$15),$M92&gt;(ROW(PLE.lastrow)-ROW(PLE.firstrow))),0,
           IF(OFFSET(PLE!$G$15,$M92-$A$15,CA$13)="",10^12,OFFSET(PLE!$G$15,$M92-$A$15,CA$13)))</f>
        <v>1000000000000</v>
      </c>
      <c r="CB92" s="172">
        <f ca="1">IF(OR($D92&lt;&gt;"Serviço",AND(AUTOEVENTO="Manual",$M92=$A$15),$M92&gt;(ROW(PLE.lastrow)-ROW(PLE.firstrow))),0,
           IF(OFFSET(PLE!$G$15,$M92-$A$15,CB$13)="",10^12,OFFSET(PLE!$G$15,$M92-$A$15,CB$13)))</f>
        <v>1000000000000</v>
      </c>
      <c r="CC92" s="172">
        <f ca="1">IF(OR($D92&lt;&gt;"Serviço",AND(AUTOEVENTO="Manual",$M92=$A$15),$M92&gt;(ROW(PLE.lastrow)-ROW(PLE.firstrow))),0,
           IF(OFFSET(PLE!$G$15,$M92-$A$15,CC$13)="",10^12,OFFSET(PLE!$G$15,$M92-$A$15,CC$13)))</f>
        <v>1000000000000</v>
      </c>
      <c r="CD92" s="172">
        <f ca="1">IF(OR($D92&lt;&gt;"Serviço",AND(AUTOEVENTO="Manual",$M92=$A$15),$M92&gt;(ROW(PLE.lastrow)-ROW(PLE.firstrow))),0,
           IF(OFFSET(PLE!$G$15,$M92-$A$15,CD$13)="",10^12,OFFSET(PLE!$G$15,$M92-$A$15,CD$13)))</f>
        <v>1000000000000</v>
      </c>
      <c r="CE92" s="172">
        <f ca="1">IF(OR($D92&lt;&gt;"Serviço",AND(AUTOEVENTO="Manual",$M92=$A$15),$M92&gt;(ROW(PLE.lastrow)-ROW(PLE.firstrow))),0,
           IF(OFFSET(PLE!$G$15,$M92-$A$15,CE$13)="",10^12,OFFSET(PLE!$G$15,$M92-$A$15,CE$13)))</f>
        <v>1000000000000</v>
      </c>
      <c r="CF92" s="172">
        <f ca="1">IF(OR($D92&lt;&gt;"Serviço",AND(AUTOEVENTO="Manual",$M92=$A$15),$M92&gt;(ROW(PLE.lastrow)-ROW(PLE.firstrow))),0,
           IF(OFFSET(PLE!$G$15,$M92-$A$15,CF$13)="",10^12,OFFSET(PLE!$G$15,$M92-$A$15,CF$13)))</f>
        <v>1000000000000</v>
      </c>
      <c r="CG92" s="172">
        <f ca="1">IF(OR($D92&lt;&gt;"Serviço",AND(AUTOEVENTO="Manual",$M92=$A$15),$M92&gt;(ROW(PLE.lastrow)-ROW(PLE.firstrow))),0,
           IF(OFFSET(PLE!$G$15,$M92-$A$15,CG$13)="",10^12,OFFSET(PLE!$G$15,$M92-$A$15,CG$13)))</f>
        <v>1000000000000</v>
      </c>
      <c r="CH92" s="172">
        <f ca="1">IF(OR($D92&lt;&gt;"Serviço",AND(AUTOEVENTO="Manual",$M92=$A$15),$M92&gt;(ROW(PLE.lastrow)-ROW(PLE.firstrow))),0,
           IF(OFFSET(PLE!$G$15,$M92-$A$15,CH$13)="",10^12,OFFSET(PLE!$G$15,$M92-$A$15,CH$13)))</f>
        <v>1000000000000</v>
      </c>
      <c r="CI92" s="172">
        <f ca="1">IF(OR($D92&lt;&gt;"Serviço",AND(AUTOEVENTO="Manual",$M92=$A$15),$M92&gt;(ROW(PLE.lastrow)-ROW(PLE.firstrow))),0,
           IF(OFFSET(PLE!$G$15,$M92-$A$15,CI$13)="",10^12,OFFSET(PLE!$G$15,$M92-$A$15,CI$13)))</f>
        <v>1000000000000</v>
      </c>
      <c r="CJ92" s="172">
        <f ca="1">IF(OR($D92&lt;&gt;"Serviço",AND(AUTOEVENTO="Manual",$M92=$A$15),$M92&gt;(ROW(PLE.lastrow)-ROW(PLE.firstrow))),0,
           IF(OFFSET(PLE!$G$15,$M92-$A$15,CJ$13)="",10^12,OFFSET(PLE!$G$15,$M92-$A$15,CJ$13)))</f>
        <v>1000000000000</v>
      </c>
      <c r="CK92" s="172">
        <f ca="1">IF(OR($D92&lt;&gt;"Serviço",AND(AUTOEVENTO="Manual",$M92=$A$15),$M92&gt;(ROW(PLE.lastrow)-ROW(PLE.firstrow))),0,
           IF(OFFSET(PLE!$G$15,$M92-$A$15,CK$13)="",10^12,OFFSET(PLE!$G$15,$M92-$A$15,CK$13)))</f>
        <v>1000000000000</v>
      </c>
      <c r="CL92" s="172">
        <f ca="1">IF(OR($D92&lt;&gt;"Serviço",AND(AUTOEVENTO="Manual",$M92=$A$15),$M92&gt;(ROW(PLE.lastrow)-ROW(PLE.firstrow))),0,
           IF(OFFSET(PLE!$G$15,$M92-$A$15,CL$13)="",10^12,OFFSET(PLE!$G$15,$M92-$A$15,CL$13)))</f>
        <v>1000000000000</v>
      </c>
      <c r="CM92" s="172">
        <f ca="1">IF(OR($D92&lt;&gt;"Serviço",AND(AUTOEVENTO="Manual",$M92=$A$15),$M92&gt;(ROW(PLE.lastrow)-ROW(PLE.firstrow))),0,
           IF(OFFSET(PLE!$G$15,$M92-$A$15,CM$13)="",10^12,OFFSET(PLE!$G$15,$M92-$A$15,CM$13)))</f>
        <v>1000000000000</v>
      </c>
    </row>
    <row r="93" spans="1:91" ht="13.2" x14ac:dyDescent="0.25">
      <c r="A93" s="7" t="str">
        <f t="shared" ca="1" si="11"/>
        <v>78.</v>
      </c>
      <c r="B93" s="7">
        <f ca="1">OFFSET(ORÇAMENTO!C$15,ROW(B93)-ROW(B$15),0)</f>
        <v>1</v>
      </c>
      <c r="C93" s="7" t="str">
        <f ca="1">OFFSET(ORÇAMENTO!L$15,ROW(C93)-ROW(C$15),0)</f>
        <v>F</v>
      </c>
      <c r="D93" s="116" t="str">
        <f ca="1">OFFSET(ORÇAMENTO!N$15,ROW(D93)-ROW(D$15),0)</f>
        <v>Meta</v>
      </c>
      <c r="E93" s="117" t="str">
        <f ca="1">OFFSET(ORÇAMENTO!O$15,ROW(E93)-ROW(E$15),0)</f>
        <v>3.</v>
      </c>
      <c r="F93" s="163" t="str">
        <f ca="1">OFFSET(ORÇAMENTO!R$15,ROW(F93)-ROW(F$15),0)</f>
        <v>IMPLANTAÇÃO DE PAVIMENTAÇÃO RUA 27 DE JUNHO (Trecho 4)</v>
      </c>
      <c r="G93" s="164" t="str">
        <f ca="1">IF($D93&lt;&gt;"Serviço","",OFFSET(ORÇAMENTO!S$15,ROW(G93)-ROW(G$15),0))</f>
        <v/>
      </c>
      <c r="H93" s="122" cm="1">
        <f t="array" aca="1" ref="H93" ca="1">IF($D93&lt;&gt;"Serviço",0,IF(ACOMPANHAMENTO="BM",ROUND(OFFSET(ORÇAMENTO!AJ$15,ROW(H93)-ROW(H$15),0),15-13*ORÇAMENTO!$AF$7),SUMPRODUCT(($Q$1:$AI$1=1)*ROUND($Q93:$AI93,15-13*ORÇAMENTO!$AF$7))))</f>
        <v>0</v>
      </c>
      <c r="I93" s="468"/>
      <c r="J93" s="651" t="str" cm="1">
        <f t="array" aca="1" ref="J93" ca="1">IF(OR(B93&lt;&gt;"S",CÁLCULO.FrentesPreenchidas=0),"",IF(AND(ACOMPANHAMENTO="PLE",AUTOEVENTO="Manual",OR(H93&gt;0,ORÇAMENTO!AC93="QUANT."),OR(K93="",M93=0,N93="")),"►E",IF(AND(ACOMPANHAMENTO="PLE",ORÇAMENTO!AC93="QUANT."),"►Q",IF(AND(ACOMPANHAMENTO="PLE",H93&lt;&gt;SUMPRODUCT(($Q$1:$AI$1=1)*ROUND(Q93:AI93,15))),"►S",IF(AND(COUNTIF($P$11:$AI$11,"▼")=0,H93&gt;0,I93=""),"◄M","")))))</f>
        <v/>
      </c>
      <c r="K93" s="652"/>
      <c r="L93" s="165" t="s">
        <v>764</v>
      </c>
      <c r="M93" s="166" t="str">
        <f ca="1">IF($D93&lt;&gt;"Serviço","",
          IF(AUTOEVENTO="manual",$A93,
                IF(ISERROR(MATCH($A93,$A$15:OFFSET($A93,-1,0),0)),MAX($M$15:OFFSET(M93,-1,0))+1,
                      INDEX($M$15:OFFSET(M93,-1,0),MATCH($A93,$A$15:OFFSET($A93,-1,0),0)))))</f>
        <v/>
      </c>
      <c r="N93" s="167" t="str">
        <f ca="1">IF($D93&lt;&gt;"Serviço","",
         IF(AUTOEVENTO="Manual",
                IF($A93=0,"&lt;-- defina o número do agrupador",
                       OFFSET(EVENTOS!$D$15,$A93-$A$15,0)),
                OFFSET($F$15,$A93,0)))</f>
        <v/>
      </c>
      <c r="O93" s="168"/>
      <c r="Q93" s="168"/>
      <c r="R93" s="169"/>
      <c r="S93" s="169"/>
      <c r="T93" s="169"/>
      <c r="U93" s="169"/>
      <c r="V93" s="169"/>
      <c r="W93" s="169"/>
      <c r="X93" s="169"/>
      <c r="Y93" s="169"/>
      <c r="Z93" s="170"/>
      <c r="AA93" s="169"/>
      <c r="AB93" s="169"/>
      <c r="AC93" s="169"/>
      <c r="AD93" s="169"/>
      <c r="AE93" s="169"/>
      <c r="AF93" s="169"/>
      <c r="AG93" s="169"/>
      <c r="AH93" s="170"/>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L93" s="453">
        <f ca="1">IF(AND($D93="Serviço",AL$12&lt;&gt;0,$H93&gt;0,OR(AUTOEVENTO&lt;&gt;"manual",$M93&lt;&gt;$A$15)),
        IF(Import.TipoArredondamento&lt;&gt;"TransfereGOV",
              ROUND(OFFSET($P93,0,AL$13),15-13*ORÇAMENTO!$AF$7)/$H93*OFFSET(ORÇAMENTO!$X$15,ROW(AL93)-ROW(AL$15),0),
              ROUND(ROUND(OFFSET($P93,0,AL$13),15-13*ORÇAMENTO!$AF$7)*OFFSET(ORÇAMENTO!$W$15,ROW(AL93)-ROW(AL$15),0),15-13*ORÇAMENTO!$AF$11)),
         0)</f>
        <v>0</v>
      </c>
      <c r="AM93" s="453">
        <f ca="1">IF(AND($D93="Serviço",AM$12&lt;&gt;0,$H93&gt;0,OR(AUTOEVENTO&lt;&gt;"manual",$M93&lt;&gt;$A$15)),
        IF(Import.TipoArredondamento&lt;&gt;"TransfereGOV",
              ROUND(OFFSET($P93,0,AM$13),15-13*ORÇAMENTO!$AF$7)/$H93*OFFSET(ORÇAMENTO!$X$15,ROW(AM93)-ROW(AM$15),0),
              ROUND(ROUND(OFFSET($P93,0,AM$13),15-13*ORÇAMENTO!$AF$7)*OFFSET(ORÇAMENTO!$W$15,ROW(AM93)-ROW(AM$15),0),15-13*ORÇAMENTO!$AF$11)),
         0)</f>
        <v>0</v>
      </c>
      <c r="AN93" s="453">
        <f ca="1">IF(AND($D93="Serviço",AN$12&lt;&gt;0,$H93&gt;0,OR(AUTOEVENTO&lt;&gt;"manual",$M93&lt;&gt;$A$15)),
        IF(Import.TipoArredondamento&lt;&gt;"TransfereGOV",
              ROUND(OFFSET($P93,0,AN$13),15-13*ORÇAMENTO!$AF$7)/$H93*OFFSET(ORÇAMENTO!$X$15,ROW(AN93)-ROW(AN$15),0),
              ROUND(ROUND(OFFSET($P93,0,AN$13),15-13*ORÇAMENTO!$AF$7)*OFFSET(ORÇAMENTO!$W$15,ROW(AN93)-ROW(AN$15),0),15-13*ORÇAMENTO!$AF$11)),
         0)</f>
        <v>0</v>
      </c>
      <c r="AO93" s="453">
        <f ca="1">IF(AND($D93="Serviço",AO$12&lt;&gt;0,$H93&gt;0,OR(AUTOEVENTO&lt;&gt;"manual",$M93&lt;&gt;$A$15)),
        IF(Import.TipoArredondamento&lt;&gt;"TransfereGOV",
              ROUND(OFFSET($P93,0,AO$13),15-13*ORÇAMENTO!$AF$7)/$H93*OFFSET(ORÇAMENTO!$X$15,ROW(AO93)-ROW(AO$15),0),
              ROUND(ROUND(OFFSET($P93,0,AO$13),15-13*ORÇAMENTO!$AF$7)*OFFSET(ORÇAMENTO!$W$15,ROW(AO93)-ROW(AO$15),0),15-13*ORÇAMENTO!$AF$11)),
         0)</f>
        <v>0</v>
      </c>
      <c r="AP93" s="453">
        <f ca="1">IF(AND($D93="Serviço",AP$12&lt;&gt;0,$H93&gt;0,OR(AUTOEVENTO&lt;&gt;"manual",$M93&lt;&gt;$A$15)),
        IF(Import.TipoArredondamento&lt;&gt;"TransfereGOV",
              ROUND(OFFSET($P93,0,AP$13),15-13*ORÇAMENTO!$AF$7)/$H93*OFFSET(ORÇAMENTO!$X$15,ROW(AP93)-ROW(AP$15),0),
              ROUND(ROUND(OFFSET($P93,0,AP$13),15-13*ORÇAMENTO!$AF$7)*OFFSET(ORÇAMENTO!$W$15,ROW(AP93)-ROW(AP$15),0),15-13*ORÇAMENTO!$AF$11)),
         0)</f>
        <v>0</v>
      </c>
      <c r="AQ93" s="453">
        <f ca="1">IF(AND($D93="Serviço",AQ$12&lt;&gt;0,$H93&gt;0,OR(AUTOEVENTO&lt;&gt;"manual",$M93&lt;&gt;$A$15)),
        IF(Import.TipoArredondamento&lt;&gt;"TransfereGOV",
              ROUND(OFFSET($P93,0,AQ$13),15-13*ORÇAMENTO!$AF$7)/$H93*OFFSET(ORÇAMENTO!$X$15,ROW(AQ93)-ROW(AQ$15),0),
              ROUND(ROUND(OFFSET($P93,0,AQ$13),15-13*ORÇAMENTO!$AF$7)*OFFSET(ORÇAMENTO!$W$15,ROW(AQ93)-ROW(AQ$15),0),15-13*ORÇAMENTO!$AF$11)),
         0)</f>
        <v>0</v>
      </c>
      <c r="AR93" s="453">
        <f ca="1">IF(AND($D93="Serviço",AR$12&lt;&gt;0,$H93&gt;0,OR(AUTOEVENTO&lt;&gt;"manual",$M93&lt;&gt;$A$15)),
        IF(Import.TipoArredondamento&lt;&gt;"TransfereGOV",
              ROUND(OFFSET($P93,0,AR$13),15-13*ORÇAMENTO!$AF$7)/$H93*OFFSET(ORÇAMENTO!$X$15,ROW(AR93)-ROW(AR$15),0),
              ROUND(ROUND(OFFSET($P93,0,AR$13),15-13*ORÇAMENTO!$AF$7)*OFFSET(ORÇAMENTO!$W$15,ROW(AR93)-ROW(AR$15),0),15-13*ORÇAMENTO!$AF$11)),
         0)</f>
        <v>0</v>
      </c>
      <c r="AS93" s="453">
        <f ca="1">IF(AND($D93="Serviço",AS$12&lt;&gt;0,$H93&gt;0,OR(AUTOEVENTO&lt;&gt;"manual",$M93&lt;&gt;$A$15)),
        IF(Import.TipoArredondamento&lt;&gt;"TransfereGOV",
              ROUND(OFFSET($P93,0,AS$13),15-13*ORÇAMENTO!$AF$7)/$H93*OFFSET(ORÇAMENTO!$X$15,ROW(AS93)-ROW(AS$15),0),
              ROUND(ROUND(OFFSET($P93,0,AS$13),15-13*ORÇAMENTO!$AF$7)*OFFSET(ORÇAMENTO!$W$15,ROW(AS93)-ROW(AS$15),0),15-13*ORÇAMENTO!$AF$11)),
         0)</f>
        <v>0</v>
      </c>
      <c r="AT93" s="453">
        <f ca="1">IF(AND($D93="Serviço",AT$12&lt;&gt;0,$H93&gt;0,OR(AUTOEVENTO&lt;&gt;"manual",$M93&lt;&gt;$A$15)),
        IF(Import.TipoArredondamento&lt;&gt;"TransfereGOV",
              ROUND(OFFSET($P93,0,AT$13),15-13*ORÇAMENTO!$AF$7)/$H93*OFFSET(ORÇAMENTO!$X$15,ROW(AT93)-ROW(AT$15),0),
              ROUND(ROUND(OFFSET($P93,0,AT$13),15-13*ORÇAMENTO!$AF$7)*OFFSET(ORÇAMENTO!$W$15,ROW(AT93)-ROW(AT$15),0),15-13*ORÇAMENTO!$AF$11)),
         0)</f>
        <v>0</v>
      </c>
      <c r="AU93" s="453">
        <f ca="1">IF(AND($D93="Serviço",AU$12&lt;&gt;0,$H93&gt;0,OR(AUTOEVENTO&lt;&gt;"manual",$M93&lt;&gt;$A$15)),
        IF(Import.TipoArredondamento&lt;&gt;"TransfereGOV",
              ROUND(OFFSET($P93,0,AU$13),15-13*ORÇAMENTO!$AF$7)/$H93*OFFSET(ORÇAMENTO!$X$15,ROW(AU93)-ROW(AU$15),0),
              ROUND(ROUND(OFFSET($P93,0,AU$13),15-13*ORÇAMENTO!$AF$7)*OFFSET(ORÇAMENTO!$W$15,ROW(AU93)-ROW(AU$15),0),15-13*ORÇAMENTO!$AF$11)),
         0)</f>
        <v>0</v>
      </c>
      <c r="AV93" s="453">
        <f ca="1">IF(AND($D93="Serviço",AV$12&lt;&gt;0,$H93&gt;0,OR(AUTOEVENTO&lt;&gt;"manual",$M93&lt;&gt;$A$15)),
        IF(Import.TipoArredondamento&lt;&gt;"TransfereGOV",
              ROUND(OFFSET($P93,0,AV$13),15-13*ORÇAMENTO!$AF$7)/$H93*OFFSET(ORÇAMENTO!$X$15,ROW(AV93)-ROW(AV$15),0),
              ROUND(ROUND(OFFSET($P93,0,AV$13),15-13*ORÇAMENTO!$AF$7)*OFFSET(ORÇAMENTO!$W$15,ROW(AV93)-ROW(AV$15),0),15-13*ORÇAMENTO!$AF$11)),
         0)</f>
        <v>0</v>
      </c>
      <c r="AW93" s="453">
        <f ca="1">IF(AND($D93="Serviço",AW$12&lt;&gt;0,$H93&gt;0,OR(AUTOEVENTO&lt;&gt;"manual",$M93&lt;&gt;$A$15)),
        IF(Import.TipoArredondamento&lt;&gt;"TransfereGOV",
              ROUND(OFFSET($P93,0,AW$13),15-13*ORÇAMENTO!$AF$7)/$H93*OFFSET(ORÇAMENTO!$X$15,ROW(AW93)-ROW(AW$15),0),
              ROUND(ROUND(OFFSET($P93,0,AW$13),15-13*ORÇAMENTO!$AF$7)*OFFSET(ORÇAMENTO!$W$15,ROW(AW93)-ROW(AW$15),0),15-13*ORÇAMENTO!$AF$11)),
         0)</f>
        <v>0</v>
      </c>
      <c r="AX93" s="453">
        <f ca="1">IF(AND($D93="Serviço",AX$12&lt;&gt;0,$H93&gt;0,OR(AUTOEVENTO&lt;&gt;"manual",$M93&lt;&gt;$A$15)),
        IF(Import.TipoArredondamento&lt;&gt;"TransfereGOV",
              ROUND(OFFSET($P93,0,AX$13),15-13*ORÇAMENTO!$AF$7)/$H93*OFFSET(ORÇAMENTO!$X$15,ROW(AX93)-ROW(AX$15),0),
              ROUND(ROUND(OFFSET($P93,0,AX$13),15-13*ORÇAMENTO!$AF$7)*OFFSET(ORÇAMENTO!$W$15,ROW(AX93)-ROW(AX$15),0),15-13*ORÇAMENTO!$AF$11)),
         0)</f>
        <v>0</v>
      </c>
      <c r="AY93" s="453">
        <f ca="1">IF(AND($D93="Serviço",AY$12&lt;&gt;0,$H93&gt;0,OR(AUTOEVENTO&lt;&gt;"manual",$M93&lt;&gt;$A$15)),
        IF(Import.TipoArredondamento&lt;&gt;"TransfereGOV",
              ROUND(OFFSET($P93,0,AY$13),15-13*ORÇAMENTO!$AF$7)/$H93*OFFSET(ORÇAMENTO!$X$15,ROW(AY93)-ROW(AY$15),0),
              ROUND(ROUND(OFFSET($P93,0,AY$13),15-13*ORÇAMENTO!$AF$7)*OFFSET(ORÇAMENTO!$W$15,ROW(AY93)-ROW(AY$15),0),15-13*ORÇAMENTO!$AF$11)),
         0)</f>
        <v>0</v>
      </c>
      <c r="AZ93" s="453">
        <f ca="1">IF(AND($D93="Serviço",AZ$12&lt;&gt;0,$H93&gt;0,OR(AUTOEVENTO&lt;&gt;"manual",$M93&lt;&gt;$A$15)),
        IF(Import.TipoArredondamento&lt;&gt;"TransfereGOV",
              ROUND(OFFSET($P93,0,AZ$13),15-13*ORÇAMENTO!$AF$7)/$H93*OFFSET(ORÇAMENTO!$X$15,ROW(AZ93)-ROW(AZ$15),0),
              ROUND(ROUND(OFFSET($P93,0,AZ$13),15-13*ORÇAMENTO!$AF$7)*OFFSET(ORÇAMENTO!$W$15,ROW(AZ93)-ROW(AZ$15),0),15-13*ORÇAMENTO!$AF$11)),
         0)</f>
        <v>0</v>
      </c>
      <c r="BA93" s="453">
        <f ca="1">IF(AND($D93="Serviço",BA$12&lt;&gt;0,$H93&gt;0,OR(AUTOEVENTO&lt;&gt;"manual",$M93&lt;&gt;$A$15)),
        IF(Import.TipoArredondamento&lt;&gt;"TransfereGOV",
              ROUND(OFFSET($P93,0,BA$13),15-13*ORÇAMENTO!$AF$7)/$H93*OFFSET(ORÇAMENTO!$X$15,ROW(BA93)-ROW(BA$15),0),
              ROUND(ROUND(OFFSET($P93,0,BA$13),15-13*ORÇAMENTO!$AF$7)*OFFSET(ORÇAMENTO!$W$15,ROW(BA93)-ROW(BA$15),0),15-13*ORÇAMENTO!$AF$11)),
         0)</f>
        <v>0</v>
      </c>
      <c r="BC93" s="171">
        <f ca="1">IF(OR($D93&lt;&gt;"Serviço",AND(AUTOEVENTO="Manual",$M93=$A$15)),0,
         IF(OFFSET(CRONOPLE!$F$15,$M93-$A$15,BC$13)=0,10^12,OFFSET(CRONOPLE!$F$15,$M93-$A$15,BC$13)))</f>
        <v>0</v>
      </c>
      <c r="BD93" s="171">
        <f ca="1">IF(OR($D93&lt;&gt;"Serviço",AND(AUTOEVENTO="Manual",$M93=$A$15)),0,
         IF(OFFSET(CRONOPLE!$F$15,$M93-$A$15,BD$13)=0,10^12,OFFSET(CRONOPLE!$F$15,$M93-$A$15,BD$13)))</f>
        <v>0</v>
      </c>
      <c r="BE93" s="171">
        <f ca="1">IF(OR($D93&lt;&gt;"Serviço",AND(AUTOEVENTO="Manual",$M93=$A$15)),0,
         IF(OFFSET(CRONOPLE!$F$15,$M93-$A$15,BE$13)=0,10^12,OFFSET(CRONOPLE!$F$15,$M93-$A$15,BE$13)))</f>
        <v>0</v>
      </c>
      <c r="BF93" s="171">
        <f ca="1">IF(OR($D93&lt;&gt;"Serviço",AND(AUTOEVENTO="Manual",$M93=$A$15)),0,
         IF(OFFSET(CRONOPLE!$F$15,$M93-$A$15,BF$13)=0,10^12,OFFSET(CRONOPLE!$F$15,$M93-$A$15,BF$13)))</f>
        <v>0</v>
      </c>
      <c r="BG93" s="171">
        <f ca="1">IF(OR($D93&lt;&gt;"Serviço",AND(AUTOEVENTO="Manual",$M93=$A$15)),0,
         IF(OFFSET(CRONOPLE!$F$15,$M93-$A$15,BG$13)=0,10^12,OFFSET(CRONOPLE!$F$15,$M93-$A$15,BG$13)))</f>
        <v>0</v>
      </c>
      <c r="BH93" s="171">
        <f ca="1">IF(OR($D93&lt;&gt;"Serviço",AND(AUTOEVENTO="Manual",$M93=$A$15)),0,
         IF(OFFSET(CRONOPLE!$F$15,$M93-$A$15,BH$13)=0,10^12,OFFSET(CRONOPLE!$F$15,$M93-$A$15,BH$13)))</f>
        <v>0</v>
      </c>
      <c r="BI93" s="171">
        <f ca="1">IF(OR($D93&lt;&gt;"Serviço",AND(AUTOEVENTO="Manual",$M93=$A$15)),0,
         IF(OFFSET(CRONOPLE!$F$15,$M93-$A$15,BI$13)=0,10^12,OFFSET(CRONOPLE!$F$15,$M93-$A$15,BI$13)))</f>
        <v>0</v>
      </c>
      <c r="BJ93" s="171">
        <f ca="1">IF(OR($D93&lt;&gt;"Serviço",AND(AUTOEVENTO="Manual",$M93=$A$15)),0,
         IF(OFFSET(CRONOPLE!$F$15,$M93-$A$15,BJ$13)=0,10^12,OFFSET(CRONOPLE!$F$15,$M93-$A$15,BJ$13)))</f>
        <v>0</v>
      </c>
      <c r="BK93" s="171">
        <f ca="1">IF(OR($D93&lt;&gt;"Serviço",AND(AUTOEVENTO="Manual",$M93=$A$15)),0,
         IF(OFFSET(CRONOPLE!$F$15,$M93-$A$15,BK$13)=0,10^12,OFFSET(CRONOPLE!$F$15,$M93-$A$15,BK$13)))</f>
        <v>0</v>
      </c>
      <c r="BL93" s="171">
        <f ca="1">IF(OR($D93&lt;&gt;"Serviço",AND(AUTOEVENTO="Manual",$M93=$A$15)),0,
         IF(OFFSET(CRONOPLE!$F$15,$M93-$A$15,BL$13)=0,10^12,OFFSET(CRONOPLE!$F$15,$M93-$A$15,BL$13)))</f>
        <v>0</v>
      </c>
      <c r="BM93" s="171">
        <f ca="1">IF(OR($D93&lt;&gt;"Serviço",AND(AUTOEVENTO="Manual",$M93=$A$15)),0,
         IF(OFFSET(CRONOPLE!$F$15,$M93-$A$15,BM$13)=0,10^12,OFFSET(CRONOPLE!$F$15,$M93-$A$15,BM$13)))</f>
        <v>0</v>
      </c>
      <c r="BN93" s="171">
        <f ca="1">IF(OR($D93&lt;&gt;"Serviço",AND(AUTOEVENTO="Manual",$M93=$A$15)),0,
         IF(OFFSET(CRONOPLE!$F$15,$M93-$A$15,BN$13)=0,10^12,OFFSET(CRONOPLE!$F$15,$M93-$A$15,BN$13)))</f>
        <v>0</v>
      </c>
      <c r="BO93" s="171">
        <f ca="1">IF(OR($D93&lt;&gt;"Serviço",AND(AUTOEVENTO="Manual",$M93=$A$15)),0,
         IF(OFFSET(CRONOPLE!$F$15,$M93-$A$15,BO$13)=0,10^12,OFFSET(CRONOPLE!$F$15,$M93-$A$15,BO$13)))</f>
        <v>0</v>
      </c>
      <c r="BP93" s="171">
        <f ca="1">IF(OR($D93&lt;&gt;"Serviço",AND(AUTOEVENTO="Manual",$M93=$A$15)),0,
         IF(OFFSET(CRONOPLE!$F$15,$M93-$A$15,BP$13)=0,10^12,OFFSET(CRONOPLE!$F$15,$M93-$A$15,BP$13)))</f>
        <v>0</v>
      </c>
      <c r="BQ93" s="171">
        <f ca="1">IF(OR($D93&lt;&gt;"Serviço",AND(AUTOEVENTO="Manual",$M93=$A$15)),0,
         IF(OFFSET(CRONOPLE!$F$15,$M93-$A$15,BQ$13)=0,10^12,OFFSET(CRONOPLE!$F$15,$M93-$A$15,BQ$13)))</f>
        <v>0</v>
      </c>
      <c r="BR93" s="171">
        <f ca="1">IF(OR($D93&lt;&gt;"Serviço",AND(AUTOEVENTO="Manual",$M93=$A$15)),0,
         IF(OFFSET(CRONOPLE!$F$15,$M93-$A$15,BR$13)=0,10^12,OFFSET(CRONOPLE!$F$15,$M93-$A$15,BR$13)))</f>
        <v>0</v>
      </c>
      <c r="BS93" s="171">
        <f ca="1">IF(OR($D93&lt;&gt;"Serviço",AND(AUTOEVENTO="Manual",$M93=$A$15)),0,
         IF(OFFSET(CRONOPLE!$F$15,$M93-$A$15,BS$13)=0,10^12,OFFSET(CRONOPLE!$F$15,$M93-$A$15,BS$13)))</f>
        <v>0</v>
      </c>
      <c r="BT93" s="171">
        <f ca="1">IF(OR($D93&lt;&gt;"Serviço",AND(AUTOEVENTO="Manual",$M93=$A$15)),0,
         IF(OFFSET(CRONOPLE!$F$15,$M93-$A$15,BT$13)=0,10^12,OFFSET(CRONOPLE!$F$15,$M93-$A$15,BT$13)))</f>
        <v>0</v>
      </c>
      <c r="BV93" s="172">
        <f ca="1">IF(OR($D93&lt;&gt;"Serviço",AND(AUTOEVENTO="Manual",$M93=$A$15),$M93&gt;(ROW(PLE.lastrow)-ROW(PLE.firstrow))),0,
           IF(OFFSET(PLE!$G$15,$M93-$A$15,BV$13)="",10^12,OFFSET(PLE!$G$15,$M93-$A$15,BV$13)))</f>
        <v>0</v>
      </c>
      <c r="BW93" s="172">
        <f ca="1">IF(OR($D93&lt;&gt;"Serviço",AND(AUTOEVENTO="Manual",$M93=$A$15),$M93&gt;(ROW(PLE.lastrow)-ROW(PLE.firstrow))),0,
           IF(OFFSET(PLE!$G$15,$M93-$A$15,BW$13)="",10^12,OFFSET(PLE!$G$15,$M93-$A$15,BW$13)))</f>
        <v>0</v>
      </c>
      <c r="BX93" s="172">
        <f ca="1">IF(OR($D93&lt;&gt;"Serviço",AND(AUTOEVENTO="Manual",$M93=$A$15),$M93&gt;(ROW(PLE.lastrow)-ROW(PLE.firstrow))),0,
           IF(OFFSET(PLE!$G$15,$M93-$A$15,BX$13)="",10^12,OFFSET(PLE!$G$15,$M93-$A$15,BX$13)))</f>
        <v>0</v>
      </c>
      <c r="BY93" s="172">
        <f ca="1">IF(OR($D93&lt;&gt;"Serviço",AND(AUTOEVENTO="Manual",$M93=$A$15),$M93&gt;(ROW(PLE.lastrow)-ROW(PLE.firstrow))),0,
           IF(OFFSET(PLE!$G$15,$M93-$A$15,BY$13)="",10^12,OFFSET(PLE!$G$15,$M93-$A$15,BY$13)))</f>
        <v>0</v>
      </c>
      <c r="BZ93" s="172">
        <f ca="1">IF(OR($D93&lt;&gt;"Serviço",AND(AUTOEVENTO="Manual",$M93=$A$15),$M93&gt;(ROW(PLE.lastrow)-ROW(PLE.firstrow))),0,
           IF(OFFSET(PLE!$G$15,$M93-$A$15,BZ$13)="",10^12,OFFSET(PLE!$G$15,$M93-$A$15,BZ$13)))</f>
        <v>0</v>
      </c>
      <c r="CA93" s="172">
        <f ca="1">IF(OR($D93&lt;&gt;"Serviço",AND(AUTOEVENTO="Manual",$M93=$A$15),$M93&gt;(ROW(PLE.lastrow)-ROW(PLE.firstrow))),0,
           IF(OFFSET(PLE!$G$15,$M93-$A$15,CA$13)="",10^12,OFFSET(PLE!$G$15,$M93-$A$15,CA$13)))</f>
        <v>0</v>
      </c>
      <c r="CB93" s="172">
        <f ca="1">IF(OR($D93&lt;&gt;"Serviço",AND(AUTOEVENTO="Manual",$M93=$A$15),$M93&gt;(ROW(PLE.lastrow)-ROW(PLE.firstrow))),0,
           IF(OFFSET(PLE!$G$15,$M93-$A$15,CB$13)="",10^12,OFFSET(PLE!$G$15,$M93-$A$15,CB$13)))</f>
        <v>0</v>
      </c>
      <c r="CC93" s="172">
        <f ca="1">IF(OR($D93&lt;&gt;"Serviço",AND(AUTOEVENTO="Manual",$M93=$A$15),$M93&gt;(ROW(PLE.lastrow)-ROW(PLE.firstrow))),0,
           IF(OFFSET(PLE!$G$15,$M93-$A$15,CC$13)="",10^12,OFFSET(PLE!$G$15,$M93-$A$15,CC$13)))</f>
        <v>0</v>
      </c>
      <c r="CD93" s="172">
        <f ca="1">IF(OR($D93&lt;&gt;"Serviço",AND(AUTOEVENTO="Manual",$M93=$A$15),$M93&gt;(ROW(PLE.lastrow)-ROW(PLE.firstrow))),0,
           IF(OFFSET(PLE!$G$15,$M93-$A$15,CD$13)="",10^12,OFFSET(PLE!$G$15,$M93-$A$15,CD$13)))</f>
        <v>0</v>
      </c>
      <c r="CE93" s="172">
        <f ca="1">IF(OR($D93&lt;&gt;"Serviço",AND(AUTOEVENTO="Manual",$M93=$A$15),$M93&gt;(ROW(PLE.lastrow)-ROW(PLE.firstrow))),0,
           IF(OFFSET(PLE!$G$15,$M93-$A$15,CE$13)="",10^12,OFFSET(PLE!$G$15,$M93-$A$15,CE$13)))</f>
        <v>0</v>
      </c>
      <c r="CF93" s="172">
        <f ca="1">IF(OR($D93&lt;&gt;"Serviço",AND(AUTOEVENTO="Manual",$M93=$A$15),$M93&gt;(ROW(PLE.lastrow)-ROW(PLE.firstrow))),0,
           IF(OFFSET(PLE!$G$15,$M93-$A$15,CF$13)="",10^12,OFFSET(PLE!$G$15,$M93-$A$15,CF$13)))</f>
        <v>0</v>
      </c>
      <c r="CG93" s="172">
        <f ca="1">IF(OR($D93&lt;&gt;"Serviço",AND(AUTOEVENTO="Manual",$M93=$A$15),$M93&gt;(ROW(PLE.lastrow)-ROW(PLE.firstrow))),0,
           IF(OFFSET(PLE!$G$15,$M93-$A$15,CG$13)="",10^12,OFFSET(PLE!$G$15,$M93-$A$15,CG$13)))</f>
        <v>0</v>
      </c>
      <c r="CH93" s="172">
        <f ca="1">IF(OR($D93&lt;&gt;"Serviço",AND(AUTOEVENTO="Manual",$M93=$A$15),$M93&gt;(ROW(PLE.lastrow)-ROW(PLE.firstrow))),0,
           IF(OFFSET(PLE!$G$15,$M93-$A$15,CH$13)="",10^12,OFFSET(PLE!$G$15,$M93-$A$15,CH$13)))</f>
        <v>0</v>
      </c>
      <c r="CI93" s="172">
        <f ca="1">IF(OR($D93&lt;&gt;"Serviço",AND(AUTOEVENTO="Manual",$M93=$A$15),$M93&gt;(ROW(PLE.lastrow)-ROW(PLE.firstrow))),0,
           IF(OFFSET(PLE!$G$15,$M93-$A$15,CI$13)="",10^12,OFFSET(PLE!$G$15,$M93-$A$15,CI$13)))</f>
        <v>0</v>
      </c>
      <c r="CJ93" s="172">
        <f ca="1">IF(OR($D93&lt;&gt;"Serviço",AND(AUTOEVENTO="Manual",$M93=$A$15),$M93&gt;(ROW(PLE.lastrow)-ROW(PLE.firstrow))),0,
           IF(OFFSET(PLE!$G$15,$M93-$A$15,CJ$13)="",10^12,OFFSET(PLE!$G$15,$M93-$A$15,CJ$13)))</f>
        <v>0</v>
      </c>
      <c r="CK93" s="172">
        <f ca="1">IF(OR($D93&lt;&gt;"Serviço",AND(AUTOEVENTO="Manual",$M93=$A$15),$M93&gt;(ROW(PLE.lastrow)-ROW(PLE.firstrow))),0,
           IF(OFFSET(PLE!$G$15,$M93-$A$15,CK$13)="",10^12,OFFSET(PLE!$G$15,$M93-$A$15,CK$13)))</f>
        <v>0</v>
      </c>
      <c r="CL93" s="172">
        <f ca="1">IF(OR($D93&lt;&gt;"Serviço",AND(AUTOEVENTO="Manual",$M93=$A$15),$M93&gt;(ROW(PLE.lastrow)-ROW(PLE.firstrow))),0,
           IF(OFFSET(PLE!$G$15,$M93-$A$15,CL$13)="",10^12,OFFSET(PLE!$G$15,$M93-$A$15,CL$13)))</f>
        <v>0</v>
      </c>
      <c r="CM93" s="172">
        <f ca="1">IF(OR($D93&lt;&gt;"Serviço",AND(AUTOEVENTO="Manual",$M93=$A$15),$M93&gt;(ROW(PLE.lastrow)-ROW(PLE.firstrow))),0,
           IF(OFFSET(PLE!$G$15,$M93-$A$15,CM$13)="",10^12,OFFSET(PLE!$G$15,$M93-$A$15,CM$13)))</f>
        <v>0</v>
      </c>
    </row>
    <row r="94" spans="1:91" ht="13.2" x14ac:dyDescent="0.25">
      <c r="A94" s="7" t="str">
        <f t="shared" ca="1" si="11"/>
        <v>79.</v>
      </c>
      <c r="B94" s="7">
        <f ca="1">OFFSET(ORÇAMENTO!C$15,ROW(B94)-ROW(B$15),0)</f>
        <v>2</v>
      </c>
      <c r="C94" s="7" t="str">
        <f ca="1">OFFSET(ORÇAMENTO!L$15,ROW(C94)-ROW(C$15),0)</f>
        <v>F</v>
      </c>
      <c r="D94" s="116" t="str">
        <f ca="1">OFFSET(ORÇAMENTO!N$15,ROW(D94)-ROW(D$15),0)</f>
        <v>Nível 2</v>
      </c>
      <c r="E94" s="117" t="str">
        <f ca="1">OFFSET(ORÇAMENTO!O$15,ROW(E94)-ROW(E$15),0)</f>
        <v>3.1.</v>
      </c>
      <c r="F94" s="163" t="str">
        <f ca="1">OFFSET(ORÇAMENTO!R$15,ROW(F94)-ROW(F$15),0)</f>
        <v>DRENAGEM</v>
      </c>
      <c r="G94" s="164" t="str">
        <f ca="1">IF($D94&lt;&gt;"Serviço","",OFFSET(ORÇAMENTO!S$15,ROW(G94)-ROW(G$15),0))</f>
        <v/>
      </c>
      <c r="H94" s="122" cm="1">
        <f t="array" aca="1" ref="H94" ca="1">IF($D94&lt;&gt;"Serviço",0,IF(ACOMPANHAMENTO="BM",ROUND(OFFSET(ORÇAMENTO!AJ$15,ROW(H94)-ROW(H$15),0),15-13*ORÇAMENTO!$AF$7),SUMPRODUCT(($Q$1:$AI$1=1)*ROUND($Q94:$AI94,15-13*ORÇAMENTO!$AF$7))))</f>
        <v>0</v>
      </c>
      <c r="I94" s="468"/>
      <c r="J94" s="651" t="str" cm="1">
        <f t="array" aca="1" ref="J94" ca="1">IF(OR(B94&lt;&gt;"S",CÁLCULO.FrentesPreenchidas=0),"",IF(AND(ACOMPANHAMENTO="PLE",AUTOEVENTO="Manual",OR(H94&gt;0,ORÇAMENTO!AC94="QUANT."),OR(K94="",M94=0,N94="")),"►E",IF(AND(ACOMPANHAMENTO="PLE",ORÇAMENTO!AC94="QUANT."),"►Q",IF(AND(ACOMPANHAMENTO="PLE",H94&lt;&gt;SUMPRODUCT(($Q$1:$AI$1=1)*ROUND(Q94:AI94,15))),"►S",IF(AND(COUNTIF($P$11:$AI$11,"▼")=0,H94&gt;0,I94=""),"◄M","")))))</f>
        <v/>
      </c>
      <c r="K94" s="652"/>
      <c r="L94" s="165" t="s">
        <v>764</v>
      </c>
      <c r="M94" s="166" t="str">
        <f ca="1">IF($D94&lt;&gt;"Serviço","",
          IF(AUTOEVENTO="manual",$A94,
                IF(ISERROR(MATCH($A94,$A$15:OFFSET($A94,-1,0),0)),MAX($M$15:OFFSET(M94,-1,0))+1,
                      INDEX($M$15:OFFSET(M94,-1,0),MATCH($A94,$A$15:OFFSET($A94,-1,0),0)))))</f>
        <v/>
      </c>
      <c r="N94" s="167" t="str">
        <f ca="1">IF($D94&lt;&gt;"Serviço","",
         IF(AUTOEVENTO="Manual",
                IF($A94=0,"&lt;-- defina o número do agrupador",
                       OFFSET(EVENTOS!$D$15,$A94-$A$15,0)),
                OFFSET($F$15,$A94,0)))</f>
        <v/>
      </c>
      <c r="O94" s="168"/>
      <c r="Q94" s="168"/>
      <c r="R94" s="169"/>
      <c r="S94" s="169"/>
      <c r="T94" s="169"/>
      <c r="U94" s="169"/>
      <c r="V94" s="169"/>
      <c r="W94" s="169"/>
      <c r="X94" s="169"/>
      <c r="Y94" s="169"/>
      <c r="Z94" s="170"/>
      <c r="AA94" s="169"/>
      <c r="AB94" s="169"/>
      <c r="AC94" s="169"/>
      <c r="AD94" s="169"/>
      <c r="AE94" s="169"/>
      <c r="AF94" s="169"/>
      <c r="AG94" s="169"/>
      <c r="AH94" s="170"/>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L94" s="453">
        <f ca="1">IF(AND($D94="Serviço",AL$12&lt;&gt;0,$H94&gt;0,OR(AUTOEVENTO&lt;&gt;"manual",$M94&lt;&gt;$A$15)),
        IF(Import.TipoArredondamento&lt;&gt;"TransfereGOV",
              ROUND(OFFSET($P94,0,AL$13),15-13*ORÇAMENTO!$AF$7)/$H94*OFFSET(ORÇAMENTO!$X$15,ROW(AL94)-ROW(AL$15),0),
              ROUND(ROUND(OFFSET($P94,0,AL$13),15-13*ORÇAMENTO!$AF$7)*OFFSET(ORÇAMENTO!$W$15,ROW(AL94)-ROW(AL$15),0),15-13*ORÇAMENTO!$AF$11)),
         0)</f>
        <v>0</v>
      </c>
      <c r="AM94" s="453">
        <f ca="1">IF(AND($D94="Serviço",AM$12&lt;&gt;0,$H94&gt;0,OR(AUTOEVENTO&lt;&gt;"manual",$M94&lt;&gt;$A$15)),
        IF(Import.TipoArredondamento&lt;&gt;"TransfereGOV",
              ROUND(OFFSET($P94,0,AM$13),15-13*ORÇAMENTO!$AF$7)/$H94*OFFSET(ORÇAMENTO!$X$15,ROW(AM94)-ROW(AM$15),0),
              ROUND(ROUND(OFFSET($P94,0,AM$13),15-13*ORÇAMENTO!$AF$7)*OFFSET(ORÇAMENTO!$W$15,ROW(AM94)-ROW(AM$15),0),15-13*ORÇAMENTO!$AF$11)),
         0)</f>
        <v>0</v>
      </c>
      <c r="AN94" s="453">
        <f ca="1">IF(AND($D94="Serviço",AN$12&lt;&gt;0,$H94&gt;0,OR(AUTOEVENTO&lt;&gt;"manual",$M94&lt;&gt;$A$15)),
        IF(Import.TipoArredondamento&lt;&gt;"TransfereGOV",
              ROUND(OFFSET($P94,0,AN$13),15-13*ORÇAMENTO!$AF$7)/$H94*OFFSET(ORÇAMENTO!$X$15,ROW(AN94)-ROW(AN$15),0),
              ROUND(ROUND(OFFSET($P94,0,AN$13),15-13*ORÇAMENTO!$AF$7)*OFFSET(ORÇAMENTO!$W$15,ROW(AN94)-ROW(AN$15),0),15-13*ORÇAMENTO!$AF$11)),
         0)</f>
        <v>0</v>
      </c>
      <c r="AO94" s="453">
        <f ca="1">IF(AND($D94="Serviço",AO$12&lt;&gt;0,$H94&gt;0,OR(AUTOEVENTO&lt;&gt;"manual",$M94&lt;&gt;$A$15)),
        IF(Import.TipoArredondamento&lt;&gt;"TransfereGOV",
              ROUND(OFFSET($P94,0,AO$13),15-13*ORÇAMENTO!$AF$7)/$H94*OFFSET(ORÇAMENTO!$X$15,ROW(AO94)-ROW(AO$15),0),
              ROUND(ROUND(OFFSET($P94,0,AO$13),15-13*ORÇAMENTO!$AF$7)*OFFSET(ORÇAMENTO!$W$15,ROW(AO94)-ROW(AO$15),0),15-13*ORÇAMENTO!$AF$11)),
         0)</f>
        <v>0</v>
      </c>
      <c r="AP94" s="453">
        <f ca="1">IF(AND($D94="Serviço",AP$12&lt;&gt;0,$H94&gt;0,OR(AUTOEVENTO&lt;&gt;"manual",$M94&lt;&gt;$A$15)),
        IF(Import.TipoArredondamento&lt;&gt;"TransfereGOV",
              ROUND(OFFSET($P94,0,AP$13),15-13*ORÇAMENTO!$AF$7)/$H94*OFFSET(ORÇAMENTO!$X$15,ROW(AP94)-ROW(AP$15),0),
              ROUND(ROUND(OFFSET($P94,0,AP$13),15-13*ORÇAMENTO!$AF$7)*OFFSET(ORÇAMENTO!$W$15,ROW(AP94)-ROW(AP$15),0),15-13*ORÇAMENTO!$AF$11)),
         0)</f>
        <v>0</v>
      </c>
      <c r="AQ94" s="453">
        <f ca="1">IF(AND($D94="Serviço",AQ$12&lt;&gt;0,$H94&gt;0,OR(AUTOEVENTO&lt;&gt;"manual",$M94&lt;&gt;$A$15)),
        IF(Import.TipoArredondamento&lt;&gt;"TransfereGOV",
              ROUND(OFFSET($P94,0,AQ$13),15-13*ORÇAMENTO!$AF$7)/$H94*OFFSET(ORÇAMENTO!$X$15,ROW(AQ94)-ROW(AQ$15),0),
              ROUND(ROUND(OFFSET($P94,0,AQ$13),15-13*ORÇAMENTO!$AF$7)*OFFSET(ORÇAMENTO!$W$15,ROW(AQ94)-ROW(AQ$15),0),15-13*ORÇAMENTO!$AF$11)),
         0)</f>
        <v>0</v>
      </c>
      <c r="AR94" s="453">
        <f ca="1">IF(AND($D94="Serviço",AR$12&lt;&gt;0,$H94&gt;0,OR(AUTOEVENTO&lt;&gt;"manual",$M94&lt;&gt;$A$15)),
        IF(Import.TipoArredondamento&lt;&gt;"TransfereGOV",
              ROUND(OFFSET($P94,0,AR$13),15-13*ORÇAMENTO!$AF$7)/$H94*OFFSET(ORÇAMENTO!$X$15,ROW(AR94)-ROW(AR$15),0),
              ROUND(ROUND(OFFSET($P94,0,AR$13),15-13*ORÇAMENTO!$AF$7)*OFFSET(ORÇAMENTO!$W$15,ROW(AR94)-ROW(AR$15),0),15-13*ORÇAMENTO!$AF$11)),
         0)</f>
        <v>0</v>
      </c>
      <c r="AS94" s="453">
        <f ca="1">IF(AND($D94="Serviço",AS$12&lt;&gt;0,$H94&gt;0,OR(AUTOEVENTO&lt;&gt;"manual",$M94&lt;&gt;$A$15)),
        IF(Import.TipoArredondamento&lt;&gt;"TransfereGOV",
              ROUND(OFFSET($P94,0,AS$13),15-13*ORÇAMENTO!$AF$7)/$H94*OFFSET(ORÇAMENTO!$X$15,ROW(AS94)-ROW(AS$15),0),
              ROUND(ROUND(OFFSET($P94,0,AS$13),15-13*ORÇAMENTO!$AF$7)*OFFSET(ORÇAMENTO!$W$15,ROW(AS94)-ROW(AS$15),0),15-13*ORÇAMENTO!$AF$11)),
         0)</f>
        <v>0</v>
      </c>
      <c r="AT94" s="453">
        <f ca="1">IF(AND($D94="Serviço",AT$12&lt;&gt;0,$H94&gt;0,OR(AUTOEVENTO&lt;&gt;"manual",$M94&lt;&gt;$A$15)),
        IF(Import.TipoArredondamento&lt;&gt;"TransfereGOV",
              ROUND(OFFSET($P94,0,AT$13),15-13*ORÇAMENTO!$AF$7)/$H94*OFFSET(ORÇAMENTO!$X$15,ROW(AT94)-ROW(AT$15),0),
              ROUND(ROUND(OFFSET($P94,0,AT$13),15-13*ORÇAMENTO!$AF$7)*OFFSET(ORÇAMENTO!$W$15,ROW(AT94)-ROW(AT$15),0),15-13*ORÇAMENTO!$AF$11)),
         0)</f>
        <v>0</v>
      </c>
      <c r="AU94" s="453">
        <f ca="1">IF(AND($D94="Serviço",AU$12&lt;&gt;0,$H94&gt;0,OR(AUTOEVENTO&lt;&gt;"manual",$M94&lt;&gt;$A$15)),
        IF(Import.TipoArredondamento&lt;&gt;"TransfereGOV",
              ROUND(OFFSET($P94,0,AU$13),15-13*ORÇAMENTO!$AF$7)/$H94*OFFSET(ORÇAMENTO!$X$15,ROW(AU94)-ROW(AU$15),0),
              ROUND(ROUND(OFFSET($P94,0,AU$13),15-13*ORÇAMENTO!$AF$7)*OFFSET(ORÇAMENTO!$W$15,ROW(AU94)-ROW(AU$15),0),15-13*ORÇAMENTO!$AF$11)),
         0)</f>
        <v>0</v>
      </c>
      <c r="AV94" s="453">
        <f ca="1">IF(AND($D94="Serviço",AV$12&lt;&gt;0,$H94&gt;0,OR(AUTOEVENTO&lt;&gt;"manual",$M94&lt;&gt;$A$15)),
        IF(Import.TipoArredondamento&lt;&gt;"TransfereGOV",
              ROUND(OFFSET($P94,0,AV$13),15-13*ORÇAMENTO!$AF$7)/$H94*OFFSET(ORÇAMENTO!$X$15,ROW(AV94)-ROW(AV$15),0),
              ROUND(ROUND(OFFSET($P94,0,AV$13),15-13*ORÇAMENTO!$AF$7)*OFFSET(ORÇAMENTO!$W$15,ROW(AV94)-ROW(AV$15),0),15-13*ORÇAMENTO!$AF$11)),
         0)</f>
        <v>0</v>
      </c>
      <c r="AW94" s="453">
        <f ca="1">IF(AND($D94="Serviço",AW$12&lt;&gt;0,$H94&gt;0,OR(AUTOEVENTO&lt;&gt;"manual",$M94&lt;&gt;$A$15)),
        IF(Import.TipoArredondamento&lt;&gt;"TransfereGOV",
              ROUND(OFFSET($P94,0,AW$13),15-13*ORÇAMENTO!$AF$7)/$H94*OFFSET(ORÇAMENTO!$X$15,ROW(AW94)-ROW(AW$15),0),
              ROUND(ROUND(OFFSET($P94,0,AW$13),15-13*ORÇAMENTO!$AF$7)*OFFSET(ORÇAMENTO!$W$15,ROW(AW94)-ROW(AW$15),0),15-13*ORÇAMENTO!$AF$11)),
         0)</f>
        <v>0</v>
      </c>
      <c r="AX94" s="453">
        <f ca="1">IF(AND($D94="Serviço",AX$12&lt;&gt;0,$H94&gt;0,OR(AUTOEVENTO&lt;&gt;"manual",$M94&lt;&gt;$A$15)),
        IF(Import.TipoArredondamento&lt;&gt;"TransfereGOV",
              ROUND(OFFSET($P94,0,AX$13),15-13*ORÇAMENTO!$AF$7)/$H94*OFFSET(ORÇAMENTO!$X$15,ROW(AX94)-ROW(AX$15),0),
              ROUND(ROUND(OFFSET($P94,0,AX$13),15-13*ORÇAMENTO!$AF$7)*OFFSET(ORÇAMENTO!$W$15,ROW(AX94)-ROW(AX$15),0),15-13*ORÇAMENTO!$AF$11)),
         0)</f>
        <v>0</v>
      </c>
      <c r="AY94" s="453">
        <f ca="1">IF(AND($D94="Serviço",AY$12&lt;&gt;0,$H94&gt;0,OR(AUTOEVENTO&lt;&gt;"manual",$M94&lt;&gt;$A$15)),
        IF(Import.TipoArredondamento&lt;&gt;"TransfereGOV",
              ROUND(OFFSET($P94,0,AY$13),15-13*ORÇAMENTO!$AF$7)/$H94*OFFSET(ORÇAMENTO!$X$15,ROW(AY94)-ROW(AY$15),0),
              ROUND(ROUND(OFFSET($P94,0,AY$13),15-13*ORÇAMENTO!$AF$7)*OFFSET(ORÇAMENTO!$W$15,ROW(AY94)-ROW(AY$15),0),15-13*ORÇAMENTO!$AF$11)),
         0)</f>
        <v>0</v>
      </c>
      <c r="AZ94" s="453">
        <f ca="1">IF(AND($D94="Serviço",AZ$12&lt;&gt;0,$H94&gt;0,OR(AUTOEVENTO&lt;&gt;"manual",$M94&lt;&gt;$A$15)),
        IF(Import.TipoArredondamento&lt;&gt;"TransfereGOV",
              ROUND(OFFSET($P94,0,AZ$13),15-13*ORÇAMENTO!$AF$7)/$H94*OFFSET(ORÇAMENTO!$X$15,ROW(AZ94)-ROW(AZ$15),0),
              ROUND(ROUND(OFFSET($P94,0,AZ$13),15-13*ORÇAMENTO!$AF$7)*OFFSET(ORÇAMENTO!$W$15,ROW(AZ94)-ROW(AZ$15),0),15-13*ORÇAMENTO!$AF$11)),
         0)</f>
        <v>0</v>
      </c>
      <c r="BA94" s="453">
        <f ca="1">IF(AND($D94="Serviço",BA$12&lt;&gt;0,$H94&gt;0,OR(AUTOEVENTO&lt;&gt;"manual",$M94&lt;&gt;$A$15)),
        IF(Import.TipoArredondamento&lt;&gt;"TransfereGOV",
              ROUND(OFFSET($P94,0,BA$13),15-13*ORÇAMENTO!$AF$7)/$H94*OFFSET(ORÇAMENTO!$X$15,ROW(BA94)-ROW(BA$15),0),
              ROUND(ROUND(OFFSET($P94,0,BA$13),15-13*ORÇAMENTO!$AF$7)*OFFSET(ORÇAMENTO!$W$15,ROW(BA94)-ROW(BA$15),0),15-13*ORÇAMENTO!$AF$11)),
         0)</f>
        <v>0</v>
      </c>
      <c r="BC94" s="171">
        <f ca="1">IF(OR($D94&lt;&gt;"Serviço",AND(AUTOEVENTO="Manual",$M94=$A$15)),0,
         IF(OFFSET(CRONOPLE!$F$15,$M94-$A$15,BC$13)=0,10^12,OFFSET(CRONOPLE!$F$15,$M94-$A$15,BC$13)))</f>
        <v>0</v>
      </c>
      <c r="BD94" s="171">
        <f ca="1">IF(OR($D94&lt;&gt;"Serviço",AND(AUTOEVENTO="Manual",$M94=$A$15)),0,
         IF(OFFSET(CRONOPLE!$F$15,$M94-$A$15,BD$13)=0,10^12,OFFSET(CRONOPLE!$F$15,$M94-$A$15,BD$13)))</f>
        <v>0</v>
      </c>
      <c r="BE94" s="171">
        <f ca="1">IF(OR($D94&lt;&gt;"Serviço",AND(AUTOEVENTO="Manual",$M94=$A$15)),0,
         IF(OFFSET(CRONOPLE!$F$15,$M94-$A$15,BE$13)=0,10^12,OFFSET(CRONOPLE!$F$15,$M94-$A$15,BE$13)))</f>
        <v>0</v>
      </c>
      <c r="BF94" s="171">
        <f ca="1">IF(OR($D94&lt;&gt;"Serviço",AND(AUTOEVENTO="Manual",$M94=$A$15)),0,
         IF(OFFSET(CRONOPLE!$F$15,$M94-$A$15,BF$13)=0,10^12,OFFSET(CRONOPLE!$F$15,$M94-$A$15,BF$13)))</f>
        <v>0</v>
      </c>
      <c r="BG94" s="171">
        <f ca="1">IF(OR($D94&lt;&gt;"Serviço",AND(AUTOEVENTO="Manual",$M94=$A$15)),0,
         IF(OFFSET(CRONOPLE!$F$15,$M94-$A$15,BG$13)=0,10^12,OFFSET(CRONOPLE!$F$15,$M94-$A$15,BG$13)))</f>
        <v>0</v>
      </c>
      <c r="BH94" s="171">
        <f ca="1">IF(OR($D94&lt;&gt;"Serviço",AND(AUTOEVENTO="Manual",$M94=$A$15)),0,
         IF(OFFSET(CRONOPLE!$F$15,$M94-$A$15,BH$13)=0,10^12,OFFSET(CRONOPLE!$F$15,$M94-$A$15,BH$13)))</f>
        <v>0</v>
      </c>
      <c r="BI94" s="171">
        <f ca="1">IF(OR($D94&lt;&gt;"Serviço",AND(AUTOEVENTO="Manual",$M94=$A$15)),0,
         IF(OFFSET(CRONOPLE!$F$15,$M94-$A$15,BI$13)=0,10^12,OFFSET(CRONOPLE!$F$15,$M94-$A$15,BI$13)))</f>
        <v>0</v>
      </c>
      <c r="BJ94" s="171">
        <f ca="1">IF(OR($D94&lt;&gt;"Serviço",AND(AUTOEVENTO="Manual",$M94=$A$15)),0,
         IF(OFFSET(CRONOPLE!$F$15,$M94-$A$15,BJ$13)=0,10^12,OFFSET(CRONOPLE!$F$15,$M94-$A$15,BJ$13)))</f>
        <v>0</v>
      </c>
      <c r="BK94" s="171">
        <f ca="1">IF(OR($D94&lt;&gt;"Serviço",AND(AUTOEVENTO="Manual",$M94=$A$15)),0,
         IF(OFFSET(CRONOPLE!$F$15,$M94-$A$15,BK$13)=0,10^12,OFFSET(CRONOPLE!$F$15,$M94-$A$15,BK$13)))</f>
        <v>0</v>
      </c>
      <c r="BL94" s="171">
        <f ca="1">IF(OR($D94&lt;&gt;"Serviço",AND(AUTOEVENTO="Manual",$M94=$A$15)),0,
         IF(OFFSET(CRONOPLE!$F$15,$M94-$A$15,BL$13)=0,10^12,OFFSET(CRONOPLE!$F$15,$M94-$A$15,BL$13)))</f>
        <v>0</v>
      </c>
      <c r="BM94" s="171">
        <f ca="1">IF(OR($D94&lt;&gt;"Serviço",AND(AUTOEVENTO="Manual",$M94=$A$15)),0,
         IF(OFFSET(CRONOPLE!$F$15,$M94-$A$15,BM$13)=0,10^12,OFFSET(CRONOPLE!$F$15,$M94-$A$15,BM$13)))</f>
        <v>0</v>
      </c>
      <c r="BN94" s="171">
        <f ca="1">IF(OR($D94&lt;&gt;"Serviço",AND(AUTOEVENTO="Manual",$M94=$A$15)),0,
         IF(OFFSET(CRONOPLE!$F$15,$M94-$A$15,BN$13)=0,10^12,OFFSET(CRONOPLE!$F$15,$M94-$A$15,BN$13)))</f>
        <v>0</v>
      </c>
      <c r="BO94" s="171">
        <f ca="1">IF(OR($D94&lt;&gt;"Serviço",AND(AUTOEVENTO="Manual",$M94=$A$15)),0,
         IF(OFFSET(CRONOPLE!$F$15,$M94-$A$15,BO$13)=0,10^12,OFFSET(CRONOPLE!$F$15,$M94-$A$15,BO$13)))</f>
        <v>0</v>
      </c>
      <c r="BP94" s="171">
        <f ca="1">IF(OR($D94&lt;&gt;"Serviço",AND(AUTOEVENTO="Manual",$M94=$A$15)),0,
         IF(OFFSET(CRONOPLE!$F$15,$M94-$A$15,BP$13)=0,10^12,OFFSET(CRONOPLE!$F$15,$M94-$A$15,BP$13)))</f>
        <v>0</v>
      </c>
      <c r="BQ94" s="171">
        <f ca="1">IF(OR($D94&lt;&gt;"Serviço",AND(AUTOEVENTO="Manual",$M94=$A$15)),0,
         IF(OFFSET(CRONOPLE!$F$15,$M94-$A$15,BQ$13)=0,10^12,OFFSET(CRONOPLE!$F$15,$M94-$A$15,BQ$13)))</f>
        <v>0</v>
      </c>
      <c r="BR94" s="171">
        <f ca="1">IF(OR($D94&lt;&gt;"Serviço",AND(AUTOEVENTO="Manual",$M94=$A$15)),0,
         IF(OFFSET(CRONOPLE!$F$15,$M94-$A$15,BR$13)=0,10^12,OFFSET(CRONOPLE!$F$15,$M94-$A$15,BR$13)))</f>
        <v>0</v>
      </c>
      <c r="BS94" s="171">
        <f ca="1">IF(OR($D94&lt;&gt;"Serviço",AND(AUTOEVENTO="Manual",$M94=$A$15)),0,
         IF(OFFSET(CRONOPLE!$F$15,$M94-$A$15,BS$13)=0,10^12,OFFSET(CRONOPLE!$F$15,$M94-$A$15,BS$13)))</f>
        <v>0</v>
      </c>
      <c r="BT94" s="171">
        <f ca="1">IF(OR($D94&lt;&gt;"Serviço",AND(AUTOEVENTO="Manual",$M94=$A$15)),0,
         IF(OFFSET(CRONOPLE!$F$15,$M94-$A$15,BT$13)=0,10^12,OFFSET(CRONOPLE!$F$15,$M94-$A$15,BT$13)))</f>
        <v>0</v>
      </c>
      <c r="BV94" s="172">
        <f ca="1">IF(OR($D94&lt;&gt;"Serviço",AND(AUTOEVENTO="Manual",$M94=$A$15),$M94&gt;(ROW(PLE.lastrow)-ROW(PLE.firstrow))),0,
           IF(OFFSET(PLE!$G$15,$M94-$A$15,BV$13)="",10^12,OFFSET(PLE!$G$15,$M94-$A$15,BV$13)))</f>
        <v>0</v>
      </c>
      <c r="BW94" s="172">
        <f ca="1">IF(OR($D94&lt;&gt;"Serviço",AND(AUTOEVENTO="Manual",$M94=$A$15),$M94&gt;(ROW(PLE.lastrow)-ROW(PLE.firstrow))),0,
           IF(OFFSET(PLE!$G$15,$M94-$A$15,BW$13)="",10^12,OFFSET(PLE!$G$15,$M94-$A$15,BW$13)))</f>
        <v>0</v>
      </c>
      <c r="BX94" s="172">
        <f ca="1">IF(OR($D94&lt;&gt;"Serviço",AND(AUTOEVENTO="Manual",$M94=$A$15),$M94&gt;(ROW(PLE.lastrow)-ROW(PLE.firstrow))),0,
           IF(OFFSET(PLE!$G$15,$M94-$A$15,BX$13)="",10^12,OFFSET(PLE!$G$15,$M94-$A$15,BX$13)))</f>
        <v>0</v>
      </c>
      <c r="BY94" s="172">
        <f ca="1">IF(OR($D94&lt;&gt;"Serviço",AND(AUTOEVENTO="Manual",$M94=$A$15),$M94&gt;(ROW(PLE.lastrow)-ROW(PLE.firstrow))),0,
           IF(OFFSET(PLE!$G$15,$M94-$A$15,BY$13)="",10^12,OFFSET(PLE!$G$15,$M94-$A$15,BY$13)))</f>
        <v>0</v>
      </c>
      <c r="BZ94" s="172">
        <f ca="1">IF(OR($D94&lt;&gt;"Serviço",AND(AUTOEVENTO="Manual",$M94=$A$15),$M94&gt;(ROW(PLE.lastrow)-ROW(PLE.firstrow))),0,
           IF(OFFSET(PLE!$G$15,$M94-$A$15,BZ$13)="",10^12,OFFSET(PLE!$G$15,$M94-$A$15,BZ$13)))</f>
        <v>0</v>
      </c>
      <c r="CA94" s="172">
        <f ca="1">IF(OR($D94&lt;&gt;"Serviço",AND(AUTOEVENTO="Manual",$M94=$A$15),$M94&gt;(ROW(PLE.lastrow)-ROW(PLE.firstrow))),0,
           IF(OFFSET(PLE!$G$15,$M94-$A$15,CA$13)="",10^12,OFFSET(PLE!$G$15,$M94-$A$15,CA$13)))</f>
        <v>0</v>
      </c>
      <c r="CB94" s="172">
        <f ca="1">IF(OR($D94&lt;&gt;"Serviço",AND(AUTOEVENTO="Manual",$M94=$A$15),$M94&gt;(ROW(PLE.lastrow)-ROW(PLE.firstrow))),0,
           IF(OFFSET(PLE!$G$15,$M94-$A$15,CB$13)="",10^12,OFFSET(PLE!$G$15,$M94-$A$15,CB$13)))</f>
        <v>0</v>
      </c>
      <c r="CC94" s="172">
        <f ca="1">IF(OR($D94&lt;&gt;"Serviço",AND(AUTOEVENTO="Manual",$M94=$A$15),$M94&gt;(ROW(PLE.lastrow)-ROW(PLE.firstrow))),0,
           IF(OFFSET(PLE!$G$15,$M94-$A$15,CC$13)="",10^12,OFFSET(PLE!$G$15,$M94-$A$15,CC$13)))</f>
        <v>0</v>
      </c>
      <c r="CD94" s="172">
        <f ca="1">IF(OR($D94&lt;&gt;"Serviço",AND(AUTOEVENTO="Manual",$M94=$A$15),$M94&gt;(ROW(PLE.lastrow)-ROW(PLE.firstrow))),0,
           IF(OFFSET(PLE!$G$15,$M94-$A$15,CD$13)="",10^12,OFFSET(PLE!$G$15,$M94-$A$15,CD$13)))</f>
        <v>0</v>
      </c>
      <c r="CE94" s="172">
        <f ca="1">IF(OR($D94&lt;&gt;"Serviço",AND(AUTOEVENTO="Manual",$M94=$A$15),$M94&gt;(ROW(PLE.lastrow)-ROW(PLE.firstrow))),0,
           IF(OFFSET(PLE!$G$15,$M94-$A$15,CE$13)="",10^12,OFFSET(PLE!$G$15,$M94-$A$15,CE$13)))</f>
        <v>0</v>
      </c>
      <c r="CF94" s="172">
        <f ca="1">IF(OR($D94&lt;&gt;"Serviço",AND(AUTOEVENTO="Manual",$M94=$A$15),$M94&gt;(ROW(PLE.lastrow)-ROW(PLE.firstrow))),0,
           IF(OFFSET(PLE!$G$15,$M94-$A$15,CF$13)="",10^12,OFFSET(PLE!$G$15,$M94-$A$15,CF$13)))</f>
        <v>0</v>
      </c>
      <c r="CG94" s="172">
        <f ca="1">IF(OR($D94&lt;&gt;"Serviço",AND(AUTOEVENTO="Manual",$M94=$A$15),$M94&gt;(ROW(PLE.lastrow)-ROW(PLE.firstrow))),0,
           IF(OFFSET(PLE!$G$15,$M94-$A$15,CG$13)="",10^12,OFFSET(PLE!$G$15,$M94-$A$15,CG$13)))</f>
        <v>0</v>
      </c>
      <c r="CH94" s="172">
        <f ca="1">IF(OR($D94&lt;&gt;"Serviço",AND(AUTOEVENTO="Manual",$M94=$A$15),$M94&gt;(ROW(PLE.lastrow)-ROW(PLE.firstrow))),0,
           IF(OFFSET(PLE!$G$15,$M94-$A$15,CH$13)="",10^12,OFFSET(PLE!$G$15,$M94-$A$15,CH$13)))</f>
        <v>0</v>
      </c>
      <c r="CI94" s="172">
        <f ca="1">IF(OR($D94&lt;&gt;"Serviço",AND(AUTOEVENTO="Manual",$M94=$A$15),$M94&gt;(ROW(PLE.lastrow)-ROW(PLE.firstrow))),0,
           IF(OFFSET(PLE!$G$15,$M94-$A$15,CI$13)="",10^12,OFFSET(PLE!$G$15,$M94-$A$15,CI$13)))</f>
        <v>0</v>
      </c>
      <c r="CJ94" s="172">
        <f ca="1">IF(OR($D94&lt;&gt;"Serviço",AND(AUTOEVENTO="Manual",$M94=$A$15),$M94&gt;(ROW(PLE.lastrow)-ROW(PLE.firstrow))),0,
           IF(OFFSET(PLE!$G$15,$M94-$A$15,CJ$13)="",10^12,OFFSET(PLE!$G$15,$M94-$A$15,CJ$13)))</f>
        <v>0</v>
      </c>
      <c r="CK94" s="172">
        <f ca="1">IF(OR($D94&lt;&gt;"Serviço",AND(AUTOEVENTO="Manual",$M94=$A$15),$M94&gt;(ROW(PLE.lastrow)-ROW(PLE.firstrow))),0,
           IF(OFFSET(PLE!$G$15,$M94-$A$15,CK$13)="",10^12,OFFSET(PLE!$G$15,$M94-$A$15,CK$13)))</f>
        <v>0</v>
      </c>
      <c r="CL94" s="172">
        <f ca="1">IF(OR($D94&lt;&gt;"Serviço",AND(AUTOEVENTO="Manual",$M94=$A$15),$M94&gt;(ROW(PLE.lastrow)-ROW(PLE.firstrow))),0,
           IF(OFFSET(PLE!$G$15,$M94-$A$15,CL$13)="",10^12,OFFSET(PLE!$G$15,$M94-$A$15,CL$13)))</f>
        <v>0</v>
      </c>
      <c r="CM94" s="172">
        <f ca="1">IF(OR($D94&lt;&gt;"Serviço",AND(AUTOEVENTO="Manual",$M94=$A$15),$M94&gt;(ROW(PLE.lastrow)-ROW(PLE.firstrow))),0,
           IF(OFFSET(PLE!$G$15,$M94-$A$15,CM$13)="",10^12,OFFSET(PLE!$G$15,$M94-$A$15,CM$13)))</f>
        <v>0</v>
      </c>
    </row>
    <row r="95" spans="1:91" ht="13.2" x14ac:dyDescent="0.25">
      <c r="A95" s="7" t="str">
        <f t="shared" ca="1" si="11"/>
        <v>79</v>
      </c>
      <c r="B95" s="7" t="str">
        <f ca="1">OFFSET(ORÇAMENTO!C$15,ROW(B95)-ROW(B$15),0)</f>
        <v>S</v>
      </c>
      <c r="C95" s="7" t="str">
        <f ca="1">OFFSET(ORÇAMENTO!L$15,ROW(C95)-ROW(C$15),0)</f>
        <v>F</v>
      </c>
      <c r="D95" s="116" t="str">
        <f ca="1">OFFSET(ORÇAMENTO!N$15,ROW(D95)-ROW(D$15),0)</f>
        <v>Serviço</v>
      </c>
      <c r="E95" s="117" t="str">
        <f ca="1">OFFSET(ORÇAMENTO!O$15,ROW(E95)-ROW(E$15),0)</f>
        <v>3.1.1.</v>
      </c>
      <c r="F95" s="163" t="str">
        <f ca="1">OFFSET(ORÇAMENTO!R$15,ROW(F95)-ROW(F$15),0)</f>
        <v>Escavação mecânica com retroescavadeira em material de 1ª categoria</v>
      </c>
      <c r="G95" s="164" t="str">
        <f ca="1">IF($D95&lt;&gt;"Serviço","",OFFSET(ORÇAMENTO!S$15,ROW(G95)-ROW(G$15),0))</f>
        <v>m³</v>
      </c>
      <c r="H95" s="122" cm="1">
        <f t="array" aca="1" ref="H95" ca="1">IF($D95&lt;&gt;"Serviço",0,IF(ACOMPANHAMENTO="BM",ROUND(OFFSET(ORÇAMENTO!AJ$15,ROW(H95)-ROW(H$15),0),15-13*ORÇAMENTO!$AF$7),SUMPRODUCT(($Q$1:$AI$1=1)*ROUND($Q95:$AI95,15-13*ORÇAMENTO!$AF$7))))</f>
        <v>125.84</v>
      </c>
      <c r="I95" s="468"/>
      <c r="J95" s="651" t="e" cm="1">
        <f t="array" aca="1" ref="J95" ca="1">IF(OR(B95&lt;&gt;"S",CÁLCULO.FrentesPreenchidas=0),"",IF(AND(ACOMPANHAMENTO="PLE",AUTOEVENTO="Manual",OR(H95&gt;0,ORÇAMENTO!AC95="QUANT."),OR(K95="",M95=0,N95="")),"►E",IF(AND(ACOMPANHAMENTO="PLE",ORÇAMENTO!AC95="QUANT."),"►Q",IF(AND(ACOMPANHAMENTO="PLE",H95&lt;&gt;SUMPRODUCT(($Q$1:$AI$1=1)*ROUND(Q95:AI95,15))),"►S",IF(AND(COUNTIF($P$11:$AI$11,"▼")=0,H95&gt;0,I95=""),"◄M","")))))</f>
        <v>#NAME?</v>
      </c>
      <c r="K95" s="652"/>
      <c r="L95" s="165" t="s">
        <v>764</v>
      </c>
      <c r="M95" s="166">
        <f ca="1">IF($D95&lt;&gt;"Serviço","",
          IF(AUTOEVENTO="manual",$A95,
                IF(ISERROR(MATCH($A95,$A$15:OFFSET($A95,-1,0),0)),MAX($M$15:OFFSET(M95,-1,0))+1,
                      INDEX($M$15:OFFSET(M95,-1,0),MATCH($A95,$A$15:OFFSET($A95,-1,0),0)))))</f>
        <v>14</v>
      </c>
      <c r="N95" s="167" t="str">
        <f ca="1">IF($D95&lt;&gt;"Serviço","",
         IF(AUTOEVENTO="Manual",
                IF($A95=0,"&lt;-- defina o número do agrupador",
                       OFFSET(EVENTOS!$D$15,$A95-$A$15,0)),
                OFFSET($F$15,$A95,0)))</f>
        <v>DRENAGEM</v>
      </c>
      <c r="O95" s="168"/>
      <c r="Q95" s="168"/>
      <c r="R95" s="169"/>
      <c r="S95" s="169"/>
      <c r="T95" s="169"/>
      <c r="U95" s="169">
        <f>143*0.8*1.1</f>
        <v>125.84000000000002</v>
      </c>
      <c r="V95" s="169"/>
      <c r="W95" s="169"/>
      <c r="X95" s="169"/>
      <c r="Y95" s="169"/>
      <c r="Z95" s="170"/>
      <c r="AA95" s="169"/>
      <c r="AB95" s="169"/>
      <c r="AC95" s="169"/>
      <c r="AD95" s="169"/>
      <c r="AE95" s="169"/>
      <c r="AF95" s="169"/>
      <c r="AG95" s="169"/>
      <c r="AH95" s="170"/>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L95" s="453">
        <f ca="1">IF(AND($D95="Serviço",AL$12&lt;&gt;0,$H95&gt;0,OR(AUTOEVENTO&lt;&gt;"manual",$M95&lt;&gt;$A$15)),
        IF(Import.TipoArredondamento&lt;&gt;"TransfereGOV",
              ROUND(OFFSET($P95,0,AL$13),15-13*ORÇAMENTO!$AF$7)/$H95*OFFSET(ORÇAMENTO!$X$15,ROW(AL95)-ROW(AL$15),0),
              ROUND(ROUND(OFFSET($P95,0,AL$13),15-13*ORÇAMENTO!$AF$7)*OFFSET(ORÇAMENTO!$W$15,ROW(AL95)-ROW(AL$15),0),15-13*ORÇAMENTO!$AF$11)),
         0)</f>
        <v>0</v>
      </c>
      <c r="AM95" s="453">
        <f ca="1">IF(AND($D95="Serviço",AM$12&lt;&gt;0,$H95&gt;0,OR(AUTOEVENTO&lt;&gt;"manual",$M95&lt;&gt;$A$15)),
        IF(Import.TipoArredondamento&lt;&gt;"TransfereGOV",
              ROUND(OFFSET($P95,0,AM$13),15-13*ORÇAMENTO!$AF$7)/$H95*OFFSET(ORÇAMENTO!$X$15,ROW(AM95)-ROW(AM$15),0),
              ROUND(ROUND(OFFSET($P95,0,AM$13),15-13*ORÇAMENTO!$AF$7)*OFFSET(ORÇAMENTO!$W$15,ROW(AM95)-ROW(AM$15),0),15-13*ORÇAMENTO!$AF$11)),
         0)</f>
        <v>0</v>
      </c>
      <c r="AN95" s="453">
        <f ca="1">IF(AND($D95="Serviço",AN$12&lt;&gt;0,$H95&gt;0,OR(AUTOEVENTO&lt;&gt;"manual",$M95&lt;&gt;$A$15)),
        IF(Import.TipoArredondamento&lt;&gt;"TransfereGOV",
              ROUND(OFFSET($P95,0,AN$13),15-13*ORÇAMENTO!$AF$7)/$H95*OFFSET(ORÇAMENTO!$X$15,ROW(AN95)-ROW(AN$15),0),
              ROUND(ROUND(OFFSET($P95,0,AN$13),15-13*ORÇAMENTO!$AF$7)*OFFSET(ORÇAMENTO!$W$15,ROW(AN95)-ROW(AN$15),0),15-13*ORÇAMENTO!$AF$11)),
         0)</f>
        <v>1140.1099999999999</v>
      </c>
      <c r="AO95" s="453">
        <f ca="1">IF(AND($D95="Serviço",AO$12&lt;&gt;0,$H95&gt;0,OR(AUTOEVENTO&lt;&gt;"manual",$M95&lt;&gt;$A$15)),
        IF(Import.TipoArredondamento&lt;&gt;"TransfereGOV",
              ROUND(OFFSET($P95,0,AO$13),15-13*ORÇAMENTO!$AF$7)/$H95*OFFSET(ORÇAMENTO!$X$15,ROW(AO95)-ROW(AO$15),0),
              ROUND(ROUND(OFFSET($P95,0,AO$13),15-13*ORÇAMENTO!$AF$7)*OFFSET(ORÇAMENTO!$W$15,ROW(AO95)-ROW(AO$15),0),15-13*ORÇAMENTO!$AF$11)),
         0)</f>
        <v>0</v>
      </c>
      <c r="AP95" s="453">
        <f ca="1">IF(AND($D95="Serviço",AP$12&lt;&gt;0,$H95&gt;0,OR(AUTOEVENTO&lt;&gt;"manual",$M95&lt;&gt;$A$15)),
        IF(Import.TipoArredondamento&lt;&gt;"TransfereGOV",
              ROUND(OFFSET($P95,0,AP$13),15-13*ORÇAMENTO!$AF$7)/$H95*OFFSET(ORÇAMENTO!$X$15,ROW(AP95)-ROW(AP$15),0),
              ROUND(ROUND(OFFSET($P95,0,AP$13),15-13*ORÇAMENTO!$AF$7)*OFFSET(ORÇAMENTO!$W$15,ROW(AP95)-ROW(AP$15),0),15-13*ORÇAMENTO!$AF$11)),
         0)</f>
        <v>0</v>
      </c>
      <c r="AQ95" s="453">
        <f ca="1">IF(AND($D95="Serviço",AQ$12&lt;&gt;0,$H95&gt;0,OR(AUTOEVENTO&lt;&gt;"manual",$M95&lt;&gt;$A$15)),
        IF(Import.TipoArredondamento&lt;&gt;"TransfereGOV",
              ROUND(OFFSET($P95,0,AQ$13),15-13*ORÇAMENTO!$AF$7)/$H95*OFFSET(ORÇAMENTO!$X$15,ROW(AQ95)-ROW(AQ$15),0),
              ROUND(ROUND(OFFSET($P95,0,AQ$13),15-13*ORÇAMENTO!$AF$7)*OFFSET(ORÇAMENTO!$W$15,ROW(AQ95)-ROW(AQ$15),0),15-13*ORÇAMENTO!$AF$11)),
         0)</f>
        <v>0</v>
      </c>
      <c r="AR95" s="453">
        <f ca="1">IF(AND($D95="Serviço",AR$12&lt;&gt;0,$H95&gt;0,OR(AUTOEVENTO&lt;&gt;"manual",$M95&lt;&gt;$A$15)),
        IF(Import.TipoArredondamento&lt;&gt;"TransfereGOV",
              ROUND(OFFSET($P95,0,AR$13),15-13*ORÇAMENTO!$AF$7)/$H95*OFFSET(ORÇAMENTO!$X$15,ROW(AR95)-ROW(AR$15),0),
              ROUND(ROUND(OFFSET($P95,0,AR$13),15-13*ORÇAMENTO!$AF$7)*OFFSET(ORÇAMENTO!$W$15,ROW(AR95)-ROW(AR$15),0),15-13*ORÇAMENTO!$AF$11)),
         0)</f>
        <v>0</v>
      </c>
      <c r="AS95" s="453">
        <f ca="1">IF(AND($D95="Serviço",AS$12&lt;&gt;0,$H95&gt;0,OR(AUTOEVENTO&lt;&gt;"manual",$M95&lt;&gt;$A$15)),
        IF(Import.TipoArredondamento&lt;&gt;"TransfereGOV",
              ROUND(OFFSET($P95,0,AS$13),15-13*ORÇAMENTO!$AF$7)/$H95*OFFSET(ORÇAMENTO!$X$15,ROW(AS95)-ROW(AS$15),0),
              ROUND(ROUND(OFFSET($P95,0,AS$13),15-13*ORÇAMENTO!$AF$7)*OFFSET(ORÇAMENTO!$W$15,ROW(AS95)-ROW(AS$15),0),15-13*ORÇAMENTO!$AF$11)),
         0)</f>
        <v>0</v>
      </c>
      <c r="AT95" s="453">
        <f ca="1">IF(AND($D95="Serviço",AT$12&lt;&gt;0,$H95&gt;0,OR(AUTOEVENTO&lt;&gt;"manual",$M95&lt;&gt;$A$15)),
        IF(Import.TipoArredondamento&lt;&gt;"TransfereGOV",
              ROUND(OFFSET($P95,0,AT$13),15-13*ORÇAMENTO!$AF$7)/$H95*OFFSET(ORÇAMENTO!$X$15,ROW(AT95)-ROW(AT$15),0),
              ROUND(ROUND(OFFSET($P95,0,AT$13),15-13*ORÇAMENTO!$AF$7)*OFFSET(ORÇAMENTO!$W$15,ROW(AT95)-ROW(AT$15),0),15-13*ORÇAMENTO!$AF$11)),
         0)</f>
        <v>0</v>
      </c>
      <c r="AU95" s="453">
        <f ca="1">IF(AND($D95="Serviço",AU$12&lt;&gt;0,$H95&gt;0,OR(AUTOEVENTO&lt;&gt;"manual",$M95&lt;&gt;$A$15)),
        IF(Import.TipoArredondamento&lt;&gt;"TransfereGOV",
              ROUND(OFFSET($P95,0,AU$13),15-13*ORÇAMENTO!$AF$7)/$H95*OFFSET(ORÇAMENTO!$X$15,ROW(AU95)-ROW(AU$15),0),
              ROUND(ROUND(OFFSET($P95,0,AU$13),15-13*ORÇAMENTO!$AF$7)*OFFSET(ORÇAMENTO!$W$15,ROW(AU95)-ROW(AU$15),0),15-13*ORÇAMENTO!$AF$11)),
         0)</f>
        <v>0</v>
      </c>
      <c r="AV95" s="453">
        <f ca="1">IF(AND($D95="Serviço",AV$12&lt;&gt;0,$H95&gt;0,OR(AUTOEVENTO&lt;&gt;"manual",$M95&lt;&gt;$A$15)),
        IF(Import.TipoArredondamento&lt;&gt;"TransfereGOV",
              ROUND(OFFSET($P95,0,AV$13),15-13*ORÇAMENTO!$AF$7)/$H95*OFFSET(ORÇAMENTO!$X$15,ROW(AV95)-ROW(AV$15),0),
              ROUND(ROUND(OFFSET($P95,0,AV$13),15-13*ORÇAMENTO!$AF$7)*OFFSET(ORÇAMENTO!$W$15,ROW(AV95)-ROW(AV$15),0),15-13*ORÇAMENTO!$AF$11)),
         0)</f>
        <v>0</v>
      </c>
      <c r="AW95" s="453">
        <f ca="1">IF(AND($D95="Serviço",AW$12&lt;&gt;0,$H95&gt;0,OR(AUTOEVENTO&lt;&gt;"manual",$M95&lt;&gt;$A$15)),
        IF(Import.TipoArredondamento&lt;&gt;"TransfereGOV",
              ROUND(OFFSET($P95,0,AW$13),15-13*ORÇAMENTO!$AF$7)/$H95*OFFSET(ORÇAMENTO!$X$15,ROW(AW95)-ROW(AW$15),0),
              ROUND(ROUND(OFFSET($P95,0,AW$13),15-13*ORÇAMENTO!$AF$7)*OFFSET(ORÇAMENTO!$W$15,ROW(AW95)-ROW(AW$15),0),15-13*ORÇAMENTO!$AF$11)),
         0)</f>
        <v>0</v>
      </c>
      <c r="AX95" s="453">
        <f ca="1">IF(AND($D95="Serviço",AX$12&lt;&gt;0,$H95&gt;0,OR(AUTOEVENTO&lt;&gt;"manual",$M95&lt;&gt;$A$15)),
        IF(Import.TipoArredondamento&lt;&gt;"TransfereGOV",
              ROUND(OFFSET($P95,0,AX$13),15-13*ORÇAMENTO!$AF$7)/$H95*OFFSET(ORÇAMENTO!$X$15,ROW(AX95)-ROW(AX$15),0),
              ROUND(ROUND(OFFSET($P95,0,AX$13),15-13*ORÇAMENTO!$AF$7)*OFFSET(ORÇAMENTO!$W$15,ROW(AX95)-ROW(AX$15),0),15-13*ORÇAMENTO!$AF$11)),
         0)</f>
        <v>0</v>
      </c>
      <c r="AY95" s="453">
        <f ca="1">IF(AND($D95="Serviço",AY$12&lt;&gt;0,$H95&gt;0,OR(AUTOEVENTO&lt;&gt;"manual",$M95&lt;&gt;$A$15)),
        IF(Import.TipoArredondamento&lt;&gt;"TransfereGOV",
              ROUND(OFFSET($P95,0,AY$13),15-13*ORÇAMENTO!$AF$7)/$H95*OFFSET(ORÇAMENTO!$X$15,ROW(AY95)-ROW(AY$15),0),
              ROUND(ROUND(OFFSET($P95,0,AY$13),15-13*ORÇAMENTO!$AF$7)*OFFSET(ORÇAMENTO!$W$15,ROW(AY95)-ROW(AY$15),0),15-13*ORÇAMENTO!$AF$11)),
         0)</f>
        <v>0</v>
      </c>
      <c r="AZ95" s="453">
        <f ca="1">IF(AND($D95="Serviço",AZ$12&lt;&gt;0,$H95&gt;0,OR(AUTOEVENTO&lt;&gt;"manual",$M95&lt;&gt;$A$15)),
        IF(Import.TipoArredondamento&lt;&gt;"TransfereGOV",
              ROUND(OFFSET($P95,0,AZ$13),15-13*ORÇAMENTO!$AF$7)/$H95*OFFSET(ORÇAMENTO!$X$15,ROW(AZ95)-ROW(AZ$15),0),
              ROUND(ROUND(OFFSET($P95,0,AZ$13),15-13*ORÇAMENTO!$AF$7)*OFFSET(ORÇAMENTO!$W$15,ROW(AZ95)-ROW(AZ$15),0),15-13*ORÇAMENTO!$AF$11)),
         0)</f>
        <v>0</v>
      </c>
      <c r="BA95" s="453">
        <f ca="1">IF(AND($D95="Serviço",BA$12&lt;&gt;0,$H95&gt;0,OR(AUTOEVENTO&lt;&gt;"manual",$M95&lt;&gt;$A$15)),
        IF(Import.TipoArredondamento&lt;&gt;"TransfereGOV",
              ROUND(OFFSET($P95,0,BA$13),15-13*ORÇAMENTO!$AF$7)/$H95*OFFSET(ORÇAMENTO!$X$15,ROW(BA95)-ROW(BA$15),0),
              ROUND(ROUND(OFFSET($P95,0,BA$13),15-13*ORÇAMENTO!$AF$7)*OFFSET(ORÇAMENTO!$W$15,ROW(BA95)-ROW(BA$15),0),15-13*ORÇAMENTO!$AF$11)),
         0)</f>
        <v>0</v>
      </c>
      <c r="BC95" s="171">
        <f ca="1">IF(OR($D95&lt;&gt;"Serviço",AND(AUTOEVENTO="Manual",$M95=$A$15)),0,
         IF(OFFSET(CRONOPLE!$F$15,$M95-$A$15,BC$13)=0,10^12,OFFSET(CRONOPLE!$F$15,$M95-$A$15,BC$13)))</f>
        <v>1000000000000</v>
      </c>
      <c r="BD95" s="171">
        <f ca="1">IF(OR($D95&lt;&gt;"Serviço",AND(AUTOEVENTO="Manual",$M95=$A$15)),0,
         IF(OFFSET(CRONOPLE!$F$15,$M95-$A$15,BD$13)=0,10^12,OFFSET(CRONOPLE!$F$15,$M95-$A$15,BD$13)))</f>
        <v>1000000000000</v>
      </c>
      <c r="BE95" s="171">
        <f ca="1">IF(OR($D95&lt;&gt;"Serviço",AND(AUTOEVENTO="Manual",$M95=$A$15)),0,
         IF(OFFSET(CRONOPLE!$F$15,$M95-$A$15,BE$13)=0,10^12,OFFSET(CRONOPLE!$F$15,$M95-$A$15,BE$13)))</f>
        <v>1000000000000</v>
      </c>
      <c r="BF95" s="171">
        <f ca="1">IF(OR($D95&lt;&gt;"Serviço",AND(AUTOEVENTO="Manual",$M95=$A$15)),0,
         IF(OFFSET(CRONOPLE!$F$15,$M95-$A$15,BF$13)=0,10^12,OFFSET(CRONOPLE!$F$15,$M95-$A$15,BF$13)))</f>
        <v>1000000000000</v>
      </c>
      <c r="BG95" s="171">
        <f ca="1">IF(OR($D95&lt;&gt;"Serviço",AND(AUTOEVENTO="Manual",$M95=$A$15)),0,
         IF(OFFSET(CRONOPLE!$F$15,$M95-$A$15,BG$13)=0,10^12,OFFSET(CRONOPLE!$F$15,$M95-$A$15,BG$13)))</f>
        <v>3</v>
      </c>
      <c r="BH95" s="171">
        <f ca="1">IF(OR($D95&lt;&gt;"Serviço",AND(AUTOEVENTO="Manual",$M95=$A$15)),0,
         IF(OFFSET(CRONOPLE!$F$15,$M95-$A$15,BH$13)=0,10^12,OFFSET(CRONOPLE!$F$15,$M95-$A$15,BH$13)))</f>
        <v>1000000000000</v>
      </c>
      <c r="BI95" s="171">
        <f ca="1">IF(OR($D95&lt;&gt;"Serviço",AND(AUTOEVENTO="Manual",$M95=$A$15)),0,
         IF(OFFSET(CRONOPLE!$F$15,$M95-$A$15,BI$13)=0,10^12,OFFSET(CRONOPLE!$F$15,$M95-$A$15,BI$13)))</f>
        <v>1000000000000</v>
      </c>
      <c r="BJ95" s="171">
        <f ca="1">IF(OR($D95&lt;&gt;"Serviço",AND(AUTOEVENTO="Manual",$M95=$A$15)),0,
         IF(OFFSET(CRONOPLE!$F$15,$M95-$A$15,BJ$13)=0,10^12,OFFSET(CRONOPLE!$F$15,$M95-$A$15,BJ$13)))</f>
        <v>1000000000000</v>
      </c>
      <c r="BK95" s="171">
        <f ca="1">IF(OR($D95&lt;&gt;"Serviço",AND(AUTOEVENTO="Manual",$M95=$A$15)),0,
         IF(OFFSET(CRONOPLE!$F$15,$M95-$A$15,BK$13)=0,10^12,OFFSET(CRONOPLE!$F$15,$M95-$A$15,BK$13)))</f>
        <v>1000000000000</v>
      </c>
      <c r="BL95" s="171">
        <f ca="1">IF(OR($D95&lt;&gt;"Serviço",AND(AUTOEVENTO="Manual",$M95=$A$15)),0,
         IF(OFFSET(CRONOPLE!$F$15,$M95-$A$15,BL$13)=0,10^12,OFFSET(CRONOPLE!$F$15,$M95-$A$15,BL$13)))</f>
        <v>1000000000000</v>
      </c>
      <c r="BM95" s="171">
        <f ca="1">IF(OR($D95&lt;&gt;"Serviço",AND(AUTOEVENTO="Manual",$M95=$A$15)),0,
         IF(OFFSET(CRONOPLE!$F$15,$M95-$A$15,BM$13)=0,10^12,OFFSET(CRONOPLE!$F$15,$M95-$A$15,BM$13)))</f>
        <v>1000000000000</v>
      </c>
      <c r="BN95" s="171">
        <f ca="1">IF(OR($D95&lt;&gt;"Serviço",AND(AUTOEVENTO="Manual",$M95=$A$15)),0,
         IF(OFFSET(CRONOPLE!$F$15,$M95-$A$15,BN$13)=0,10^12,OFFSET(CRONOPLE!$F$15,$M95-$A$15,BN$13)))</f>
        <v>1000000000000</v>
      </c>
      <c r="BO95" s="171">
        <f ca="1">IF(OR($D95&lt;&gt;"Serviço",AND(AUTOEVENTO="Manual",$M95=$A$15)),0,
         IF(OFFSET(CRONOPLE!$F$15,$M95-$A$15,BO$13)=0,10^12,OFFSET(CRONOPLE!$F$15,$M95-$A$15,BO$13)))</f>
        <v>1000000000000</v>
      </c>
      <c r="BP95" s="171">
        <f ca="1">IF(OR($D95&lt;&gt;"Serviço",AND(AUTOEVENTO="Manual",$M95=$A$15)),0,
         IF(OFFSET(CRONOPLE!$F$15,$M95-$A$15,BP$13)=0,10^12,OFFSET(CRONOPLE!$F$15,$M95-$A$15,BP$13)))</f>
        <v>1000000000000</v>
      </c>
      <c r="BQ95" s="171">
        <f ca="1">IF(OR($D95&lt;&gt;"Serviço",AND(AUTOEVENTO="Manual",$M95=$A$15)),0,
         IF(OFFSET(CRONOPLE!$F$15,$M95-$A$15,BQ$13)=0,10^12,OFFSET(CRONOPLE!$F$15,$M95-$A$15,BQ$13)))</f>
        <v>1000000000000</v>
      </c>
      <c r="BR95" s="171">
        <f ca="1">IF(OR($D95&lt;&gt;"Serviço",AND(AUTOEVENTO="Manual",$M95=$A$15)),0,
         IF(OFFSET(CRONOPLE!$F$15,$M95-$A$15,BR$13)=0,10^12,OFFSET(CRONOPLE!$F$15,$M95-$A$15,BR$13)))</f>
        <v>1000000000000</v>
      </c>
      <c r="BS95" s="171">
        <f ca="1">IF(OR($D95&lt;&gt;"Serviço",AND(AUTOEVENTO="Manual",$M95=$A$15)),0,
         IF(OFFSET(CRONOPLE!$F$15,$M95-$A$15,BS$13)=0,10^12,OFFSET(CRONOPLE!$F$15,$M95-$A$15,BS$13)))</f>
        <v>1000000000000</v>
      </c>
      <c r="BT95" s="171">
        <f ca="1">IF(OR($D95&lt;&gt;"Serviço",AND(AUTOEVENTO="Manual",$M95=$A$15)),0,
         IF(OFFSET(CRONOPLE!$F$15,$M95-$A$15,BT$13)=0,10^12,OFFSET(CRONOPLE!$F$15,$M95-$A$15,BT$13)))</f>
        <v>1000000000000</v>
      </c>
      <c r="BV95" s="172">
        <f ca="1">IF(OR($D95&lt;&gt;"Serviço",AND(AUTOEVENTO="Manual",$M95=$A$15),$M95&gt;(ROW(PLE.lastrow)-ROW(PLE.firstrow))),0,
           IF(OFFSET(PLE!$G$15,$M95-$A$15,BV$13)="",10^12,OFFSET(PLE!$G$15,$M95-$A$15,BV$13)))</f>
        <v>1000000000000</v>
      </c>
      <c r="BW95" s="172">
        <f ca="1">IF(OR($D95&lt;&gt;"Serviço",AND(AUTOEVENTO="Manual",$M95=$A$15),$M95&gt;(ROW(PLE.lastrow)-ROW(PLE.firstrow))),0,
           IF(OFFSET(PLE!$G$15,$M95-$A$15,BW$13)="",10^12,OFFSET(PLE!$G$15,$M95-$A$15,BW$13)))</f>
        <v>1000000000000</v>
      </c>
      <c r="BX95" s="172">
        <f ca="1">IF(OR($D95&lt;&gt;"Serviço",AND(AUTOEVENTO="Manual",$M95=$A$15),$M95&gt;(ROW(PLE.lastrow)-ROW(PLE.firstrow))),0,
           IF(OFFSET(PLE!$G$15,$M95-$A$15,BX$13)="",10^12,OFFSET(PLE!$G$15,$M95-$A$15,BX$13)))</f>
        <v>1000000000000</v>
      </c>
      <c r="BY95" s="172">
        <f ca="1">IF(OR($D95&lt;&gt;"Serviço",AND(AUTOEVENTO="Manual",$M95=$A$15),$M95&gt;(ROW(PLE.lastrow)-ROW(PLE.firstrow))),0,
           IF(OFFSET(PLE!$G$15,$M95-$A$15,BY$13)="",10^12,OFFSET(PLE!$G$15,$M95-$A$15,BY$13)))</f>
        <v>1000000000000</v>
      </c>
      <c r="BZ95" s="172">
        <f ca="1">IF(OR($D95&lt;&gt;"Serviço",AND(AUTOEVENTO="Manual",$M95=$A$15),$M95&gt;(ROW(PLE.lastrow)-ROW(PLE.firstrow))),0,
           IF(OFFSET(PLE!$G$15,$M95-$A$15,BZ$13)="",10^12,OFFSET(PLE!$G$15,$M95-$A$15,BZ$13)))</f>
        <v>1000000000000</v>
      </c>
      <c r="CA95" s="172">
        <f ca="1">IF(OR($D95&lt;&gt;"Serviço",AND(AUTOEVENTO="Manual",$M95=$A$15),$M95&gt;(ROW(PLE.lastrow)-ROW(PLE.firstrow))),0,
           IF(OFFSET(PLE!$G$15,$M95-$A$15,CA$13)="",10^12,OFFSET(PLE!$G$15,$M95-$A$15,CA$13)))</f>
        <v>1000000000000</v>
      </c>
      <c r="CB95" s="172">
        <f ca="1">IF(OR($D95&lt;&gt;"Serviço",AND(AUTOEVENTO="Manual",$M95=$A$15),$M95&gt;(ROW(PLE.lastrow)-ROW(PLE.firstrow))),0,
           IF(OFFSET(PLE!$G$15,$M95-$A$15,CB$13)="",10^12,OFFSET(PLE!$G$15,$M95-$A$15,CB$13)))</f>
        <v>1000000000000</v>
      </c>
      <c r="CC95" s="172">
        <f ca="1">IF(OR($D95&lt;&gt;"Serviço",AND(AUTOEVENTO="Manual",$M95=$A$15),$M95&gt;(ROW(PLE.lastrow)-ROW(PLE.firstrow))),0,
           IF(OFFSET(PLE!$G$15,$M95-$A$15,CC$13)="",10^12,OFFSET(PLE!$G$15,$M95-$A$15,CC$13)))</f>
        <v>1000000000000</v>
      </c>
      <c r="CD95" s="172">
        <f ca="1">IF(OR($D95&lt;&gt;"Serviço",AND(AUTOEVENTO="Manual",$M95=$A$15),$M95&gt;(ROW(PLE.lastrow)-ROW(PLE.firstrow))),0,
           IF(OFFSET(PLE!$G$15,$M95-$A$15,CD$13)="",10^12,OFFSET(PLE!$G$15,$M95-$A$15,CD$13)))</f>
        <v>1000000000000</v>
      </c>
      <c r="CE95" s="172">
        <f ca="1">IF(OR($D95&lt;&gt;"Serviço",AND(AUTOEVENTO="Manual",$M95=$A$15),$M95&gt;(ROW(PLE.lastrow)-ROW(PLE.firstrow))),0,
           IF(OFFSET(PLE!$G$15,$M95-$A$15,CE$13)="",10^12,OFFSET(PLE!$G$15,$M95-$A$15,CE$13)))</f>
        <v>1000000000000</v>
      </c>
      <c r="CF95" s="172">
        <f ca="1">IF(OR($D95&lt;&gt;"Serviço",AND(AUTOEVENTO="Manual",$M95=$A$15),$M95&gt;(ROW(PLE.lastrow)-ROW(PLE.firstrow))),0,
           IF(OFFSET(PLE!$G$15,$M95-$A$15,CF$13)="",10^12,OFFSET(PLE!$G$15,$M95-$A$15,CF$13)))</f>
        <v>1000000000000</v>
      </c>
      <c r="CG95" s="172">
        <f ca="1">IF(OR($D95&lt;&gt;"Serviço",AND(AUTOEVENTO="Manual",$M95=$A$15),$M95&gt;(ROW(PLE.lastrow)-ROW(PLE.firstrow))),0,
           IF(OFFSET(PLE!$G$15,$M95-$A$15,CG$13)="",10^12,OFFSET(PLE!$G$15,$M95-$A$15,CG$13)))</f>
        <v>1000000000000</v>
      </c>
      <c r="CH95" s="172">
        <f ca="1">IF(OR($D95&lt;&gt;"Serviço",AND(AUTOEVENTO="Manual",$M95=$A$15),$M95&gt;(ROW(PLE.lastrow)-ROW(PLE.firstrow))),0,
           IF(OFFSET(PLE!$G$15,$M95-$A$15,CH$13)="",10^12,OFFSET(PLE!$G$15,$M95-$A$15,CH$13)))</f>
        <v>1000000000000</v>
      </c>
      <c r="CI95" s="172">
        <f ca="1">IF(OR($D95&lt;&gt;"Serviço",AND(AUTOEVENTO="Manual",$M95=$A$15),$M95&gt;(ROW(PLE.lastrow)-ROW(PLE.firstrow))),0,
           IF(OFFSET(PLE!$G$15,$M95-$A$15,CI$13)="",10^12,OFFSET(PLE!$G$15,$M95-$A$15,CI$13)))</f>
        <v>1000000000000</v>
      </c>
      <c r="CJ95" s="172">
        <f ca="1">IF(OR($D95&lt;&gt;"Serviço",AND(AUTOEVENTO="Manual",$M95=$A$15),$M95&gt;(ROW(PLE.lastrow)-ROW(PLE.firstrow))),0,
           IF(OFFSET(PLE!$G$15,$M95-$A$15,CJ$13)="",10^12,OFFSET(PLE!$G$15,$M95-$A$15,CJ$13)))</f>
        <v>1000000000000</v>
      </c>
      <c r="CK95" s="172">
        <f ca="1">IF(OR($D95&lt;&gt;"Serviço",AND(AUTOEVENTO="Manual",$M95=$A$15),$M95&gt;(ROW(PLE.lastrow)-ROW(PLE.firstrow))),0,
           IF(OFFSET(PLE!$G$15,$M95-$A$15,CK$13)="",10^12,OFFSET(PLE!$G$15,$M95-$A$15,CK$13)))</f>
        <v>1000000000000</v>
      </c>
      <c r="CL95" s="172">
        <f ca="1">IF(OR($D95&lt;&gt;"Serviço",AND(AUTOEVENTO="Manual",$M95=$A$15),$M95&gt;(ROW(PLE.lastrow)-ROW(PLE.firstrow))),0,
           IF(OFFSET(PLE!$G$15,$M95-$A$15,CL$13)="",10^12,OFFSET(PLE!$G$15,$M95-$A$15,CL$13)))</f>
        <v>1000000000000</v>
      </c>
      <c r="CM95" s="172">
        <f ca="1">IF(OR($D95&lt;&gt;"Serviço",AND(AUTOEVENTO="Manual",$M95=$A$15),$M95&gt;(ROW(PLE.lastrow)-ROW(PLE.firstrow))),0,
           IF(OFFSET(PLE!$G$15,$M95-$A$15,CM$13)="",10^12,OFFSET(PLE!$G$15,$M95-$A$15,CM$13)))</f>
        <v>1000000000000</v>
      </c>
    </row>
    <row r="96" spans="1:91" ht="26.4" x14ac:dyDescent="0.25">
      <c r="A96" s="7" t="str">
        <f t="shared" ca="1" si="11"/>
        <v>79</v>
      </c>
      <c r="B96" s="7" t="str">
        <f ca="1">OFFSET(ORÇAMENTO!C$15,ROW(B96)-ROW(B$15),0)</f>
        <v>S</v>
      </c>
      <c r="C96" s="7" t="str">
        <f ca="1">OFFSET(ORÇAMENTO!L$15,ROW(C96)-ROW(C$15),0)</f>
        <v>F</v>
      </c>
      <c r="D96" s="116" t="str">
        <f ca="1">OFFSET(ORÇAMENTO!N$15,ROW(D96)-ROW(D$15),0)</f>
        <v>Serviço</v>
      </c>
      <c r="E96" s="117" t="str">
        <f ca="1">OFFSET(ORÇAMENTO!O$15,ROW(E96)-ROW(E$15),0)</f>
        <v>3.1.2.</v>
      </c>
      <c r="F96" s="163" t="str">
        <f ca="1">OFFSET(ORÇAMENTO!R$15,ROW(F96)-ROW(F$15),0)</f>
        <v>Tubo de concreto PA1 comercial para drenagem - D = 0,60 m - fornecimento e instalação</v>
      </c>
      <c r="G96" s="164" t="str">
        <f ca="1">IF($D96&lt;&gt;"Serviço","",OFFSET(ORÇAMENTO!S$15,ROW(G96)-ROW(G$15),0))</f>
        <v>m</v>
      </c>
      <c r="H96" s="122" cm="1">
        <f t="array" aca="1" ref="H96" ca="1">IF($D96&lt;&gt;"Serviço",0,IF(ACOMPANHAMENTO="BM",ROUND(OFFSET(ORÇAMENTO!AJ$15,ROW(H96)-ROW(H$15),0),15-13*ORÇAMENTO!$AF$7),SUMPRODUCT(($Q$1:$AI$1=1)*ROUND($Q96:$AI96,15-13*ORÇAMENTO!$AF$7))))</f>
        <v>143</v>
      </c>
      <c r="I96" s="468"/>
      <c r="J96" s="651" t="e" cm="1">
        <f t="array" aca="1" ref="J96" ca="1">IF(OR(B96&lt;&gt;"S",CÁLCULO.FrentesPreenchidas=0),"",IF(AND(ACOMPANHAMENTO="PLE",AUTOEVENTO="Manual",OR(H96&gt;0,ORÇAMENTO!AC96="QUANT."),OR(K96="",M96=0,N96="")),"►E",IF(AND(ACOMPANHAMENTO="PLE",ORÇAMENTO!AC96="QUANT."),"►Q",IF(AND(ACOMPANHAMENTO="PLE",H96&lt;&gt;SUMPRODUCT(($Q$1:$AI$1=1)*ROUND(Q96:AI96,15))),"►S",IF(AND(COUNTIF($P$11:$AI$11,"▼")=0,H96&gt;0,I96=""),"◄M","")))))</f>
        <v>#NAME?</v>
      </c>
      <c r="K96" s="652"/>
      <c r="L96" s="165" t="s">
        <v>764</v>
      </c>
      <c r="M96" s="166">
        <f ca="1">IF($D96&lt;&gt;"Serviço","",
          IF(AUTOEVENTO="manual",$A96,
                IF(ISERROR(MATCH($A96,$A$15:OFFSET($A96,-1,0),0)),MAX($M$15:OFFSET(M96,-1,0))+1,
                      INDEX($M$15:OFFSET(M96,-1,0),MATCH($A96,$A$15:OFFSET($A96,-1,0),0)))))</f>
        <v>14</v>
      </c>
      <c r="N96" s="167" t="str">
        <f ca="1">IF($D96&lt;&gt;"Serviço","",
         IF(AUTOEVENTO="Manual",
                IF($A96=0,"&lt;-- defina o número do agrupador",
                       OFFSET(EVENTOS!$D$15,$A96-$A$15,0)),
                OFFSET($F$15,$A96,0)))</f>
        <v>DRENAGEM</v>
      </c>
      <c r="O96" s="168"/>
      <c r="Q96" s="168"/>
      <c r="R96" s="169"/>
      <c r="S96" s="169"/>
      <c r="T96" s="169"/>
      <c r="U96" s="169">
        <v>143</v>
      </c>
      <c r="V96" s="169"/>
      <c r="W96" s="169"/>
      <c r="X96" s="169"/>
      <c r="Y96" s="169"/>
      <c r="Z96" s="170"/>
      <c r="AA96" s="169"/>
      <c r="AB96" s="169"/>
      <c r="AC96" s="169"/>
      <c r="AD96" s="169"/>
      <c r="AE96" s="169"/>
      <c r="AF96" s="169"/>
      <c r="AG96" s="169"/>
      <c r="AH96" s="170"/>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L96" s="453">
        <f ca="1">IF(AND($D96="Serviço",AL$12&lt;&gt;0,$H96&gt;0,OR(AUTOEVENTO&lt;&gt;"manual",$M96&lt;&gt;$A$15)),
        IF(Import.TipoArredondamento&lt;&gt;"TransfereGOV",
              ROUND(OFFSET($P96,0,AL$13),15-13*ORÇAMENTO!$AF$7)/$H96*OFFSET(ORÇAMENTO!$X$15,ROW(AL96)-ROW(AL$15),0),
              ROUND(ROUND(OFFSET($P96,0,AL$13),15-13*ORÇAMENTO!$AF$7)*OFFSET(ORÇAMENTO!$W$15,ROW(AL96)-ROW(AL$15),0),15-13*ORÇAMENTO!$AF$11)),
         0)</f>
        <v>0</v>
      </c>
      <c r="AM96" s="453">
        <f ca="1">IF(AND($D96="Serviço",AM$12&lt;&gt;0,$H96&gt;0,OR(AUTOEVENTO&lt;&gt;"manual",$M96&lt;&gt;$A$15)),
        IF(Import.TipoArredondamento&lt;&gt;"TransfereGOV",
              ROUND(OFFSET($P96,0,AM$13),15-13*ORÇAMENTO!$AF$7)/$H96*OFFSET(ORÇAMENTO!$X$15,ROW(AM96)-ROW(AM$15),0),
              ROUND(ROUND(OFFSET($P96,0,AM$13),15-13*ORÇAMENTO!$AF$7)*OFFSET(ORÇAMENTO!$W$15,ROW(AM96)-ROW(AM$15),0),15-13*ORÇAMENTO!$AF$11)),
         0)</f>
        <v>0</v>
      </c>
      <c r="AN96" s="453">
        <f ca="1">IF(AND($D96="Serviço",AN$12&lt;&gt;0,$H96&gt;0,OR(AUTOEVENTO&lt;&gt;"manual",$M96&lt;&gt;$A$15)),
        IF(Import.TipoArredondamento&lt;&gt;"TransfereGOV",
              ROUND(OFFSET($P96,0,AN$13),15-13*ORÇAMENTO!$AF$7)/$H96*OFFSET(ORÇAMENTO!$X$15,ROW(AN96)-ROW(AN$15),0),
              ROUND(ROUND(OFFSET($P96,0,AN$13),15-13*ORÇAMENTO!$AF$7)*OFFSET(ORÇAMENTO!$W$15,ROW(AN96)-ROW(AN$15),0),15-13*ORÇAMENTO!$AF$11)),
         0)</f>
        <v>54372.89</v>
      </c>
      <c r="AO96" s="453">
        <f ca="1">IF(AND($D96="Serviço",AO$12&lt;&gt;0,$H96&gt;0,OR(AUTOEVENTO&lt;&gt;"manual",$M96&lt;&gt;$A$15)),
        IF(Import.TipoArredondamento&lt;&gt;"TransfereGOV",
              ROUND(OFFSET($P96,0,AO$13),15-13*ORÇAMENTO!$AF$7)/$H96*OFFSET(ORÇAMENTO!$X$15,ROW(AO96)-ROW(AO$15),0),
              ROUND(ROUND(OFFSET($P96,0,AO$13),15-13*ORÇAMENTO!$AF$7)*OFFSET(ORÇAMENTO!$W$15,ROW(AO96)-ROW(AO$15),0),15-13*ORÇAMENTO!$AF$11)),
         0)</f>
        <v>0</v>
      </c>
      <c r="AP96" s="453">
        <f ca="1">IF(AND($D96="Serviço",AP$12&lt;&gt;0,$H96&gt;0,OR(AUTOEVENTO&lt;&gt;"manual",$M96&lt;&gt;$A$15)),
        IF(Import.TipoArredondamento&lt;&gt;"TransfereGOV",
              ROUND(OFFSET($P96,0,AP$13),15-13*ORÇAMENTO!$AF$7)/$H96*OFFSET(ORÇAMENTO!$X$15,ROW(AP96)-ROW(AP$15),0),
              ROUND(ROUND(OFFSET($P96,0,AP$13),15-13*ORÇAMENTO!$AF$7)*OFFSET(ORÇAMENTO!$W$15,ROW(AP96)-ROW(AP$15),0),15-13*ORÇAMENTO!$AF$11)),
         0)</f>
        <v>0</v>
      </c>
      <c r="AQ96" s="453">
        <f ca="1">IF(AND($D96="Serviço",AQ$12&lt;&gt;0,$H96&gt;0,OR(AUTOEVENTO&lt;&gt;"manual",$M96&lt;&gt;$A$15)),
        IF(Import.TipoArredondamento&lt;&gt;"TransfereGOV",
              ROUND(OFFSET($P96,0,AQ$13),15-13*ORÇAMENTO!$AF$7)/$H96*OFFSET(ORÇAMENTO!$X$15,ROW(AQ96)-ROW(AQ$15),0),
              ROUND(ROUND(OFFSET($P96,0,AQ$13),15-13*ORÇAMENTO!$AF$7)*OFFSET(ORÇAMENTO!$W$15,ROW(AQ96)-ROW(AQ$15),0),15-13*ORÇAMENTO!$AF$11)),
         0)</f>
        <v>0</v>
      </c>
      <c r="AR96" s="453">
        <f ca="1">IF(AND($D96="Serviço",AR$12&lt;&gt;0,$H96&gt;0,OR(AUTOEVENTO&lt;&gt;"manual",$M96&lt;&gt;$A$15)),
        IF(Import.TipoArredondamento&lt;&gt;"TransfereGOV",
              ROUND(OFFSET($P96,0,AR$13),15-13*ORÇAMENTO!$AF$7)/$H96*OFFSET(ORÇAMENTO!$X$15,ROW(AR96)-ROW(AR$15),0),
              ROUND(ROUND(OFFSET($P96,0,AR$13),15-13*ORÇAMENTO!$AF$7)*OFFSET(ORÇAMENTO!$W$15,ROW(AR96)-ROW(AR$15),0),15-13*ORÇAMENTO!$AF$11)),
         0)</f>
        <v>0</v>
      </c>
      <c r="AS96" s="453">
        <f ca="1">IF(AND($D96="Serviço",AS$12&lt;&gt;0,$H96&gt;0,OR(AUTOEVENTO&lt;&gt;"manual",$M96&lt;&gt;$A$15)),
        IF(Import.TipoArredondamento&lt;&gt;"TransfereGOV",
              ROUND(OFFSET($P96,0,AS$13),15-13*ORÇAMENTO!$AF$7)/$H96*OFFSET(ORÇAMENTO!$X$15,ROW(AS96)-ROW(AS$15),0),
              ROUND(ROUND(OFFSET($P96,0,AS$13),15-13*ORÇAMENTO!$AF$7)*OFFSET(ORÇAMENTO!$W$15,ROW(AS96)-ROW(AS$15),0),15-13*ORÇAMENTO!$AF$11)),
         0)</f>
        <v>0</v>
      </c>
      <c r="AT96" s="453">
        <f ca="1">IF(AND($D96="Serviço",AT$12&lt;&gt;0,$H96&gt;0,OR(AUTOEVENTO&lt;&gt;"manual",$M96&lt;&gt;$A$15)),
        IF(Import.TipoArredondamento&lt;&gt;"TransfereGOV",
              ROUND(OFFSET($P96,0,AT$13),15-13*ORÇAMENTO!$AF$7)/$H96*OFFSET(ORÇAMENTO!$X$15,ROW(AT96)-ROW(AT$15),0),
              ROUND(ROUND(OFFSET($P96,0,AT$13),15-13*ORÇAMENTO!$AF$7)*OFFSET(ORÇAMENTO!$W$15,ROW(AT96)-ROW(AT$15),0),15-13*ORÇAMENTO!$AF$11)),
         0)</f>
        <v>0</v>
      </c>
      <c r="AU96" s="453">
        <f ca="1">IF(AND($D96="Serviço",AU$12&lt;&gt;0,$H96&gt;0,OR(AUTOEVENTO&lt;&gt;"manual",$M96&lt;&gt;$A$15)),
        IF(Import.TipoArredondamento&lt;&gt;"TransfereGOV",
              ROUND(OFFSET($P96,0,AU$13),15-13*ORÇAMENTO!$AF$7)/$H96*OFFSET(ORÇAMENTO!$X$15,ROW(AU96)-ROW(AU$15),0),
              ROUND(ROUND(OFFSET($P96,0,AU$13),15-13*ORÇAMENTO!$AF$7)*OFFSET(ORÇAMENTO!$W$15,ROW(AU96)-ROW(AU$15),0),15-13*ORÇAMENTO!$AF$11)),
         0)</f>
        <v>0</v>
      </c>
      <c r="AV96" s="453">
        <f ca="1">IF(AND($D96="Serviço",AV$12&lt;&gt;0,$H96&gt;0,OR(AUTOEVENTO&lt;&gt;"manual",$M96&lt;&gt;$A$15)),
        IF(Import.TipoArredondamento&lt;&gt;"TransfereGOV",
              ROUND(OFFSET($P96,0,AV$13),15-13*ORÇAMENTO!$AF$7)/$H96*OFFSET(ORÇAMENTO!$X$15,ROW(AV96)-ROW(AV$15),0),
              ROUND(ROUND(OFFSET($P96,0,AV$13),15-13*ORÇAMENTO!$AF$7)*OFFSET(ORÇAMENTO!$W$15,ROW(AV96)-ROW(AV$15),0),15-13*ORÇAMENTO!$AF$11)),
         0)</f>
        <v>0</v>
      </c>
      <c r="AW96" s="453">
        <f ca="1">IF(AND($D96="Serviço",AW$12&lt;&gt;0,$H96&gt;0,OR(AUTOEVENTO&lt;&gt;"manual",$M96&lt;&gt;$A$15)),
        IF(Import.TipoArredondamento&lt;&gt;"TransfereGOV",
              ROUND(OFFSET($P96,0,AW$13),15-13*ORÇAMENTO!$AF$7)/$H96*OFFSET(ORÇAMENTO!$X$15,ROW(AW96)-ROW(AW$15),0),
              ROUND(ROUND(OFFSET($P96,0,AW$13),15-13*ORÇAMENTO!$AF$7)*OFFSET(ORÇAMENTO!$W$15,ROW(AW96)-ROW(AW$15),0),15-13*ORÇAMENTO!$AF$11)),
         0)</f>
        <v>0</v>
      </c>
      <c r="AX96" s="453">
        <f ca="1">IF(AND($D96="Serviço",AX$12&lt;&gt;0,$H96&gt;0,OR(AUTOEVENTO&lt;&gt;"manual",$M96&lt;&gt;$A$15)),
        IF(Import.TipoArredondamento&lt;&gt;"TransfereGOV",
              ROUND(OFFSET($P96,0,AX$13),15-13*ORÇAMENTO!$AF$7)/$H96*OFFSET(ORÇAMENTO!$X$15,ROW(AX96)-ROW(AX$15),0),
              ROUND(ROUND(OFFSET($P96,0,AX$13),15-13*ORÇAMENTO!$AF$7)*OFFSET(ORÇAMENTO!$W$15,ROW(AX96)-ROW(AX$15),0),15-13*ORÇAMENTO!$AF$11)),
         0)</f>
        <v>0</v>
      </c>
      <c r="AY96" s="453">
        <f ca="1">IF(AND($D96="Serviço",AY$12&lt;&gt;0,$H96&gt;0,OR(AUTOEVENTO&lt;&gt;"manual",$M96&lt;&gt;$A$15)),
        IF(Import.TipoArredondamento&lt;&gt;"TransfereGOV",
              ROUND(OFFSET($P96,0,AY$13),15-13*ORÇAMENTO!$AF$7)/$H96*OFFSET(ORÇAMENTO!$X$15,ROW(AY96)-ROW(AY$15),0),
              ROUND(ROUND(OFFSET($P96,0,AY$13),15-13*ORÇAMENTO!$AF$7)*OFFSET(ORÇAMENTO!$W$15,ROW(AY96)-ROW(AY$15),0),15-13*ORÇAMENTO!$AF$11)),
         0)</f>
        <v>0</v>
      </c>
      <c r="AZ96" s="453">
        <f ca="1">IF(AND($D96="Serviço",AZ$12&lt;&gt;0,$H96&gt;0,OR(AUTOEVENTO&lt;&gt;"manual",$M96&lt;&gt;$A$15)),
        IF(Import.TipoArredondamento&lt;&gt;"TransfereGOV",
              ROUND(OFFSET($P96,0,AZ$13),15-13*ORÇAMENTO!$AF$7)/$H96*OFFSET(ORÇAMENTO!$X$15,ROW(AZ96)-ROW(AZ$15),0),
              ROUND(ROUND(OFFSET($P96,0,AZ$13),15-13*ORÇAMENTO!$AF$7)*OFFSET(ORÇAMENTO!$W$15,ROW(AZ96)-ROW(AZ$15),0),15-13*ORÇAMENTO!$AF$11)),
         0)</f>
        <v>0</v>
      </c>
      <c r="BA96" s="453">
        <f ca="1">IF(AND($D96="Serviço",BA$12&lt;&gt;0,$H96&gt;0,OR(AUTOEVENTO&lt;&gt;"manual",$M96&lt;&gt;$A$15)),
        IF(Import.TipoArredondamento&lt;&gt;"TransfereGOV",
              ROUND(OFFSET($P96,0,BA$13),15-13*ORÇAMENTO!$AF$7)/$H96*OFFSET(ORÇAMENTO!$X$15,ROW(BA96)-ROW(BA$15),0),
              ROUND(ROUND(OFFSET($P96,0,BA$13),15-13*ORÇAMENTO!$AF$7)*OFFSET(ORÇAMENTO!$W$15,ROW(BA96)-ROW(BA$15),0),15-13*ORÇAMENTO!$AF$11)),
         0)</f>
        <v>0</v>
      </c>
      <c r="BC96" s="171">
        <f ca="1">IF(OR($D96&lt;&gt;"Serviço",AND(AUTOEVENTO="Manual",$M96=$A$15)),0,
         IF(OFFSET(CRONOPLE!$F$15,$M96-$A$15,BC$13)=0,10^12,OFFSET(CRONOPLE!$F$15,$M96-$A$15,BC$13)))</f>
        <v>1000000000000</v>
      </c>
      <c r="BD96" s="171">
        <f ca="1">IF(OR($D96&lt;&gt;"Serviço",AND(AUTOEVENTO="Manual",$M96=$A$15)),0,
         IF(OFFSET(CRONOPLE!$F$15,$M96-$A$15,BD$13)=0,10^12,OFFSET(CRONOPLE!$F$15,$M96-$A$15,BD$13)))</f>
        <v>1000000000000</v>
      </c>
      <c r="BE96" s="171">
        <f ca="1">IF(OR($D96&lt;&gt;"Serviço",AND(AUTOEVENTO="Manual",$M96=$A$15)),0,
         IF(OFFSET(CRONOPLE!$F$15,$M96-$A$15,BE$13)=0,10^12,OFFSET(CRONOPLE!$F$15,$M96-$A$15,BE$13)))</f>
        <v>1000000000000</v>
      </c>
      <c r="BF96" s="171">
        <f ca="1">IF(OR($D96&lt;&gt;"Serviço",AND(AUTOEVENTO="Manual",$M96=$A$15)),0,
         IF(OFFSET(CRONOPLE!$F$15,$M96-$A$15,BF$13)=0,10^12,OFFSET(CRONOPLE!$F$15,$M96-$A$15,BF$13)))</f>
        <v>1000000000000</v>
      </c>
      <c r="BG96" s="171">
        <f ca="1">IF(OR($D96&lt;&gt;"Serviço",AND(AUTOEVENTO="Manual",$M96=$A$15)),0,
         IF(OFFSET(CRONOPLE!$F$15,$M96-$A$15,BG$13)=0,10^12,OFFSET(CRONOPLE!$F$15,$M96-$A$15,BG$13)))</f>
        <v>3</v>
      </c>
      <c r="BH96" s="171">
        <f ca="1">IF(OR($D96&lt;&gt;"Serviço",AND(AUTOEVENTO="Manual",$M96=$A$15)),0,
         IF(OFFSET(CRONOPLE!$F$15,$M96-$A$15,BH$13)=0,10^12,OFFSET(CRONOPLE!$F$15,$M96-$A$15,BH$13)))</f>
        <v>1000000000000</v>
      </c>
      <c r="BI96" s="171">
        <f ca="1">IF(OR($D96&lt;&gt;"Serviço",AND(AUTOEVENTO="Manual",$M96=$A$15)),0,
         IF(OFFSET(CRONOPLE!$F$15,$M96-$A$15,BI$13)=0,10^12,OFFSET(CRONOPLE!$F$15,$M96-$A$15,BI$13)))</f>
        <v>1000000000000</v>
      </c>
      <c r="BJ96" s="171">
        <f ca="1">IF(OR($D96&lt;&gt;"Serviço",AND(AUTOEVENTO="Manual",$M96=$A$15)),0,
         IF(OFFSET(CRONOPLE!$F$15,$M96-$A$15,BJ$13)=0,10^12,OFFSET(CRONOPLE!$F$15,$M96-$A$15,BJ$13)))</f>
        <v>1000000000000</v>
      </c>
      <c r="BK96" s="171">
        <f ca="1">IF(OR($D96&lt;&gt;"Serviço",AND(AUTOEVENTO="Manual",$M96=$A$15)),0,
         IF(OFFSET(CRONOPLE!$F$15,$M96-$A$15,BK$13)=0,10^12,OFFSET(CRONOPLE!$F$15,$M96-$A$15,BK$13)))</f>
        <v>1000000000000</v>
      </c>
      <c r="BL96" s="171">
        <f ca="1">IF(OR($D96&lt;&gt;"Serviço",AND(AUTOEVENTO="Manual",$M96=$A$15)),0,
         IF(OFFSET(CRONOPLE!$F$15,$M96-$A$15,BL$13)=0,10^12,OFFSET(CRONOPLE!$F$15,$M96-$A$15,BL$13)))</f>
        <v>1000000000000</v>
      </c>
      <c r="BM96" s="171">
        <f ca="1">IF(OR($D96&lt;&gt;"Serviço",AND(AUTOEVENTO="Manual",$M96=$A$15)),0,
         IF(OFFSET(CRONOPLE!$F$15,$M96-$A$15,BM$13)=0,10^12,OFFSET(CRONOPLE!$F$15,$M96-$A$15,BM$13)))</f>
        <v>1000000000000</v>
      </c>
      <c r="BN96" s="171">
        <f ca="1">IF(OR($D96&lt;&gt;"Serviço",AND(AUTOEVENTO="Manual",$M96=$A$15)),0,
         IF(OFFSET(CRONOPLE!$F$15,$M96-$A$15,BN$13)=0,10^12,OFFSET(CRONOPLE!$F$15,$M96-$A$15,BN$13)))</f>
        <v>1000000000000</v>
      </c>
      <c r="BO96" s="171">
        <f ca="1">IF(OR($D96&lt;&gt;"Serviço",AND(AUTOEVENTO="Manual",$M96=$A$15)),0,
         IF(OFFSET(CRONOPLE!$F$15,$M96-$A$15,BO$13)=0,10^12,OFFSET(CRONOPLE!$F$15,$M96-$A$15,BO$13)))</f>
        <v>1000000000000</v>
      </c>
      <c r="BP96" s="171">
        <f ca="1">IF(OR($D96&lt;&gt;"Serviço",AND(AUTOEVENTO="Manual",$M96=$A$15)),0,
         IF(OFFSET(CRONOPLE!$F$15,$M96-$A$15,BP$13)=0,10^12,OFFSET(CRONOPLE!$F$15,$M96-$A$15,BP$13)))</f>
        <v>1000000000000</v>
      </c>
      <c r="BQ96" s="171">
        <f ca="1">IF(OR($D96&lt;&gt;"Serviço",AND(AUTOEVENTO="Manual",$M96=$A$15)),0,
         IF(OFFSET(CRONOPLE!$F$15,$M96-$A$15,BQ$13)=0,10^12,OFFSET(CRONOPLE!$F$15,$M96-$A$15,BQ$13)))</f>
        <v>1000000000000</v>
      </c>
      <c r="BR96" s="171">
        <f ca="1">IF(OR($D96&lt;&gt;"Serviço",AND(AUTOEVENTO="Manual",$M96=$A$15)),0,
         IF(OFFSET(CRONOPLE!$F$15,$M96-$A$15,BR$13)=0,10^12,OFFSET(CRONOPLE!$F$15,$M96-$A$15,BR$13)))</f>
        <v>1000000000000</v>
      </c>
      <c r="BS96" s="171">
        <f ca="1">IF(OR($D96&lt;&gt;"Serviço",AND(AUTOEVENTO="Manual",$M96=$A$15)),0,
         IF(OFFSET(CRONOPLE!$F$15,$M96-$A$15,BS$13)=0,10^12,OFFSET(CRONOPLE!$F$15,$M96-$A$15,BS$13)))</f>
        <v>1000000000000</v>
      </c>
      <c r="BT96" s="171">
        <f ca="1">IF(OR($D96&lt;&gt;"Serviço",AND(AUTOEVENTO="Manual",$M96=$A$15)),0,
         IF(OFFSET(CRONOPLE!$F$15,$M96-$A$15,BT$13)=0,10^12,OFFSET(CRONOPLE!$F$15,$M96-$A$15,BT$13)))</f>
        <v>1000000000000</v>
      </c>
      <c r="BV96" s="172">
        <f ca="1">IF(OR($D96&lt;&gt;"Serviço",AND(AUTOEVENTO="Manual",$M96=$A$15),$M96&gt;(ROW(PLE.lastrow)-ROW(PLE.firstrow))),0,
           IF(OFFSET(PLE!$G$15,$M96-$A$15,BV$13)="",10^12,OFFSET(PLE!$G$15,$M96-$A$15,BV$13)))</f>
        <v>1000000000000</v>
      </c>
      <c r="BW96" s="172">
        <f ca="1">IF(OR($D96&lt;&gt;"Serviço",AND(AUTOEVENTO="Manual",$M96=$A$15),$M96&gt;(ROW(PLE.lastrow)-ROW(PLE.firstrow))),0,
           IF(OFFSET(PLE!$G$15,$M96-$A$15,BW$13)="",10^12,OFFSET(PLE!$G$15,$M96-$A$15,BW$13)))</f>
        <v>1000000000000</v>
      </c>
      <c r="BX96" s="172">
        <f ca="1">IF(OR($D96&lt;&gt;"Serviço",AND(AUTOEVENTO="Manual",$M96=$A$15),$M96&gt;(ROW(PLE.lastrow)-ROW(PLE.firstrow))),0,
           IF(OFFSET(PLE!$G$15,$M96-$A$15,BX$13)="",10^12,OFFSET(PLE!$G$15,$M96-$A$15,BX$13)))</f>
        <v>1000000000000</v>
      </c>
      <c r="BY96" s="172">
        <f ca="1">IF(OR($D96&lt;&gt;"Serviço",AND(AUTOEVENTO="Manual",$M96=$A$15),$M96&gt;(ROW(PLE.lastrow)-ROW(PLE.firstrow))),0,
           IF(OFFSET(PLE!$G$15,$M96-$A$15,BY$13)="",10^12,OFFSET(PLE!$G$15,$M96-$A$15,BY$13)))</f>
        <v>1000000000000</v>
      </c>
      <c r="BZ96" s="172">
        <f ca="1">IF(OR($D96&lt;&gt;"Serviço",AND(AUTOEVENTO="Manual",$M96=$A$15),$M96&gt;(ROW(PLE.lastrow)-ROW(PLE.firstrow))),0,
           IF(OFFSET(PLE!$G$15,$M96-$A$15,BZ$13)="",10^12,OFFSET(PLE!$G$15,$M96-$A$15,BZ$13)))</f>
        <v>1000000000000</v>
      </c>
      <c r="CA96" s="172">
        <f ca="1">IF(OR($D96&lt;&gt;"Serviço",AND(AUTOEVENTO="Manual",$M96=$A$15),$M96&gt;(ROW(PLE.lastrow)-ROW(PLE.firstrow))),0,
           IF(OFFSET(PLE!$G$15,$M96-$A$15,CA$13)="",10^12,OFFSET(PLE!$G$15,$M96-$A$15,CA$13)))</f>
        <v>1000000000000</v>
      </c>
      <c r="CB96" s="172">
        <f ca="1">IF(OR($D96&lt;&gt;"Serviço",AND(AUTOEVENTO="Manual",$M96=$A$15),$M96&gt;(ROW(PLE.lastrow)-ROW(PLE.firstrow))),0,
           IF(OFFSET(PLE!$G$15,$M96-$A$15,CB$13)="",10^12,OFFSET(PLE!$G$15,$M96-$A$15,CB$13)))</f>
        <v>1000000000000</v>
      </c>
      <c r="CC96" s="172">
        <f ca="1">IF(OR($D96&lt;&gt;"Serviço",AND(AUTOEVENTO="Manual",$M96=$A$15),$M96&gt;(ROW(PLE.lastrow)-ROW(PLE.firstrow))),0,
           IF(OFFSET(PLE!$G$15,$M96-$A$15,CC$13)="",10^12,OFFSET(PLE!$G$15,$M96-$A$15,CC$13)))</f>
        <v>1000000000000</v>
      </c>
      <c r="CD96" s="172">
        <f ca="1">IF(OR($D96&lt;&gt;"Serviço",AND(AUTOEVENTO="Manual",$M96=$A$15),$M96&gt;(ROW(PLE.lastrow)-ROW(PLE.firstrow))),0,
           IF(OFFSET(PLE!$G$15,$M96-$A$15,CD$13)="",10^12,OFFSET(PLE!$G$15,$M96-$A$15,CD$13)))</f>
        <v>1000000000000</v>
      </c>
      <c r="CE96" s="172">
        <f ca="1">IF(OR($D96&lt;&gt;"Serviço",AND(AUTOEVENTO="Manual",$M96=$A$15),$M96&gt;(ROW(PLE.lastrow)-ROW(PLE.firstrow))),0,
           IF(OFFSET(PLE!$G$15,$M96-$A$15,CE$13)="",10^12,OFFSET(PLE!$G$15,$M96-$A$15,CE$13)))</f>
        <v>1000000000000</v>
      </c>
      <c r="CF96" s="172">
        <f ca="1">IF(OR($D96&lt;&gt;"Serviço",AND(AUTOEVENTO="Manual",$M96=$A$15),$M96&gt;(ROW(PLE.lastrow)-ROW(PLE.firstrow))),0,
           IF(OFFSET(PLE!$G$15,$M96-$A$15,CF$13)="",10^12,OFFSET(PLE!$G$15,$M96-$A$15,CF$13)))</f>
        <v>1000000000000</v>
      </c>
      <c r="CG96" s="172">
        <f ca="1">IF(OR($D96&lt;&gt;"Serviço",AND(AUTOEVENTO="Manual",$M96=$A$15),$M96&gt;(ROW(PLE.lastrow)-ROW(PLE.firstrow))),0,
           IF(OFFSET(PLE!$G$15,$M96-$A$15,CG$13)="",10^12,OFFSET(PLE!$G$15,$M96-$A$15,CG$13)))</f>
        <v>1000000000000</v>
      </c>
      <c r="CH96" s="172">
        <f ca="1">IF(OR($D96&lt;&gt;"Serviço",AND(AUTOEVENTO="Manual",$M96=$A$15),$M96&gt;(ROW(PLE.lastrow)-ROW(PLE.firstrow))),0,
           IF(OFFSET(PLE!$G$15,$M96-$A$15,CH$13)="",10^12,OFFSET(PLE!$G$15,$M96-$A$15,CH$13)))</f>
        <v>1000000000000</v>
      </c>
      <c r="CI96" s="172">
        <f ca="1">IF(OR($D96&lt;&gt;"Serviço",AND(AUTOEVENTO="Manual",$M96=$A$15),$M96&gt;(ROW(PLE.lastrow)-ROW(PLE.firstrow))),0,
           IF(OFFSET(PLE!$G$15,$M96-$A$15,CI$13)="",10^12,OFFSET(PLE!$G$15,$M96-$A$15,CI$13)))</f>
        <v>1000000000000</v>
      </c>
      <c r="CJ96" s="172">
        <f ca="1">IF(OR($D96&lt;&gt;"Serviço",AND(AUTOEVENTO="Manual",$M96=$A$15),$M96&gt;(ROW(PLE.lastrow)-ROW(PLE.firstrow))),0,
           IF(OFFSET(PLE!$G$15,$M96-$A$15,CJ$13)="",10^12,OFFSET(PLE!$G$15,$M96-$A$15,CJ$13)))</f>
        <v>1000000000000</v>
      </c>
      <c r="CK96" s="172">
        <f ca="1">IF(OR($D96&lt;&gt;"Serviço",AND(AUTOEVENTO="Manual",$M96=$A$15),$M96&gt;(ROW(PLE.lastrow)-ROW(PLE.firstrow))),0,
           IF(OFFSET(PLE!$G$15,$M96-$A$15,CK$13)="",10^12,OFFSET(PLE!$G$15,$M96-$A$15,CK$13)))</f>
        <v>1000000000000</v>
      </c>
      <c r="CL96" s="172">
        <f ca="1">IF(OR($D96&lt;&gt;"Serviço",AND(AUTOEVENTO="Manual",$M96=$A$15),$M96&gt;(ROW(PLE.lastrow)-ROW(PLE.firstrow))),0,
           IF(OFFSET(PLE!$G$15,$M96-$A$15,CL$13)="",10^12,OFFSET(PLE!$G$15,$M96-$A$15,CL$13)))</f>
        <v>1000000000000</v>
      </c>
      <c r="CM96" s="172">
        <f ca="1">IF(OR($D96&lt;&gt;"Serviço",AND(AUTOEVENTO="Manual",$M96=$A$15),$M96&gt;(ROW(PLE.lastrow)-ROW(PLE.firstrow))),0,
           IF(OFFSET(PLE!$G$15,$M96-$A$15,CM$13)="",10^12,OFFSET(PLE!$G$15,$M96-$A$15,CM$13)))</f>
        <v>1000000000000</v>
      </c>
    </row>
    <row r="97" spans="1:91" ht="13.2" x14ac:dyDescent="0.25">
      <c r="A97" s="7" t="str">
        <f t="shared" ca="1" si="11"/>
        <v>79</v>
      </c>
      <c r="B97" s="7" t="str">
        <f ca="1">OFFSET(ORÇAMENTO!C$15,ROW(B97)-ROW(B$15),0)</f>
        <v>S</v>
      </c>
      <c r="C97" s="7" t="str">
        <f ca="1">OFFSET(ORÇAMENTO!L$15,ROW(C97)-ROW(C$15),0)</f>
        <v>F</v>
      </c>
      <c r="D97" s="116" t="str">
        <f ca="1">OFFSET(ORÇAMENTO!N$15,ROW(D97)-ROW(D$15),0)</f>
        <v>Serviço</v>
      </c>
      <c r="E97" s="117" t="str">
        <f ca="1">OFFSET(ORÇAMENTO!O$15,ROW(E97)-ROW(E$15),0)</f>
        <v>3.1.3.</v>
      </c>
      <c r="F97" s="163" t="str">
        <f ca="1">OFFSET(ORÇAMENTO!R$15,ROW(F97)-ROW(F$15),0)</f>
        <v>Reaterro e compactação com soquete vibratório</v>
      </c>
      <c r="G97" s="164" t="str">
        <f ca="1">IF($D97&lt;&gt;"Serviço","",OFFSET(ORÇAMENTO!S$15,ROW(G97)-ROW(G$15),0))</f>
        <v>m³</v>
      </c>
      <c r="H97" s="122" cm="1">
        <f t="array" aca="1" ref="H97" ca="1">IF($D97&lt;&gt;"Serviço",0,IF(ACOMPANHAMENTO="BM",ROUND(OFFSET(ORÇAMENTO!AJ$15,ROW(H97)-ROW(H$15),0),15-13*ORÇAMENTO!$AF$7),SUMPRODUCT(($Q$1:$AI$1=1)*ROUND($Q97:$AI97,15-13*ORÇAMENTO!$AF$7))))</f>
        <v>71.5</v>
      </c>
      <c r="I97" s="468"/>
      <c r="J97" s="651" t="e" cm="1">
        <f t="array" aca="1" ref="J97" ca="1">IF(OR(B97&lt;&gt;"S",CÁLCULO.FrentesPreenchidas=0),"",IF(AND(ACOMPANHAMENTO="PLE",AUTOEVENTO="Manual",OR(H97&gt;0,ORÇAMENTO!AC97="QUANT."),OR(K97="",M97=0,N97="")),"►E",IF(AND(ACOMPANHAMENTO="PLE",ORÇAMENTO!AC97="QUANT."),"►Q",IF(AND(ACOMPANHAMENTO="PLE",H97&lt;&gt;SUMPRODUCT(($Q$1:$AI$1=1)*ROUND(Q97:AI97,15))),"►S",IF(AND(COUNTIF($P$11:$AI$11,"▼")=0,H97&gt;0,I97=""),"◄M","")))))</f>
        <v>#NAME?</v>
      </c>
      <c r="K97" s="652"/>
      <c r="L97" s="165" t="s">
        <v>764</v>
      </c>
      <c r="M97" s="166">
        <f ca="1">IF($D97&lt;&gt;"Serviço","",
          IF(AUTOEVENTO="manual",$A97,
                IF(ISERROR(MATCH($A97,$A$15:OFFSET($A97,-1,0),0)),MAX($M$15:OFFSET(M97,-1,0))+1,
                      INDEX($M$15:OFFSET(M97,-1,0),MATCH($A97,$A$15:OFFSET($A97,-1,0),0)))))</f>
        <v>14</v>
      </c>
      <c r="N97" s="167" t="str">
        <f ca="1">IF($D97&lt;&gt;"Serviço","",
         IF(AUTOEVENTO="Manual",
                IF($A97=0,"&lt;-- defina o número do agrupador",
                       OFFSET(EVENTOS!$D$15,$A97-$A$15,0)),
                OFFSET($F$15,$A97,0)))</f>
        <v>DRENAGEM</v>
      </c>
      <c r="O97" s="168"/>
      <c r="Q97" s="168"/>
      <c r="R97" s="169"/>
      <c r="S97" s="169"/>
      <c r="T97" s="169"/>
      <c r="U97" s="169">
        <f>U95-(U96*0.38)</f>
        <v>71.500000000000014</v>
      </c>
      <c r="V97" s="169"/>
      <c r="W97" s="169"/>
      <c r="X97" s="169"/>
      <c r="Y97" s="169"/>
      <c r="Z97" s="170"/>
      <c r="AA97" s="169"/>
      <c r="AB97" s="169"/>
      <c r="AC97" s="169"/>
      <c r="AD97" s="169"/>
      <c r="AE97" s="169"/>
      <c r="AF97" s="169"/>
      <c r="AG97" s="169"/>
      <c r="AH97" s="170"/>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L97" s="453">
        <f ca="1">IF(AND($D97="Serviço",AL$12&lt;&gt;0,$H97&gt;0,OR(AUTOEVENTO&lt;&gt;"manual",$M97&lt;&gt;$A$15)),
        IF(Import.TipoArredondamento&lt;&gt;"TransfereGOV",
              ROUND(OFFSET($P97,0,AL$13),15-13*ORÇAMENTO!$AF$7)/$H97*OFFSET(ORÇAMENTO!$X$15,ROW(AL97)-ROW(AL$15),0),
              ROUND(ROUND(OFFSET($P97,0,AL$13),15-13*ORÇAMENTO!$AF$7)*OFFSET(ORÇAMENTO!$W$15,ROW(AL97)-ROW(AL$15),0),15-13*ORÇAMENTO!$AF$11)),
         0)</f>
        <v>0</v>
      </c>
      <c r="AM97" s="453">
        <f ca="1">IF(AND($D97="Serviço",AM$12&lt;&gt;0,$H97&gt;0,OR(AUTOEVENTO&lt;&gt;"manual",$M97&lt;&gt;$A$15)),
        IF(Import.TipoArredondamento&lt;&gt;"TransfereGOV",
              ROUND(OFFSET($P97,0,AM$13),15-13*ORÇAMENTO!$AF$7)/$H97*OFFSET(ORÇAMENTO!$X$15,ROW(AM97)-ROW(AM$15),0),
              ROUND(ROUND(OFFSET($P97,0,AM$13),15-13*ORÇAMENTO!$AF$7)*OFFSET(ORÇAMENTO!$W$15,ROW(AM97)-ROW(AM$15),0),15-13*ORÇAMENTO!$AF$11)),
         0)</f>
        <v>0</v>
      </c>
      <c r="AN97" s="453">
        <f ca="1">IF(AND($D97="Serviço",AN$12&lt;&gt;0,$H97&gt;0,OR(AUTOEVENTO&lt;&gt;"manual",$M97&lt;&gt;$A$15)),
        IF(Import.TipoArredondamento&lt;&gt;"TransfereGOV",
              ROUND(OFFSET($P97,0,AN$13),15-13*ORÇAMENTO!$AF$7)/$H97*OFFSET(ORÇAMENTO!$X$15,ROW(AN97)-ROW(AN$15),0),
              ROUND(ROUND(OFFSET($P97,0,AN$13),15-13*ORÇAMENTO!$AF$7)*OFFSET(ORÇAMENTO!$W$15,ROW(AN97)-ROW(AN$15),0),15-13*ORÇAMENTO!$AF$11)),
         0)</f>
        <v>1764.62</v>
      </c>
      <c r="AO97" s="453">
        <f ca="1">IF(AND($D97="Serviço",AO$12&lt;&gt;0,$H97&gt;0,OR(AUTOEVENTO&lt;&gt;"manual",$M97&lt;&gt;$A$15)),
        IF(Import.TipoArredondamento&lt;&gt;"TransfereGOV",
              ROUND(OFFSET($P97,0,AO$13),15-13*ORÇAMENTO!$AF$7)/$H97*OFFSET(ORÇAMENTO!$X$15,ROW(AO97)-ROW(AO$15),0),
              ROUND(ROUND(OFFSET($P97,0,AO$13),15-13*ORÇAMENTO!$AF$7)*OFFSET(ORÇAMENTO!$W$15,ROW(AO97)-ROW(AO$15),0),15-13*ORÇAMENTO!$AF$11)),
         0)</f>
        <v>0</v>
      </c>
      <c r="AP97" s="453">
        <f ca="1">IF(AND($D97="Serviço",AP$12&lt;&gt;0,$H97&gt;0,OR(AUTOEVENTO&lt;&gt;"manual",$M97&lt;&gt;$A$15)),
        IF(Import.TipoArredondamento&lt;&gt;"TransfereGOV",
              ROUND(OFFSET($P97,0,AP$13),15-13*ORÇAMENTO!$AF$7)/$H97*OFFSET(ORÇAMENTO!$X$15,ROW(AP97)-ROW(AP$15),0),
              ROUND(ROUND(OFFSET($P97,0,AP$13),15-13*ORÇAMENTO!$AF$7)*OFFSET(ORÇAMENTO!$W$15,ROW(AP97)-ROW(AP$15),0),15-13*ORÇAMENTO!$AF$11)),
         0)</f>
        <v>0</v>
      </c>
      <c r="AQ97" s="453">
        <f ca="1">IF(AND($D97="Serviço",AQ$12&lt;&gt;0,$H97&gt;0,OR(AUTOEVENTO&lt;&gt;"manual",$M97&lt;&gt;$A$15)),
        IF(Import.TipoArredondamento&lt;&gt;"TransfereGOV",
              ROUND(OFFSET($P97,0,AQ$13),15-13*ORÇAMENTO!$AF$7)/$H97*OFFSET(ORÇAMENTO!$X$15,ROW(AQ97)-ROW(AQ$15),0),
              ROUND(ROUND(OFFSET($P97,0,AQ$13),15-13*ORÇAMENTO!$AF$7)*OFFSET(ORÇAMENTO!$W$15,ROW(AQ97)-ROW(AQ$15),0),15-13*ORÇAMENTO!$AF$11)),
         0)</f>
        <v>0</v>
      </c>
      <c r="AR97" s="453">
        <f ca="1">IF(AND($D97="Serviço",AR$12&lt;&gt;0,$H97&gt;0,OR(AUTOEVENTO&lt;&gt;"manual",$M97&lt;&gt;$A$15)),
        IF(Import.TipoArredondamento&lt;&gt;"TransfereGOV",
              ROUND(OFFSET($P97,0,AR$13),15-13*ORÇAMENTO!$AF$7)/$H97*OFFSET(ORÇAMENTO!$X$15,ROW(AR97)-ROW(AR$15),0),
              ROUND(ROUND(OFFSET($P97,0,AR$13),15-13*ORÇAMENTO!$AF$7)*OFFSET(ORÇAMENTO!$W$15,ROW(AR97)-ROW(AR$15),0),15-13*ORÇAMENTO!$AF$11)),
         0)</f>
        <v>0</v>
      </c>
      <c r="AS97" s="453">
        <f ca="1">IF(AND($D97="Serviço",AS$12&lt;&gt;0,$H97&gt;0,OR(AUTOEVENTO&lt;&gt;"manual",$M97&lt;&gt;$A$15)),
        IF(Import.TipoArredondamento&lt;&gt;"TransfereGOV",
              ROUND(OFFSET($P97,0,AS$13),15-13*ORÇAMENTO!$AF$7)/$H97*OFFSET(ORÇAMENTO!$X$15,ROW(AS97)-ROW(AS$15),0),
              ROUND(ROUND(OFFSET($P97,0,AS$13),15-13*ORÇAMENTO!$AF$7)*OFFSET(ORÇAMENTO!$W$15,ROW(AS97)-ROW(AS$15),0),15-13*ORÇAMENTO!$AF$11)),
         0)</f>
        <v>0</v>
      </c>
      <c r="AT97" s="453">
        <f ca="1">IF(AND($D97="Serviço",AT$12&lt;&gt;0,$H97&gt;0,OR(AUTOEVENTO&lt;&gt;"manual",$M97&lt;&gt;$A$15)),
        IF(Import.TipoArredondamento&lt;&gt;"TransfereGOV",
              ROUND(OFFSET($P97,0,AT$13),15-13*ORÇAMENTO!$AF$7)/$H97*OFFSET(ORÇAMENTO!$X$15,ROW(AT97)-ROW(AT$15),0),
              ROUND(ROUND(OFFSET($P97,0,AT$13),15-13*ORÇAMENTO!$AF$7)*OFFSET(ORÇAMENTO!$W$15,ROW(AT97)-ROW(AT$15),0),15-13*ORÇAMENTO!$AF$11)),
         0)</f>
        <v>0</v>
      </c>
      <c r="AU97" s="453">
        <f ca="1">IF(AND($D97="Serviço",AU$12&lt;&gt;0,$H97&gt;0,OR(AUTOEVENTO&lt;&gt;"manual",$M97&lt;&gt;$A$15)),
        IF(Import.TipoArredondamento&lt;&gt;"TransfereGOV",
              ROUND(OFFSET($P97,0,AU$13),15-13*ORÇAMENTO!$AF$7)/$H97*OFFSET(ORÇAMENTO!$X$15,ROW(AU97)-ROW(AU$15),0),
              ROUND(ROUND(OFFSET($P97,0,AU$13),15-13*ORÇAMENTO!$AF$7)*OFFSET(ORÇAMENTO!$W$15,ROW(AU97)-ROW(AU$15),0),15-13*ORÇAMENTO!$AF$11)),
         0)</f>
        <v>0</v>
      </c>
      <c r="AV97" s="453">
        <f ca="1">IF(AND($D97="Serviço",AV$12&lt;&gt;0,$H97&gt;0,OR(AUTOEVENTO&lt;&gt;"manual",$M97&lt;&gt;$A$15)),
        IF(Import.TipoArredondamento&lt;&gt;"TransfereGOV",
              ROUND(OFFSET($P97,0,AV$13),15-13*ORÇAMENTO!$AF$7)/$H97*OFFSET(ORÇAMENTO!$X$15,ROW(AV97)-ROW(AV$15),0),
              ROUND(ROUND(OFFSET($P97,0,AV$13),15-13*ORÇAMENTO!$AF$7)*OFFSET(ORÇAMENTO!$W$15,ROW(AV97)-ROW(AV$15),0),15-13*ORÇAMENTO!$AF$11)),
         0)</f>
        <v>0</v>
      </c>
      <c r="AW97" s="453">
        <f ca="1">IF(AND($D97="Serviço",AW$12&lt;&gt;0,$H97&gt;0,OR(AUTOEVENTO&lt;&gt;"manual",$M97&lt;&gt;$A$15)),
        IF(Import.TipoArredondamento&lt;&gt;"TransfereGOV",
              ROUND(OFFSET($P97,0,AW$13),15-13*ORÇAMENTO!$AF$7)/$H97*OFFSET(ORÇAMENTO!$X$15,ROW(AW97)-ROW(AW$15),0),
              ROUND(ROUND(OFFSET($P97,0,AW$13),15-13*ORÇAMENTO!$AF$7)*OFFSET(ORÇAMENTO!$W$15,ROW(AW97)-ROW(AW$15),0),15-13*ORÇAMENTO!$AF$11)),
         0)</f>
        <v>0</v>
      </c>
      <c r="AX97" s="453">
        <f ca="1">IF(AND($D97="Serviço",AX$12&lt;&gt;0,$H97&gt;0,OR(AUTOEVENTO&lt;&gt;"manual",$M97&lt;&gt;$A$15)),
        IF(Import.TipoArredondamento&lt;&gt;"TransfereGOV",
              ROUND(OFFSET($P97,0,AX$13),15-13*ORÇAMENTO!$AF$7)/$H97*OFFSET(ORÇAMENTO!$X$15,ROW(AX97)-ROW(AX$15),0),
              ROUND(ROUND(OFFSET($P97,0,AX$13),15-13*ORÇAMENTO!$AF$7)*OFFSET(ORÇAMENTO!$W$15,ROW(AX97)-ROW(AX$15),0),15-13*ORÇAMENTO!$AF$11)),
         0)</f>
        <v>0</v>
      </c>
      <c r="AY97" s="453">
        <f ca="1">IF(AND($D97="Serviço",AY$12&lt;&gt;0,$H97&gt;0,OR(AUTOEVENTO&lt;&gt;"manual",$M97&lt;&gt;$A$15)),
        IF(Import.TipoArredondamento&lt;&gt;"TransfereGOV",
              ROUND(OFFSET($P97,0,AY$13),15-13*ORÇAMENTO!$AF$7)/$H97*OFFSET(ORÇAMENTO!$X$15,ROW(AY97)-ROW(AY$15),0),
              ROUND(ROUND(OFFSET($P97,0,AY$13),15-13*ORÇAMENTO!$AF$7)*OFFSET(ORÇAMENTO!$W$15,ROW(AY97)-ROW(AY$15),0),15-13*ORÇAMENTO!$AF$11)),
         0)</f>
        <v>0</v>
      </c>
      <c r="AZ97" s="453">
        <f ca="1">IF(AND($D97="Serviço",AZ$12&lt;&gt;0,$H97&gt;0,OR(AUTOEVENTO&lt;&gt;"manual",$M97&lt;&gt;$A$15)),
        IF(Import.TipoArredondamento&lt;&gt;"TransfereGOV",
              ROUND(OFFSET($P97,0,AZ$13),15-13*ORÇAMENTO!$AF$7)/$H97*OFFSET(ORÇAMENTO!$X$15,ROW(AZ97)-ROW(AZ$15),0),
              ROUND(ROUND(OFFSET($P97,0,AZ$13),15-13*ORÇAMENTO!$AF$7)*OFFSET(ORÇAMENTO!$W$15,ROW(AZ97)-ROW(AZ$15),0),15-13*ORÇAMENTO!$AF$11)),
         0)</f>
        <v>0</v>
      </c>
      <c r="BA97" s="453">
        <f ca="1">IF(AND($D97="Serviço",BA$12&lt;&gt;0,$H97&gt;0,OR(AUTOEVENTO&lt;&gt;"manual",$M97&lt;&gt;$A$15)),
        IF(Import.TipoArredondamento&lt;&gt;"TransfereGOV",
              ROUND(OFFSET($P97,0,BA$13),15-13*ORÇAMENTO!$AF$7)/$H97*OFFSET(ORÇAMENTO!$X$15,ROW(BA97)-ROW(BA$15),0),
              ROUND(ROUND(OFFSET($P97,0,BA$13),15-13*ORÇAMENTO!$AF$7)*OFFSET(ORÇAMENTO!$W$15,ROW(BA97)-ROW(BA$15),0),15-13*ORÇAMENTO!$AF$11)),
         0)</f>
        <v>0</v>
      </c>
      <c r="BC97" s="171">
        <f ca="1">IF(OR($D97&lt;&gt;"Serviço",AND(AUTOEVENTO="Manual",$M97=$A$15)),0,
         IF(OFFSET(CRONOPLE!$F$15,$M97-$A$15,BC$13)=0,10^12,OFFSET(CRONOPLE!$F$15,$M97-$A$15,BC$13)))</f>
        <v>1000000000000</v>
      </c>
      <c r="BD97" s="171">
        <f ca="1">IF(OR($D97&lt;&gt;"Serviço",AND(AUTOEVENTO="Manual",$M97=$A$15)),0,
         IF(OFFSET(CRONOPLE!$F$15,$M97-$A$15,BD$13)=0,10^12,OFFSET(CRONOPLE!$F$15,$M97-$A$15,BD$13)))</f>
        <v>1000000000000</v>
      </c>
      <c r="BE97" s="171">
        <f ca="1">IF(OR($D97&lt;&gt;"Serviço",AND(AUTOEVENTO="Manual",$M97=$A$15)),0,
         IF(OFFSET(CRONOPLE!$F$15,$M97-$A$15,BE$13)=0,10^12,OFFSET(CRONOPLE!$F$15,$M97-$A$15,BE$13)))</f>
        <v>1000000000000</v>
      </c>
      <c r="BF97" s="171">
        <f ca="1">IF(OR($D97&lt;&gt;"Serviço",AND(AUTOEVENTO="Manual",$M97=$A$15)),0,
         IF(OFFSET(CRONOPLE!$F$15,$M97-$A$15,BF$13)=0,10^12,OFFSET(CRONOPLE!$F$15,$M97-$A$15,BF$13)))</f>
        <v>1000000000000</v>
      </c>
      <c r="BG97" s="171">
        <f ca="1">IF(OR($D97&lt;&gt;"Serviço",AND(AUTOEVENTO="Manual",$M97=$A$15)),0,
         IF(OFFSET(CRONOPLE!$F$15,$M97-$A$15,BG$13)=0,10^12,OFFSET(CRONOPLE!$F$15,$M97-$A$15,BG$13)))</f>
        <v>3</v>
      </c>
      <c r="BH97" s="171">
        <f ca="1">IF(OR($D97&lt;&gt;"Serviço",AND(AUTOEVENTO="Manual",$M97=$A$15)),0,
         IF(OFFSET(CRONOPLE!$F$15,$M97-$A$15,BH$13)=0,10^12,OFFSET(CRONOPLE!$F$15,$M97-$A$15,BH$13)))</f>
        <v>1000000000000</v>
      </c>
      <c r="BI97" s="171">
        <f ca="1">IF(OR($D97&lt;&gt;"Serviço",AND(AUTOEVENTO="Manual",$M97=$A$15)),0,
         IF(OFFSET(CRONOPLE!$F$15,$M97-$A$15,BI$13)=0,10^12,OFFSET(CRONOPLE!$F$15,$M97-$A$15,BI$13)))</f>
        <v>1000000000000</v>
      </c>
      <c r="BJ97" s="171">
        <f ca="1">IF(OR($D97&lt;&gt;"Serviço",AND(AUTOEVENTO="Manual",$M97=$A$15)),0,
         IF(OFFSET(CRONOPLE!$F$15,$M97-$A$15,BJ$13)=0,10^12,OFFSET(CRONOPLE!$F$15,$M97-$A$15,BJ$13)))</f>
        <v>1000000000000</v>
      </c>
      <c r="BK97" s="171">
        <f ca="1">IF(OR($D97&lt;&gt;"Serviço",AND(AUTOEVENTO="Manual",$M97=$A$15)),0,
         IF(OFFSET(CRONOPLE!$F$15,$M97-$A$15,BK$13)=0,10^12,OFFSET(CRONOPLE!$F$15,$M97-$A$15,BK$13)))</f>
        <v>1000000000000</v>
      </c>
      <c r="BL97" s="171">
        <f ca="1">IF(OR($D97&lt;&gt;"Serviço",AND(AUTOEVENTO="Manual",$M97=$A$15)),0,
         IF(OFFSET(CRONOPLE!$F$15,$M97-$A$15,BL$13)=0,10^12,OFFSET(CRONOPLE!$F$15,$M97-$A$15,BL$13)))</f>
        <v>1000000000000</v>
      </c>
      <c r="BM97" s="171">
        <f ca="1">IF(OR($D97&lt;&gt;"Serviço",AND(AUTOEVENTO="Manual",$M97=$A$15)),0,
         IF(OFFSET(CRONOPLE!$F$15,$M97-$A$15,BM$13)=0,10^12,OFFSET(CRONOPLE!$F$15,$M97-$A$15,BM$13)))</f>
        <v>1000000000000</v>
      </c>
      <c r="BN97" s="171">
        <f ca="1">IF(OR($D97&lt;&gt;"Serviço",AND(AUTOEVENTO="Manual",$M97=$A$15)),0,
         IF(OFFSET(CRONOPLE!$F$15,$M97-$A$15,BN$13)=0,10^12,OFFSET(CRONOPLE!$F$15,$M97-$A$15,BN$13)))</f>
        <v>1000000000000</v>
      </c>
      <c r="BO97" s="171">
        <f ca="1">IF(OR($D97&lt;&gt;"Serviço",AND(AUTOEVENTO="Manual",$M97=$A$15)),0,
         IF(OFFSET(CRONOPLE!$F$15,$M97-$A$15,BO$13)=0,10^12,OFFSET(CRONOPLE!$F$15,$M97-$A$15,BO$13)))</f>
        <v>1000000000000</v>
      </c>
      <c r="BP97" s="171">
        <f ca="1">IF(OR($D97&lt;&gt;"Serviço",AND(AUTOEVENTO="Manual",$M97=$A$15)),0,
         IF(OFFSET(CRONOPLE!$F$15,$M97-$A$15,BP$13)=0,10^12,OFFSET(CRONOPLE!$F$15,$M97-$A$15,BP$13)))</f>
        <v>1000000000000</v>
      </c>
      <c r="BQ97" s="171">
        <f ca="1">IF(OR($D97&lt;&gt;"Serviço",AND(AUTOEVENTO="Manual",$M97=$A$15)),0,
         IF(OFFSET(CRONOPLE!$F$15,$M97-$A$15,BQ$13)=0,10^12,OFFSET(CRONOPLE!$F$15,$M97-$A$15,BQ$13)))</f>
        <v>1000000000000</v>
      </c>
      <c r="BR97" s="171">
        <f ca="1">IF(OR($D97&lt;&gt;"Serviço",AND(AUTOEVENTO="Manual",$M97=$A$15)),0,
         IF(OFFSET(CRONOPLE!$F$15,$M97-$A$15,BR$13)=0,10^12,OFFSET(CRONOPLE!$F$15,$M97-$A$15,BR$13)))</f>
        <v>1000000000000</v>
      </c>
      <c r="BS97" s="171">
        <f ca="1">IF(OR($D97&lt;&gt;"Serviço",AND(AUTOEVENTO="Manual",$M97=$A$15)),0,
         IF(OFFSET(CRONOPLE!$F$15,$M97-$A$15,BS$13)=0,10^12,OFFSET(CRONOPLE!$F$15,$M97-$A$15,BS$13)))</f>
        <v>1000000000000</v>
      </c>
      <c r="BT97" s="171">
        <f ca="1">IF(OR($D97&lt;&gt;"Serviço",AND(AUTOEVENTO="Manual",$M97=$A$15)),0,
         IF(OFFSET(CRONOPLE!$F$15,$M97-$A$15,BT$13)=0,10^12,OFFSET(CRONOPLE!$F$15,$M97-$A$15,BT$13)))</f>
        <v>1000000000000</v>
      </c>
      <c r="BV97" s="172">
        <f ca="1">IF(OR($D97&lt;&gt;"Serviço",AND(AUTOEVENTO="Manual",$M97=$A$15),$M97&gt;(ROW(PLE.lastrow)-ROW(PLE.firstrow))),0,
           IF(OFFSET(PLE!$G$15,$M97-$A$15,BV$13)="",10^12,OFFSET(PLE!$G$15,$M97-$A$15,BV$13)))</f>
        <v>1000000000000</v>
      </c>
      <c r="BW97" s="172">
        <f ca="1">IF(OR($D97&lt;&gt;"Serviço",AND(AUTOEVENTO="Manual",$M97=$A$15),$M97&gt;(ROW(PLE.lastrow)-ROW(PLE.firstrow))),0,
           IF(OFFSET(PLE!$G$15,$M97-$A$15,BW$13)="",10^12,OFFSET(PLE!$G$15,$M97-$A$15,BW$13)))</f>
        <v>1000000000000</v>
      </c>
      <c r="BX97" s="172">
        <f ca="1">IF(OR($D97&lt;&gt;"Serviço",AND(AUTOEVENTO="Manual",$M97=$A$15),$M97&gt;(ROW(PLE.lastrow)-ROW(PLE.firstrow))),0,
           IF(OFFSET(PLE!$G$15,$M97-$A$15,BX$13)="",10^12,OFFSET(PLE!$G$15,$M97-$A$15,BX$13)))</f>
        <v>1000000000000</v>
      </c>
      <c r="BY97" s="172">
        <f ca="1">IF(OR($D97&lt;&gt;"Serviço",AND(AUTOEVENTO="Manual",$M97=$A$15),$M97&gt;(ROW(PLE.lastrow)-ROW(PLE.firstrow))),0,
           IF(OFFSET(PLE!$G$15,$M97-$A$15,BY$13)="",10^12,OFFSET(PLE!$G$15,$M97-$A$15,BY$13)))</f>
        <v>1000000000000</v>
      </c>
      <c r="BZ97" s="172">
        <f ca="1">IF(OR($D97&lt;&gt;"Serviço",AND(AUTOEVENTO="Manual",$M97=$A$15),$M97&gt;(ROW(PLE.lastrow)-ROW(PLE.firstrow))),0,
           IF(OFFSET(PLE!$G$15,$M97-$A$15,BZ$13)="",10^12,OFFSET(PLE!$G$15,$M97-$A$15,BZ$13)))</f>
        <v>1000000000000</v>
      </c>
      <c r="CA97" s="172">
        <f ca="1">IF(OR($D97&lt;&gt;"Serviço",AND(AUTOEVENTO="Manual",$M97=$A$15),$M97&gt;(ROW(PLE.lastrow)-ROW(PLE.firstrow))),0,
           IF(OFFSET(PLE!$G$15,$M97-$A$15,CA$13)="",10^12,OFFSET(PLE!$G$15,$M97-$A$15,CA$13)))</f>
        <v>1000000000000</v>
      </c>
      <c r="CB97" s="172">
        <f ca="1">IF(OR($D97&lt;&gt;"Serviço",AND(AUTOEVENTO="Manual",$M97=$A$15),$M97&gt;(ROW(PLE.lastrow)-ROW(PLE.firstrow))),0,
           IF(OFFSET(PLE!$G$15,$M97-$A$15,CB$13)="",10^12,OFFSET(PLE!$G$15,$M97-$A$15,CB$13)))</f>
        <v>1000000000000</v>
      </c>
      <c r="CC97" s="172">
        <f ca="1">IF(OR($D97&lt;&gt;"Serviço",AND(AUTOEVENTO="Manual",$M97=$A$15),$M97&gt;(ROW(PLE.lastrow)-ROW(PLE.firstrow))),0,
           IF(OFFSET(PLE!$G$15,$M97-$A$15,CC$13)="",10^12,OFFSET(PLE!$G$15,$M97-$A$15,CC$13)))</f>
        <v>1000000000000</v>
      </c>
      <c r="CD97" s="172">
        <f ca="1">IF(OR($D97&lt;&gt;"Serviço",AND(AUTOEVENTO="Manual",$M97=$A$15),$M97&gt;(ROW(PLE.lastrow)-ROW(PLE.firstrow))),0,
           IF(OFFSET(PLE!$G$15,$M97-$A$15,CD$13)="",10^12,OFFSET(PLE!$G$15,$M97-$A$15,CD$13)))</f>
        <v>1000000000000</v>
      </c>
      <c r="CE97" s="172">
        <f ca="1">IF(OR($D97&lt;&gt;"Serviço",AND(AUTOEVENTO="Manual",$M97=$A$15),$M97&gt;(ROW(PLE.lastrow)-ROW(PLE.firstrow))),0,
           IF(OFFSET(PLE!$G$15,$M97-$A$15,CE$13)="",10^12,OFFSET(PLE!$G$15,$M97-$A$15,CE$13)))</f>
        <v>1000000000000</v>
      </c>
      <c r="CF97" s="172">
        <f ca="1">IF(OR($D97&lt;&gt;"Serviço",AND(AUTOEVENTO="Manual",$M97=$A$15),$M97&gt;(ROW(PLE.lastrow)-ROW(PLE.firstrow))),0,
           IF(OFFSET(PLE!$G$15,$M97-$A$15,CF$13)="",10^12,OFFSET(PLE!$G$15,$M97-$A$15,CF$13)))</f>
        <v>1000000000000</v>
      </c>
      <c r="CG97" s="172">
        <f ca="1">IF(OR($D97&lt;&gt;"Serviço",AND(AUTOEVENTO="Manual",$M97=$A$15),$M97&gt;(ROW(PLE.lastrow)-ROW(PLE.firstrow))),0,
           IF(OFFSET(PLE!$G$15,$M97-$A$15,CG$13)="",10^12,OFFSET(PLE!$G$15,$M97-$A$15,CG$13)))</f>
        <v>1000000000000</v>
      </c>
      <c r="CH97" s="172">
        <f ca="1">IF(OR($D97&lt;&gt;"Serviço",AND(AUTOEVENTO="Manual",$M97=$A$15),$M97&gt;(ROW(PLE.lastrow)-ROW(PLE.firstrow))),0,
           IF(OFFSET(PLE!$G$15,$M97-$A$15,CH$13)="",10^12,OFFSET(PLE!$G$15,$M97-$A$15,CH$13)))</f>
        <v>1000000000000</v>
      </c>
      <c r="CI97" s="172">
        <f ca="1">IF(OR($D97&lt;&gt;"Serviço",AND(AUTOEVENTO="Manual",$M97=$A$15),$M97&gt;(ROW(PLE.lastrow)-ROW(PLE.firstrow))),0,
           IF(OFFSET(PLE!$G$15,$M97-$A$15,CI$13)="",10^12,OFFSET(PLE!$G$15,$M97-$A$15,CI$13)))</f>
        <v>1000000000000</v>
      </c>
      <c r="CJ97" s="172">
        <f ca="1">IF(OR($D97&lt;&gt;"Serviço",AND(AUTOEVENTO="Manual",$M97=$A$15),$M97&gt;(ROW(PLE.lastrow)-ROW(PLE.firstrow))),0,
           IF(OFFSET(PLE!$G$15,$M97-$A$15,CJ$13)="",10^12,OFFSET(PLE!$G$15,$M97-$A$15,CJ$13)))</f>
        <v>1000000000000</v>
      </c>
      <c r="CK97" s="172">
        <f ca="1">IF(OR($D97&lt;&gt;"Serviço",AND(AUTOEVENTO="Manual",$M97=$A$15),$M97&gt;(ROW(PLE.lastrow)-ROW(PLE.firstrow))),0,
           IF(OFFSET(PLE!$G$15,$M97-$A$15,CK$13)="",10^12,OFFSET(PLE!$G$15,$M97-$A$15,CK$13)))</f>
        <v>1000000000000</v>
      </c>
      <c r="CL97" s="172">
        <f ca="1">IF(OR($D97&lt;&gt;"Serviço",AND(AUTOEVENTO="Manual",$M97=$A$15),$M97&gt;(ROW(PLE.lastrow)-ROW(PLE.firstrow))),0,
           IF(OFFSET(PLE!$G$15,$M97-$A$15,CL$13)="",10^12,OFFSET(PLE!$G$15,$M97-$A$15,CL$13)))</f>
        <v>1000000000000</v>
      </c>
      <c r="CM97" s="172">
        <f ca="1">IF(OR($D97&lt;&gt;"Serviço",AND(AUTOEVENTO="Manual",$M97=$A$15),$M97&gt;(ROW(PLE.lastrow)-ROW(PLE.firstrow))),0,
           IF(OFFSET(PLE!$G$15,$M97-$A$15,CM$13)="",10^12,OFFSET(PLE!$G$15,$M97-$A$15,CM$13)))</f>
        <v>1000000000000</v>
      </c>
    </row>
    <row r="98" spans="1:91" ht="26.4" x14ac:dyDescent="0.25">
      <c r="A98" s="7" t="str">
        <f t="shared" ca="1" si="11"/>
        <v>79</v>
      </c>
      <c r="B98" s="7" t="str">
        <f ca="1">OFFSET(ORÇAMENTO!C$15,ROW(B98)-ROW(B$15),0)</f>
        <v>S</v>
      </c>
      <c r="C98" s="7" t="str">
        <f ca="1">OFFSET(ORÇAMENTO!L$15,ROW(C98)-ROW(C$15),0)</f>
        <v>F</v>
      </c>
      <c r="D98" s="116" t="str">
        <f ca="1">OFFSET(ORÇAMENTO!N$15,ROW(D98)-ROW(D$15),0)</f>
        <v>Serviço</v>
      </c>
      <c r="E98" s="117" t="str">
        <f ca="1">OFFSET(ORÇAMENTO!O$15,ROW(E98)-ROW(E$15),0)</f>
        <v>3.1.4.</v>
      </c>
      <c r="F98" s="163" t="str">
        <f ca="1">OFFSET(ORÇAMENTO!R$15,ROW(F98)-ROW(F$15),0)</f>
        <v>Boca de lobo combinada - chapéu e grelha simples - BLC 01 - areia e brita comerciais</v>
      </c>
      <c r="G98" s="164" t="str">
        <f ca="1">IF($D98&lt;&gt;"Serviço","",OFFSET(ORÇAMENTO!S$15,ROW(G98)-ROW(G$15),0))</f>
        <v>un</v>
      </c>
      <c r="H98" s="122" cm="1">
        <f t="array" aca="1" ref="H98" ca="1">IF($D98&lt;&gt;"Serviço",0,IF(ACOMPANHAMENTO="BM",ROUND(OFFSET(ORÇAMENTO!AJ$15,ROW(H98)-ROW(H$15),0),15-13*ORÇAMENTO!$AF$7),SUMPRODUCT(($Q$1:$AI$1=1)*ROUND($Q98:$AI98,15-13*ORÇAMENTO!$AF$7))))</f>
        <v>4</v>
      </c>
      <c r="I98" s="468"/>
      <c r="J98" s="651" t="e" cm="1">
        <f t="array" aca="1" ref="J98" ca="1">IF(OR(B98&lt;&gt;"S",CÁLCULO.FrentesPreenchidas=0),"",IF(AND(ACOMPANHAMENTO="PLE",AUTOEVENTO="Manual",OR(H98&gt;0,ORÇAMENTO!AC98="QUANT."),OR(K98="",M98=0,N98="")),"►E",IF(AND(ACOMPANHAMENTO="PLE",ORÇAMENTO!AC98="QUANT."),"►Q",IF(AND(ACOMPANHAMENTO="PLE",H98&lt;&gt;SUMPRODUCT(($Q$1:$AI$1=1)*ROUND(Q98:AI98,15))),"►S",IF(AND(COUNTIF($P$11:$AI$11,"▼")=0,H98&gt;0,I98=""),"◄M","")))))</f>
        <v>#NAME?</v>
      </c>
      <c r="K98" s="652"/>
      <c r="L98" s="165" t="s">
        <v>764</v>
      </c>
      <c r="M98" s="166">
        <f ca="1">IF($D98&lt;&gt;"Serviço","",
          IF(AUTOEVENTO="manual",$A98,
                IF(ISERROR(MATCH($A98,$A$15:OFFSET($A98,-1,0),0)),MAX($M$15:OFFSET(M98,-1,0))+1,
                      INDEX($M$15:OFFSET(M98,-1,0),MATCH($A98,$A$15:OFFSET($A98,-1,0),0)))))</f>
        <v>14</v>
      </c>
      <c r="N98" s="167" t="str">
        <f ca="1">IF($D98&lt;&gt;"Serviço","",
         IF(AUTOEVENTO="Manual",
                IF($A98=0,"&lt;-- defina o número do agrupador",
                       OFFSET(EVENTOS!$D$15,$A98-$A$15,0)),
                OFFSET($F$15,$A98,0)))</f>
        <v>DRENAGEM</v>
      </c>
      <c r="O98" s="168"/>
      <c r="Q98" s="168"/>
      <c r="R98" s="169"/>
      <c r="S98" s="169"/>
      <c r="T98" s="169"/>
      <c r="U98" s="169">
        <v>4</v>
      </c>
      <c r="V98" s="169"/>
      <c r="W98" s="169"/>
      <c r="X98" s="169"/>
      <c r="Y98" s="169"/>
      <c r="Z98" s="170"/>
      <c r="AA98" s="169"/>
      <c r="AB98" s="169"/>
      <c r="AC98" s="169"/>
      <c r="AD98" s="169"/>
      <c r="AE98" s="169"/>
      <c r="AF98" s="169"/>
      <c r="AG98" s="169"/>
      <c r="AH98" s="170"/>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L98" s="453">
        <f ca="1">IF(AND($D98="Serviço",AL$12&lt;&gt;0,$H98&gt;0,OR(AUTOEVENTO&lt;&gt;"manual",$M98&lt;&gt;$A$15)),
        IF(Import.TipoArredondamento&lt;&gt;"TransfereGOV",
              ROUND(OFFSET($P98,0,AL$13),15-13*ORÇAMENTO!$AF$7)/$H98*OFFSET(ORÇAMENTO!$X$15,ROW(AL98)-ROW(AL$15),0),
              ROUND(ROUND(OFFSET($P98,0,AL$13),15-13*ORÇAMENTO!$AF$7)*OFFSET(ORÇAMENTO!$W$15,ROW(AL98)-ROW(AL$15),0),15-13*ORÇAMENTO!$AF$11)),
         0)</f>
        <v>0</v>
      </c>
      <c r="AM98" s="453">
        <f ca="1">IF(AND($D98="Serviço",AM$12&lt;&gt;0,$H98&gt;0,OR(AUTOEVENTO&lt;&gt;"manual",$M98&lt;&gt;$A$15)),
        IF(Import.TipoArredondamento&lt;&gt;"TransfereGOV",
              ROUND(OFFSET($P98,0,AM$13),15-13*ORÇAMENTO!$AF$7)/$H98*OFFSET(ORÇAMENTO!$X$15,ROW(AM98)-ROW(AM$15),0),
              ROUND(ROUND(OFFSET($P98,0,AM$13),15-13*ORÇAMENTO!$AF$7)*OFFSET(ORÇAMENTO!$W$15,ROW(AM98)-ROW(AM$15),0),15-13*ORÇAMENTO!$AF$11)),
         0)</f>
        <v>0</v>
      </c>
      <c r="AN98" s="453">
        <f ca="1">IF(AND($D98="Serviço",AN$12&lt;&gt;0,$H98&gt;0,OR(AUTOEVENTO&lt;&gt;"manual",$M98&lt;&gt;$A$15)),
        IF(Import.TipoArredondamento&lt;&gt;"TransfereGOV",
              ROUND(OFFSET($P98,0,AN$13),15-13*ORÇAMENTO!$AF$7)/$H98*OFFSET(ORÇAMENTO!$X$15,ROW(AN98)-ROW(AN$15),0),
              ROUND(ROUND(OFFSET($P98,0,AN$13),15-13*ORÇAMENTO!$AF$7)*OFFSET(ORÇAMENTO!$W$15,ROW(AN98)-ROW(AN$15),0),15-13*ORÇAMENTO!$AF$11)),
         0)</f>
        <v>11929.2</v>
      </c>
      <c r="AO98" s="453">
        <f ca="1">IF(AND($D98="Serviço",AO$12&lt;&gt;0,$H98&gt;0,OR(AUTOEVENTO&lt;&gt;"manual",$M98&lt;&gt;$A$15)),
        IF(Import.TipoArredondamento&lt;&gt;"TransfereGOV",
              ROUND(OFFSET($P98,0,AO$13),15-13*ORÇAMENTO!$AF$7)/$H98*OFFSET(ORÇAMENTO!$X$15,ROW(AO98)-ROW(AO$15),0),
              ROUND(ROUND(OFFSET($P98,0,AO$13),15-13*ORÇAMENTO!$AF$7)*OFFSET(ORÇAMENTO!$W$15,ROW(AO98)-ROW(AO$15),0),15-13*ORÇAMENTO!$AF$11)),
         0)</f>
        <v>0</v>
      </c>
      <c r="AP98" s="453">
        <f ca="1">IF(AND($D98="Serviço",AP$12&lt;&gt;0,$H98&gt;0,OR(AUTOEVENTO&lt;&gt;"manual",$M98&lt;&gt;$A$15)),
        IF(Import.TipoArredondamento&lt;&gt;"TransfereGOV",
              ROUND(OFFSET($P98,0,AP$13),15-13*ORÇAMENTO!$AF$7)/$H98*OFFSET(ORÇAMENTO!$X$15,ROW(AP98)-ROW(AP$15),0),
              ROUND(ROUND(OFFSET($P98,0,AP$13),15-13*ORÇAMENTO!$AF$7)*OFFSET(ORÇAMENTO!$W$15,ROW(AP98)-ROW(AP$15),0),15-13*ORÇAMENTO!$AF$11)),
         0)</f>
        <v>0</v>
      </c>
      <c r="AQ98" s="453">
        <f ca="1">IF(AND($D98="Serviço",AQ$12&lt;&gt;0,$H98&gt;0,OR(AUTOEVENTO&lt;&gt;"manual",$M98&lt;&gt;$A$15)),
        IF(Import.TipoArredondamento&lt;&gt;"TransfereGOV",
              ROUND(OFFSET($P98,0,AQ$13),15-13*ORÇAMENTO!$AF$7)/$H98*OFFSET(ORÇAMENTO!$X$15,ROW(AQ98)-ROW(AQ$15),0),
              ROUND(ROUND(OFFSET($P98,0,AQ$13),15-13*ORÇAMENTO!$AF$7)*OFFSET(ORÇAMENTO!$W$15,ROW(AQ98)-ROW(AQ$15),0),15-13*ORÇAMENTO!$AF$11)),
         0)</f>
        <v>0</v>
      </c>
      <c r="AR98" s="453">
        <f ca="1">IF(AND($D98="Serviço",AR$12&lt;&gt;0,$H98&gt;0,OR(AUTOEVENTO&lt;&gt;"manual",$M98&lt;&gt;$A$15)),
        IF(Import.TipoArredondamento&lt;&gt;"TransfereGOV",
              ROUND(OFFSET($P98,0,AR$13),15-13*ORÇAMENTO!$AF$7)/$H98*OFFSET(ORÇAMENTO!$X$15,ROW(AR98)-ROW(AR$15),0),
              ROUND(ROUND(OFFSET($P98,0,AR$13),15-13*ORÇAMENTO!$AF$7)*OFFSET(ORÇAMENTO!$W$15,ROW(AR98)-ROW(AR$15),0),15-13*ORÇAMENTO!$AF$11)),
         0)</f>
        <v>0</v>
      </c>
      <c r="AS98" s="453">
        <f ca="1">IF(AND($D98="Serviço",AS$12&lt;&gt;0,$H98&gt;0,OR(AUTOEVENTO&lt;&gt;"manual",$M98&lt;&gt;$A$15)),
        IF(Import.TipoArredondamento&lt;&gt;"TransfereGOV",
              ROUND(OFFSET($P98,0,AS$13),15-13*ORÇAMENTO!$AF$7)/$H98*OFFSET(ORÇAMENTO!$X$15,ROW(AS98)-ROW(AS$15),0),
              ROUND(ROUND(OFFSET($P98,0,AS$13),15-13*ORÇAMENTO!$AF$7)*OFFSET(ORÇAMENTO!$W$15,ROW(AS98)-ROW(AS$15),0),15-13*ORÇAMENTO!$AF$11)),
         0)</f>
        <v>0</v>
      </c>
      <c r="AT98" s="453">
        <f ca="1">IF(AND($D98="Serviço",AT$12&lt;&gt;0,$H98&gt;0,OR(AUTOEVENTO&lt;&gt;"manual",$M98&lt;&gt;$A$15)),
        IF(Import.TipoArredondamento&lt;&gt;"TransfereGOV",
              ROUND(OFFSET($P98,0,AT$13),15-13*ORÇAMENTO!$AF$7)/$H98*OFFSET(ORÇAMENTO!$X$15,ROW(AT98)-ROW(AT$15),0),
              ROUND(ROUND(OFFSET($P98,0,AT$13),15-13*ORÇAMENTO!$AF$7)*OFFSET(ORÇAMENTO!$W$15,ROW(AT98)-ROW(AT$15),0),15-13*ORÇAMENTO!$AF$11)),
         0)</f>
        <v>0</v>
      </c>
      <c r="AU98" s="453">
        <f ca="1">IF(AND($D98="Serviço",AU$12&lt;&gt;0,$H98&gt;0,OR(AUTOEVENTO&lt;&gt;"manual",$M98&lt;&gt;$A$15)),
        IF(Import.TipoArredondamento&lt;&gt;"TransfereGOV",
              ROUND(OFFSET($P98,0,AU$13),15-13*ORÇAMENTO!$AF$7)/$H98*OFFSET(ORÇAMENTO!$X$15,ROW(AU98)-ROW(AU$15),0),
              ROUND(ROUND(OFFSET($P98,0,AU$13),15-13*ORÇAMENTO!$AF$7)*OFFSET(ORÇAMENTO!$W$15,ROW(AU98)-ROW(AU$15),0),15-13*ORÇAMENTO!$AF$11)),
         0)</f>
        <v>0</v>
      </c>
      <c r="AV98" s="453">
        <f ca="1">IF(AND($D98="Serviço",AV$12&lt;&gt;0,$H98&gt;0,OR(AUTOEVENTO&lt;&gt;"manual",$M98&lt;&gt;$A$15)),
        IF(Import.TipoArredondamento&lt;&gt;"TransfereGOV",
              ROUND(OFFSET($P98,0,AV$13),15-13*ORÇAMENTO!$AF$7)/$H98*OFFSET(ORÇAMENTO!$X$15,ROW(AV98)-ROW(AV$15),0),
              ROUND(ROUND(OFFSET($P98,0,AV$13),15-13*ORÇAMENTO!$AF$7)*OFFSET(ORÇAMENTO!$W$15,ROW(AV98)-ROW(AV$15),0),15-13*ORÇAMENTO!$AF$11)),
         0)</f>
        <v>0</v>
      </c>
      <c r="AW98" s="453">
        <f ca="1">IF(AND($D98="Serviço",AW$12&lt;&gt;0,$H98&gt;0,OR(AUTOEVENTO&lt;&gt;"manual",$M98&lt;&gt;$A$15)),
        IF(Import.TipoArredondamento&lt;&gt;"TransfereGOV",
              ROUND(OFFSET($P98,0,AW$13),15-13*ORÇAMENTO!$AF$7)/$H98*OFFSET(ORÇAMENTO!$X$15,ROW(AW98)-ROW(AW$15),0),
              ROUND(ROUND(OFFSET($P98,0,AW$13),15-13*ORÇAMENTO!$AF$7)*OFFSET(ORÇAMENTO!$W$15,ROW(AW98)-ROW(AW$15),0),15-13*ORÇAMENTO!$AF$11)),
         0)</f>
        <v>0</v>
      </c>
      <c r="AX98" s="453">
        <f ca="1">IF(AND($D98="Serviço",AX$12&lt;&gt;0,$H98&gt;0,OR(AUTOEVENTO&lt;&gt;"manual",$M98&lt;&gt;$A$15)),
        IF(Import.TipoArredondamento&lt;&gt;"TransfereGOV",
              ROUND(OFFSET($P98,0,AX$13),15-13*ORÇAMENTO!$AF$7)/$H98*OFFSET(ORÇAMENTO!$X$15,ROW(AX98)-ROW(AX$15),0),
              ROUND(ROUND(OFFSET($P98,0,AX$13),15-13*ORÇAMENTO!$AF$7)*OFFSET(ORÇAMENTO!$W$15,ROW(AX98)-ROW(AX$15),0),15-13*ORÇAMENTO!$AF$11)),
         0)</f>
        <v>0</v>
      </c>
      <c r="AY98" s="453">
        <f ca="1">IF(AND($D98="Serviço",AY$12&lt;&gt;0,$H98&gt;0,OR(AUTOEVENTO&lt;&gt;"manual",$M98&lt;&gt;$A$15)),
        IF(Import.TipoArredondamento&lt;&gt;"TransfereGOV",
              ROUND(OFFSET($P98,0,AY$13),15-13*ORÇAMENTO!$AF$7)/$H98*OFFSET(ORÇAMENTO!$X$15,ROW(AY98)-ROW(AY$15),0),
              ROUND(ROUND(OFFSET($P98,0,AY$13),15-13*ORÇAMENTO!$AF$7)*OFFSET(ORÇAMENTO!$W$15,ROW(AY98)-ROW(AY$15),0),15-13*ORÇAMENTO!$AF$11)),
         0)</f>
        <v>0</v>
      </c>
      <c r="AZ98" s="453">
        <f ca="1">IF(AND($D98="Serviço",AZ$12&lt;&gt;0,$H98&gt;0,OR(AUTOEVENTO&lt;&gt;"manual",$M98&lt;&gt;$A$15)),
        IF(Import.TipoArredondamento&lt;&gt;"TransfereGOV",
              ROUND(OFFSET($P98,0,AZ$13),15-13*ORÇAMENTO!$AF$7)/$H98*OFFSET(ORÇAMENTO!$X$15,ROW(AZ98)-ROW(AZ$15),0),
              ROUND(ROUND(OFFSET($P98,0,AZ$13),15-13*ORÇAMENTO!$AF$7)*OFFSET(ORÇAMENTO!$W$15,ROW(AZ98)-ROW(AZ$15),0),15-13*ORÇAMENTO!$AF$11)),
         0)</f>
        <v>0</v>
      </c>
      <c r="BA98" s="453">
        <f ca="1">IF(AND($D98="Serviço",BA$12&lt;&gt;0,$H98&gt;0,OR(AUTOEVENTO&lt;&gt;"manual",$M98&lt;&gt;$A$15)),
        IF(Import.TipoArredondamento&lt;&gt;"TransfereGOV",
              ROUND(OFFSET($P98,0,BA$13),15-13*ORÇAMENTO!$AF$7)/$H98*OFFSET(ORÇAMENTO!$X$15,ROW(BA98)-ROW(BA$15),0),
              ROUND(ROUND(OFFSET($P98,0,BA$13),15-13*ORÇAMENTO!$AF$7)*OFFSET(ORÇAMENTO!$W$15,ROW(BA98)-ROW(BA$15),0),15-13*ORÇAMENTO!$AF$11)),
         0)</f>
        <v>0</v>
      </c>
      <c r="BC98" s="171">
        <f ca="1">IF(OR($D98&lt;&gt;"Serviço",AND(AUTOEVENTO="Manual",$M98=$A$15)),0,
         IF(OFFSET(CRONOPLE!$F$15,$M98-$A$15,BC$13)=0,10^12,OFFSET(CRONOPLE!$F$15,$M98-$A$15,BC$13)))</f>
        <v>1000000000000</v>
      </c>
      <c r="BD98" s="171">
        <f ca="1">IF(OR($D98&lt;&gt;"Serviço",AND(AUTOEVENTO="Manual",$M98=$A$15)),0,
         IF(OFFSET(CRONOPLE!$F$15,$M98-$A$15,BD$13)=0,10^12,OFFSET(CRONOPLE!$F$15,$M98-$A$15,BD$13)))</f>
        <v>1000000000000</v>
      </c>
      <c r="BE98" s="171">
        <f ca="1">IF(OR($D98&lt;&gt;"Serviço",AND(AUTOEVENTO="Manual",$M98=$A$15)),0,
         IF(OFFSET(CRONOPLE!$F$15,$M98-$A$15,BE$13)=0,10^12,OFFSET(CRONOPLE!$F$15,$M98-$A$15,BE$13)))</f>
        <v>1000000000000</v>
      </c>
      <c r="BF98" s="171">
        <f ca="1">IF(OR($D98&lt;&gt;"Serviço",AND(AUTOEVENTO="Manual",$M98=$A$15)),0,
         IF(OFFSET(CRONOPLE!$F$15,$M98-$A$15,BF$13)=0,10^12,OFFSET(CRONOPLE!$F$15,$M98-$A$15,BF$13)))</f>
        <v>1000000000000</v>
      </c>
      <c r="BG98" s="171">
        <f ca="1">IF(OR($D98&lt;&gt;"Serviço",AND(AUTOEVENTO="Manual",$M98=$A$15)),0,
         IF(OFFSET(CRONOPLE!$F$15,$M98-$A$15,BG$13)=0,10^12,OFFSET(CRONOPLE!$F$15,$M98-$A$15,BG$13)))</f>
        <v>3</v>
      </c>
      <c r="BH98" s="171">
        <f ca="1">IF(OR($D98&lt;&gt;"Serviço",AND(AUTOEVENTO="Manual",$M98=$A$15)),0,
         IF(OFFSET(CRONOPLE!$F$15,$M98-$A$15,BH$13)=0,10^12,OFFSET(CRONOPLE!$F$15,$M98-$A$15,BH$13)))</f>
        <v>1000000000000</v>
      </c>
      <c r="BI98" s="171">
        <f ca="1">IF(OR($D98&lt;&gt;"Serviço",AND(AUTOEVENTO="Manual",$M98=$A$15)),0,
         IF(OFFSET(CRONOPLE!$F$15,$M98-$A$15,BI$13)=0,10^12,OFFSET(CRONOPLE!$F$15,$M98-$A$15,BI$13)))</f>
        <v>1000000000000</v>
      </c>
      <c r="BJ98" s="171">
        <f ca="1">IF(OR($D98&lt;&gt;"Serviço",AND(AUTOEVENTO="Manual",$M98=$A$15)),0,
         IF(OFFSET(CRONOPLE!$F$15,$M98-$A$15,BJ$13)=0,10^12,OFFSET(CRONOPLE!$F$15,$M98-$A$15,BJ$13)))</f>
        <v>1000000000000</v>
      </c>
      <c r="BK98" s="171">
        <f ca="1">IF(OR($D98&lt;&gt;"Serviço",AND(AUTOEVENTO="Manual",$M98=$A$15)),0,
         IF(OFFSET(CRONOPLE!$F$15,$M98-$A$15,BK$13)=0,10^12,OFFSET(CRONOPLE!$F$15,$M98-$A$15,BK$13)))</f>
        <v>1000000000000</v>
      </c>
      <c r="BL98" s="171">
        <f ca="1">IF(OR($D98&lt;&gt;"Serviço",AND(AUTOEVENTO="Manual",$M98=$A$15)),0,
         IF(OFFSET(CRONOPLE!$F$15,$M98-$A$15,BL$13)=0,10^12,OFFSET(CRONOPLE!$F$15,$M98-$A$15,BL$13)))</f>
        <v>1000000000000</v>
      </c>
      <c r="BM98" s="171">
        <f ca="1">IF(OR($D98&lt;&gt;"Serviço",AND(AUTOEVENTO="Manual",$M98=$A$15)),0,
         IF(OFFSET(CRONOPLE!$F$15,$M98-$A$15,BM$13)=0,10^12,OFFSET(CRONOPLE!$F$15,$M98-$A$15,BM$13)))</f>
        <v>1000000000000</v>
      </c>
      <c r="BN98" s="171">
        <f ca="1">IF(OR($D98&lt;&gt;"Serviço",AND(AUTOEVENTO="Manual",$M98=$A$15)),0,
         IF(OFFSET(CRONOPLE!$F$15,$M98-$A$15,BN$13)=0,10^12,OFFSET(CRONOPLE!$F$15,$M98-$A$15,BN$13)))</f>
        <v>1000000000000</v>
      </c>
      <c r="BO98" s="171">
        <f ca="1">IF(OR($D98&lt;&gt;"Serviço",AND(AUTOEVENTO="Manual",$M98=$A$15)),0,
         IF(OFFSET(CRONOPLE!$F$15,$M98-$A$15,BO$13)=0,10^12,OFFSET(CRONOPLE!$F$15,$M98-$A$15,BO$13)))</f>
        <v>1000000000000</v>
      </c>
      <c r="BP98" s="171">
        <f ca="1">IF(OR($D98&lt;&gt;"Serviço",AND(AUTOEVENTO="Manual",$M98=$A$15)),0,
         IF(OFFSET(CRONOPLE!$F$15,$M98-$A$15,BP$13)=0,10^12,OFFSET(CRONOPLE!$F$15,$M98-$A$15,BP$13)))</f>
        <v>1000000000000</v>
      </c>
      <c r="BQ98" s="171">
        <f ca="1">IF(OR($D98&lt;&gt;"Serviço",AND(AUTOEVENTO="Manual",$M98=$A$15)),0,
         IF(OFFSET(CRONOPLE!$F$15,$M98-$A$15,BQ$13)=0,10^12,OFFSET(CRONOPLE!$F$15,$M98-$A$15,BQ$13)))</f>
        <v>1000000000000</v>
      </c>
      <c r="BR98" s="171">
        <f ca="1">IF(OR($D98&lt;&gt;"Serviço",AND(AUTOEVENTO="Manual",$M98=$A$15)),0,
         IF(OFFSET(CRONOPLE!$F$15,$M98-$A$15,BR$13)=0,10^12,OFFSET(CRONOPLE!$F$15,$M98-$A$15,BR$13)))</f>
        <v>1000000000000</v>
      </c>
      <c r="BS98" s="171">
        <f ca="1">IF(OR($D98&lt;&gt;"Serviço",AND(AUTOEVENTO="Manual",$M98=$A$15)),0,
         IF(OFFSET(CRONOPLE!$F$15,$M98-$A$15,BS$13)=0,10^12,OFFSET(CRONOPLE!$F$15,$M98-$A$15,BS$13)))</f>
        <v>1000000000000</v>
      </c>
      <c r="BT98" s="171">
        <f ca="1">IF(OR($D98&lt;&gt;"Serviço",AND(AUTOEVENTO="Manual",$M98=$A$15)),0,
         IF(OFFSET(CRONOPLE!$F$15,$M98-$A$15,BT$13)=0,10^12,OFFSET(CRONOPLE!$F$15,$M98-$A$15,BT$13)))</f>
        <v>1000000000000</v>
      </c>
      <c r="BV98" s="172">
        <f ca="1">IF(OR($D98&lt;&gt;"Serviço",AND(AUTOEVENTO="Manual",$M98=$A$15),$M98&gt;(ROW(PLE.lastrow)-ROW(PLE.firstrow))),0,
           IF(OFFSET(PLE!$G$15,$M98-$A$15,BV$13)="",10^12,OFFSET(PLE!$G$15,$M98-$A$15,BV$13)))</f>
        <v>1000000000000</v>
      </c>
      <c r="BW98" s="172">
        <f ca="1">IF(OR($D98&lt;&gt;"Serviço",AND(AUTOEVENTO="Manual",$M98=$A$15),$M98&gt;(ROW(PLE.lastrow)-ROW(PLE.firstrow))),0,
           IF(OFFSET(PLE!$G$15,$M98-$A$15,BW$13)="",10^12,OFFSET(PLE!$G$15,$M98-$A$15,BW$13)))</f>
        <v>1000000000000</v>
      </c>
      <c r="BX98" s="172">
        <f ca="1">IF(OR($D98&lt;&gt;"Serviço",AND(AUTOEVENTO="Manual",$M98=$A$15),$M98&gt;(ROW(PLE.lastrow)-ROW(PLE.firstrow))),0,
           IF(OFFSET(PLE!$G$15,$M98-$A$15,BX$13)="",10^12,OFFSET(PLE!$G$15,$M98-$A$15,BX$13)))</f>
        <v>1000000000000</v>
      </c>
      <c r="BY98" s="172">
        <f ca="1">IF(OR($D98&lt;&gt;"Serviço",AND(AUTOEVENTO="Manual",$M98=$A$15),$M98&gt;(ROW(PLE.lastrow)-ROW(PLE.firstrow))),0,
           IF(OFFSET(PLE!$G$15,$M98-$A$15,BY$13)="",10^12,OFFSET(PLE!$G$15,$M98-$A$15,BY$13)))</f>
        <v>1000000000000</v>
      </c>
      <c r="BZ98" s="172">
        <f ca="1">IF(OR($D98&lt;&gt;"Serviço",AND(AUTOEVENTO="Manual",$M98=$A$15),$M98&gt;(ROW(PLE.lastrow)-ROW(PLE.firstrow))),0,
           IF(OFFSET(PLE!$G$15,$M98-$A$15,BZ$13)="",10^12,OFFSET(PLE!$G$15,$M98-$A$15,BZ$13)))</f>
        <v>1000000000000</v>
      </c>
      <c r="CA98" s="172">
        <f ca="1">IF(OR($D98&lt;&gt;"Serviço",AND(AUTOEVENTO="Manual",$M98=$A$15),$M98&gt;(ROW(PLE.lastrow)-ROW(PLE.firstrow))),0,
           IF(OFFSET(PLE!$G$15,$M98-$A$15,CA$13)="",10^12,OFFSET(PLE!$G$15,$M98-$A$15,CA$13)))</f>
        <v>1000000000000</v>
      </c>
      <c r="CB98" s="172">
        <f ca="1">IF(OR($D98&lt;&gt;"Serviço",AND(AUTOEVENTO="Manual",$M98=$A$15),$M98&gt;(ROW(PLE.lastrow)-ROW(PLE.firstrow))),0,
           IF(OFFSET(PLE!$G$15,$M98-$A$15,CB$13)="",10^12,OFFSET(PLE!$G$15,$M98-$A$15,CB$13)))</f>
        <v>1000000000000</v>
      </c>
      <c r="CC98" s="172">
        <f ca="1">IF(OR($D98&lt;&gt;"Serviço",AND(AUTOEVENTO="Manual",$M98=$A$15),$M98&gt;(ROW(PLE.lastrow)-ROW(PLE.firstrow))),0,
           IF(OFFSET(PLE!$G$15,$M98-$A$15,CC$13)="",10^12,OFFSET(PLE!$G$15,$M98-$A$15,CC$13)))</f>
        <v>1000000000000</v>
      </c>
      <c r="CD98" s="172">
        <f ca="1">IF(OR($D98&lt;&gt;"Serviço",AND(AUTOEVENTO="Manual",$M98=$A$15),$M98&gt;(ROW(PLE.lastrow)-ROW(PLE.firstrow))),0,
           IF(OFFSET(PLE!$G$15,$M98-$A$15,CD$13)="",10^12,OFFSET(PLE!$G$15,$M98-$A$15,CD$13)))</f>
        <v>1000000000000</v>
      </c>
      <c r="CE98" s="172">
        <f ca="1">IF(OR($D98&lt;&gt;"Serviço",AND(AUTOEVENTO="Manual",$M98=$A$15),$M98&gt;(ROW(PLE.lastrow)-ROW(PLE.firstrow))),0,
           IF(OFFSET(PLE!$G$15,$M98-$A$15,CE$13)="",10^12,OFFSET(PLE!$G$15,$M98-$A$15,CE$13)))</f>
        <v>1000000000000</v>
      </c>
      <c r="CF98" s="172">
        <f ca="1">IF(OR($D98&lt;&gt;"Serviço",AND(AUTOEVENTO="Manual",$M98=$A$15),$M98&gt;(ROW(PLE.lastrow)-ROW(PLE.firstrow))),0,
           IF(OFFSET(PLE!$G$15,$M98-$A$15,CF$13)="",10^12,OFFSET(PLE!$G$15,$M98-$A$15,CF$13)))</f>
        <v>1000000000000</v>
      </c>
      <c r="CG98" s="172">
        <f ca="1">IF(OR($D98&lt;&gt;"Serviço",AND(AUTOEVENTO="Manual",$M98=$A$15),$M98&gt;(ROW(PLE.lastrow)-ROW(PLE.firstrow))),0,
           IF(OFFSET(PLE!$G$15,$M98-$A$15,CG$13)="",10^12,OFFSET(PLE!$G$15,$M98-$A$15,CG$13)))</f>
        <v>1000000000000</v>
      </c>
      <c r="CH98" s="172">
        <f ca="1">IF(OR($D98&lt;&gt;"Serviço",AND(AUTOEVENTO="Manual",$M98=$A$15),$M98&gt;(ROW(PLE.lastrow)-ROW(PLE.firstrow))),0,
           IF(OFFSET(PLE!$G$15,$M98-$A$15,CH$13)="",10^12,OFFSET(PLE!$G$15,$M98-$A$15,CH$13)))</f>
        <v>1000000000000</v>
      </c>
      <c r="CI98" s="172">
        <f ca="1">IF(OR($D98&lt;&gt;"Serviço",AND(AUTOEVENTO="Manual",$M98=$A$15),$M98&gt;(ROW(PLE.lastrow)-ROW(PLE.firstrow))),0,
           IF(OFFSET(PLE!$G$15,$M98-$A$15,CI$13)="",10^12,OFFSET(PLE!$G$15,$M98-$A$15,CI$13)))</f>
        <v>1000000000000</v>
      </c>
      <c r="CJ98" s="172">
        <f ca="1">IF(OR($D98&lt;&gt;"Serviço",AND(AUTOEVENTO="Manual",$M98=$A$15),$M98&gt;(ROW(PLE.lastrow)-ROW(PLE.firstrow))),0,
           IF(OFFSET(PLE!$G$15,$M98-$A$15,CJ$13)="",10^12,OFFSET(PLE!$G$15,$M98-$A$15,CJ$13)))</f>
        <v>1000000000000</v>
      </c>
      <c r="CK98" s="172">
        <f ca="1">IF(OR($D98&lt;&gt;"Serviço",AND(AUTOEVENTO="Manual",$M98=$A$15),$M98&gt;(ROW(PLE.lastrow)-ROW(PLE.firstrow))),0,
           IF(OFFSET(PLE!$G$15,$M98-$A$15,CK$13)="",10^12,OFFSET(PLE!$G$15,$M98-$A$15,CK$13)))</f>
        <v>1000000000000</v>
      </c>
      <c r="CL98" s="172">
        <f ca="1">IF(OR($D98&lt;&gt;"Serviço",AND(AUTOEVENTO="Manual",$M98=$A$15),$M98&gt;(ROW(PLE.lastrow)-ROW(PLE.firstrow))),0,
           IF(OFFSET(PLE!$G$15,$M98-$A$15,CL$13)="",10^12,OFFSET(PLE!$G$15,$M98-$A$15,CL$13)))</f>
        <v>1000000000000</v>
      </c>
      <c r="CM98" s="172">
        <f ca="1">IF(OR($D98&lt;&gt;"Serviço",AND(AUTOEVENTO="Manual",$M98=$A$15),$M98&gt;(ROW(PLE.lastrow)-ROW(PLE.firstrow))),0,
           IF(OFFSET(PLE!$G$15,$M98-$A$15,CM$13)="",10^12,OFFSET(PLE!$G$15,$M98-$A$15,CM$13)))</f>
        <v>1000000000000</v>
      </c>
    </row>
    <row r="99" spans="1:91" ht="26.4" x14ac:dyDescent="0.25">
      <c r="A99" s="7" t="str">
        <f t="shared" ca="1" si="11"/>
        <v>79</v>
      </c>
      <c r="B99" s="7" t="str">
        <f ca="1">OFFSET(ORÇAMENTO!C$15,ROW(B99)-ROW(B$15),0)</f>
        <v>S</v>
      </c>
      <c r="C99" s="7" t="str">
        <f ca="1">OFFSET(ORÇAMENTO!L$15,ROW(C99)-ROW(C$15),0)</f>
        <v>F</v>
      </c>
      <c r="D99" s="116" t="str">
        <f ca="1">OFFSET(ORÇAMENTO!N$15,ROW(D99)-ROW(D$15),0)</f>
        <v>Serviço</v>
      </c>
      <c r="E99" s="117" t="str">
        <f ca="1">OFFSET(ORÇAMENTO!O$15,ROW(E99)-ROW(E$15),0)</f>
        <v>3.1.5.</v>
      </c>
      <c r="F99" s="163" t="str">
        <f ca="1">OFFSET(ORÇAMENTO!R$15,ROW(F99)-ROW(F$15),0)</f>
        <v>Meio-fio de concreto - MFC 05 moldado no local com extrusora e concreto usinado - areia e brita comerciais</v>
      </c>
      <c r="G99" s="164" t="str">
        <f ca="1">IF($D99&lt;&gt;"Serviço","",OFFSET(ORÇAMENTO!S$15,ROW(G99)-ROW(G$15),0))</f>
        <v>m</v>
      </c>
      <c r="H99" s="122" cm="1">
        <f t="array" aca="1" ref="H99" ca="1">IF($D99&lt;&gt;"Serviço",0,IF(ACOMPANHAMENTO="BM",ROUND(OFFSET(ORÇAMENTO!AJ$15,ROW(H99)-ROW(H$15),0),15-13*ORÇAMENTO!$AF$7),SUMPRODUCT(($Q$1:$AI$1=1)*ROUND($Q99:$AI99,15-13*ORÇAMENTO!$AF$7))))</f>
        <v>410</v>
      </c>
      <c r="I99" s="468"/>
      <c r="J99" s="651" t="e" cm="1">
        <f t="array" aca="1" ref="J99" ca="1">IF(OR(B99&lt;&gt;"S",CÁLCULO.FrentesPreenchidas=0),"",IF(AND(ACOMPANHAMENTO="PLE",AUTOEVENTO="Manual",OR(H99&gt;0,ORÇAMENTO!AC99="QUANT."),OR(K99="",M99=0,N99="")),"►E",IF(AND(ACOMPANHAMENTO="PLE",ORÇAMENTO!AC99="QUANT."),"►Q",IF(AND(ACOMPANHAMENTO="PLE",H99&lt;&gt;SUMPRODUCT(($Q$1:$AI$1=1)*ROUND(Q99:AI99,15))),"►S",IF(AND(COUNTIF($P$11:$AI$11,"▼")=0,H99&gt;0,I99=""),"◄M","")))))</f>
        <v>#NAME?</v>
      </c>
      <c r="K99" s="652"/>
      <c r="L99" s="165" t="s">
        <v>764</v>
      </c>
      <c r="M99" s="166">
        <f ca="1">IF($D99&lt;&gt;"Serviço","",
          IF(AUTOEVENTO="manual",$A99,
                IF(ISERROR(MATCH($A99,$A$15:OFFSET($A99,-1,0),0)),MAX($M$15:OFFSET(M99,-1,0))+1,
                      INDEX($M$15:OFFSET(M99,-1,0),MATCH($A99,$A$15:OFFSET($A99,-1,0),0)))))</f>
        <v>14</v>
      </c>
      <c r="N99" s="167" t="str">
        <f ca="1">IF($D99&lt;&gt;"Serviço","",
         IF(AUTOEVENTO="Manual",
                IF($A99=0,"&lt;-- defina o número do agrupador",
                       OFFSET(EVENTOS!$D$15,$A99-$A$15,0)),
                OFFSET($F$15,$A99,0)))</f>
        <v>DRENAGEM</v>
      </c>
      <c r="O99" s="168"/>
      <c r="Q99" s="168"/>
      <c r="R99" s="169"/>
      <c r="S99" s="169"/>
      <c r="T99" s="169"/>
      <c r="U99" s="169">
        <v>410</v>
      </c>
      <c r="V99" s="169"/>
      <c r="W99" s="169"/>
      <c r="X99" s="169"/>
      <c r="Y99" s="169"/>
      <c r="Z99" s="170"/>
      <c r="AA99" s="169"/>
      <c r="AB99" s="169"/>
      <c r="AC99" s="169"/>
      <c r="AD99" s="169"/>
      <c r="AE99" s="169"/>
      <c r="AF99" s="169"/>
      <c r="AG99" s="169"/>
      <c r="AH99" s="170"/>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L99" s="453">
        <f ca="1">IF(AND($D99="Serviço",AL$12&lt;&gt;0,$H99&gt;0,OR(AUTOEVENTO&lt;&gt;"manual",$M99&lt;&gt;$A$15)),
        IF(Import.TipoArredondamento&lt;&gt;"TransfereGOV",
              ROUND(OFFSET($P99,0,AL$13),15-13*ORÇAMENTO!$AF$7)/$H99*OFFSET(ORÇAMENTO!$X$15,ROW(AL99)-ROW(AL$15),0),
              ROUND(ROUND(OFFSET($P99,0,AL$13),15-13*ORÇAMENTO!$AF$7)*OFFSET(ORÇAMENTO!$W$15,ROW(AL99)-ROW(AL$15),0),15-13*ORÇAMENTO!$AF$11)),
         0)</f>
        <v>0</v>
      </c>
      <c r="AM99" s="453">
        <f ca="1">IF(AND($D99="Serviço",AM$12&lt;&gt;0,$H99&gt;0,OR(AUTOEVENTO&lt;&gt;"manual",$M99&lt;&gt;$A$15)),
        IF(Import.TipoArredondamento&lt;&gt;"TransfereGOV",
              ROUND(OFFSET($P99,0,AM$13),15-13*ORÇAMENTO!$AF$7)/$H99*OFFSET(ORÇAMENTO!$X$15,ROW(AM99)-ROW(AM$15),0),
              ROUND(ROUND(OFFSET($P99,0,AM$13),15-13*ORÇAMENTO!$AF$7)*OFFSET(ORÇAMENTO!$W$15,ROW(AM99)-ROW(AM$15),0),15-13*ORÇAMENTO!$AF$11)),
         0)</f>
        <v>0</v>
      </c>
      <c r="AN99" s="453">
        <f ca="1">IF(AND($D99="Serviço",AN$12&lt;&gt;0,$H99&gt;0,OR(AUTOEVENTO&lt;&gt;"manual",$M99&lt;&gt;$A$15)),
        IF(Import.TipoArredondamento&lt;&gt;"TransfereGOV",
              ROUND(OFFSET($P99,0,AN$13),15-13*ORÇAMENTO!$AF$7)/$H99*OFFSET(ORÇAMENTO!$X$15,ROW(AN99)-ROW(AN$15),0),
              ROUND(ROUND(OFFSET($P99,0,AN$13),15-13*ORÇAMENTO!$AF$7)*OFFSET(ORÇAMENTO!$W$15,ROW(AN99)-ROW(AN$15),0),15-13*ORÇAMENTO!$AF$11)),
         0)</f>
        <v>12025.3</v>
      </c>
      <c r="AO99" s="453">
        <f ca="1">IF(AND($D99="Serviço",AO$12&lt;&gt;0,$H99&gt;0,OR(AUTOEVENTO&lt;&gt;"manual",$M99&lt;&gt;$A$15)),
        IF(Import.TipoArredondamento&lt;&gt;"TransfereGOV",
              ROUND(OFFSET($P99,0,AO$13),15-13*ORÇAMENTO!$AF$7)/$H99*OFFSET(ORÇAMENTO!$X$15,ROW(AO99)-ROW(AO$15),0),
              ROUND(ROUND(OFFSET($P99,0,AO$13),15-13*ORÇAMENTO!$AF$7)*OFFSET(ORÇAMENTO!$W$15,ROW(AO99)-ROW(AO$15),0),15-13*ORÇAMENTO!$AF$11)),
         0)</f>
        <v>0</v>
      </c>
      <c r="AP99" s="453">
        <f ca="1">IF(AND($D99="Serviço",AP$12&lt;&gt;0,$H99&gt;0,OR(AUTOEVENTO&lt;&gt;"manual",$M99&lt;&gt;$A$15)),
        IF(Import.TipoArredondamento&lt;&gt;"TransfereGOV",
              ROUND(OFFSET($P99,0,AP$13),15-13*ORÇAMENTO!$AF$7)/$H99*OFFSET(ORÇAMENTO!$X$15,ROW(AP99)-ROW(AP$15),0),
              ROUND(ROUND(OFFSET($P99,0,AP$13),15-13*ORÇAMENTO!$AF$7)*OFFSET(ORÇAMENTO!$W$15,ROW(AP99)-ROW(AP$15),0),15-13*ORÇAMENTO!$AF$11)),
         0)</f>
        <v>0</v>
      </c>
      <c r="AQ99" s="453">
        <f ca="1">IF(AND($D99="Serviço",AQ$12&lt;&gt;0,$H99&gt;0,OR(AUTOEVENTO&lt;&gt;"manual",$M99&lt;&gt;$A$15)),
        IF(Import.TipoArredondamento&lt;&gt;"TransfereGOV",
              ROUND(OFFSET($P99,0,AQ$13),15-13*ORÇAMENTO!$AF$7)/$H99*OFFSET(ORÇAMENTO!$X$15,ROW(AQ99)-ROW(AQ$15),0),
              ROUND(ROUND(OFFSET($P99,0,AQ$13),15-13*ORÇAMENTO!$AF$7)*OFFSET(ORÇAMENTO!$W$15,ROW(AQ99)-ROW(AQ$15),0),15-13*ORÇAMENTO!$AF$11)),
         0)</f>
        <v>0</v>
      </c>
      <c r="AR99" s="453">
        <f ca="1">IF(AND($D99="Serviço",AR$12&lt;&gt;0,$H99&gt;0,OR(AUTOEVENTO&lt;&gt;"manual",$M99&lt;&gt;$A$15)),
        IF(Import.TipoArredondamento&lt;&gt;"TransfereGOV",
              ROUND(OFFSET($P99,0,AR$13),15-13*ORÇAMENTO!$AF$7)/$H99*OFFSET(ORÇAMENTO!$X$15,ROW(AR99)-ROW(AR$15),0),
              ROUND(ROUND(OFFSET($P99,0,AR$13),15-13*ORÇAMENTO!$AF$7)*OFFSET(ORÇAMENTO!$W$15,ROW(AR99)-ROW(AR$15),0),15-13*ORÇAMENTO!$AF$11)),
         0)</f>
        <v>0</v>
      </c>
      <c r="AS99" s="453">
        <f ca="1">IF(AND($D99="Serviço",AS$12&lt;&gt;0,$H99&gt;0,OR(AUTOEVENTO&lt;&gt;"manual",$M99&lt;&gt;$A$15)),
        IF(Import.TipoArredondamento&lt;&gt;"TransfereGOV",
              ROUND(OFFSET($P99,0,AS$13),15-13*ORÇAMENTO!$AF$7)/$H99*OFFSET(ORÇAMENTO!$X$15,ROW(AS99)-ROW(AS$15),0),
              ROUND(ROUND(OFFSET($P99,0,AS$13),15-13*ORÇAMENTO!$AF$7)*OFFSET(ORÇAMENTO!$W$15,ROW(AS99)-ROW(AS$15),0),15-13*ORÇAMENTO!$AF$11)),
         0)</f>
        <v>0</v>
      </c>
      <c r="AT99" s="453">
        <f ca="1">IF(AND($D99="Serviço",AT$12&lt;&gt;0,$H99&gt;0,OR(AUTOEVENTO&lt;&gt;"manual",$M99&lt;&gt;$A$15)),
        IF(Import.TipoArredondamento&lt;&gt;"TransfereGOV",
              ROUND(OFFSET($P99,0,AT$13),15-13*ORÇAMENTO!$AF$7)/$H99*OFFSET(ORÇAMENTO!$X$15,ROW(AT99)-ROW(AT$15),0),
              ROUND(ROUND(OFFSET($P99,0,AT$13),15-13*ORÇAMENTO!$AF$7)*OFFSET(ORÇAMENTO!$W$15,ROW(AT99)-ROW(AT$15),0),15-13*ORÇAMENTO!$AF$11)),
         0)</f>
        <v>0</v>
      </c>
      <c r="AU99" s="453">
        <f ca="1">IF(AND($D99="Serviço",AU$12&lt;&gt;0,$H99&gt;0,OR(AUTOEVENTO&lt;&gt;"manual",$M99&lt;&gt;$A$15)),
        IF(Import.TipoArredondamento&lt;&gt;"TransfereGOV",
              ROUND(OFFSET($P99,0,AU$13),15-13*ORÇAMENTO!$AF$7)/$H99*OFFSET(ORÇAMENTO!$X$15,ROW(AU99)-ROW(AU$15),0),
              ROUND(ROUND(OFFSET($P99,0,AU$13),15-13*ORÇAMENTO!$AF$7)*OFFSET(ORÇAMENTO!$W$15,ROW(AU99)-ROW(AU$15),0),15-13*ORÇAMENTO!$AF$11)),
         0)</f>
        <v>0</v>
      </c>
      <c r="AV99" s="453">
        <f ca="1">IF(AND($D99="Serviço",AV$12&lt;&gt;0,$H99&gt;0,OR(AUTOEVENTO&lt;&gt;"manual",$M99&lt;&gt;$A$15)),
        IF(Import.TipoArredondamento&lt;&gt;"TransfereGOV",
              ROUND(OFFSET($P99,0,AV$13),15-13*ORÇAMENTO!$AF$7)/$H99*OFFSET(ORÇAMENTO!$X$15,ROW(AV99)-ROW(AV$15),0),
              ROUND(ROUND(OFFSET($P99,0,AV$13),15-13*ORÇAMENTO!$AF$7)*OFFSET(ORÇAMENTO!$W$15,ROW(AV99)-ROW(AV$15),0),15-13*ORÇAMENTO!$AF$11)),
         0)</f>
        <v>0</v>
      </c>
      <c r="AW99" s="453">
        <f ca="1">IF(AND($D99="Serviço",AW$12&lt;&gt;0,$H99&gt;0,OR(AUTOEVENTO&lt;&gt;"manual",$M99&lt;&gt;$A$15)),
        IF(Import.TipoArredondamento&lt;&gt;"TransfereGOV",
              ROUND(OFFSET($P99,0,AW$13),15-13*ORÇAMENTO!$AF$7)/$H99*OFFSET(ORÇAMENTO!$X$15,ROW(AW99)-ROW(AW$15),0),
              ROUND(ROUND(OFFSET($P99,0,AW$13),15-13*ORÇAMENTO!$AF$7)*OFFSET(ORÇAMENTO!$W$15,ROW(AW99)-ROW(AW$15),0),15-13*ORÇAMENTO!$AF$11)),
         0)</f>
        <v>0</v>
      </c>
      <c r="AX99" s="453">
        <f ca="1">IF(AND($D99="Serviço",AX$12&lt;&gt;0,$H99&gt;0,OR(AUTOEVENTO&lt;&gt;"manual",$M99&lt;&gt;$A$15)),
        IF(Import.TipoArredondamento&lt;&gt;"TransfereGOV",
              ROUND(OFFSET($P99,0,AX$13),15-13*ORÇAMENTO!$AF$7)/$H99*OFFSET(ORÇAMENTO!$X$15,ROW(AX99)-ROW(AX$15),0),
              ROUND(ROUND(OFFSET($P99,0,AX$13),15-13*ORÇAMENTO!$AF$7)*OFFSET(ORÇAMENTO!$W$15,ROW(AX99)-ROW(AX$15),0),15-13*ORÇAMENTO!$AF$11)),
         0)</f>
        <v>0</v>
      </c>
      <c r="AY99" s="453">
        <f ca="1">IF(AND($D99="Serviço",AY$12&lt;&gt;0,$H99&gt;0,OR(AUTOEVENTO&lt;&gt;"manual",$M99&lt;&gt;$A$15)),
        IF(Import.TipoArredondamento&lt;&gt;"TransfereGOV",
              ROUND(OFFSET($P99,0,AY$13),15-13*ORÇAMENTO!$AF$7)/$H99*OFFSET(ORÇAMENTO!$X$15,ROW(AY99)-ROW(AY$15),0),
              ROUND(ROUND(OFFSET($P99,0,AY$13),15-13*ORÇAMENTO!$AF$7)*OFFSET(ORÇAMENTO!$W$15,ROW(AY99)-ROW(AY$15),0),15-13*ORÇAMENTO!$AF$11)),
         0)</f>
        <v>0</v>
      </c>
      <c r="AZ99" s="453">
        <f ca="1">IF(AND($D99="Serviço",AZ$12&lt;&gt;0,$H99&gt;0,OR(AUTOEVENTO&lt;&gt;"manual",$M99&lt;&gt;$A$15)),
        IF(Import.TipoArredondamento&lt;&gt;"TransfereGOV",
              ROUND(OFFSET($P99,0,AZ$13),15-13*ORÇAMENTO!$AF$7)/$H99*OFFSET(ORÇAMENTO!$X$15,ROW(AZ99)-ROW(AZ$15),0),
              ROUND(ROUND(OFFSET($P99,0,AZ$13),15-13*ORÇAMENTO!$AF$7)*OFFSET(ORÇAMENTO!$W$15,ROW(AZ99)-ROW(AZ$15),0),15-13*ORÇAMENTO!$AF$11)),
         0)</f>
        <v>0</v>
      </c>
      <c r="BA99" s="453">
        <f ca="1">IF(AND($D99="Serviço",BA$12&lt;&gt;0,$H99&gt;0,OR(AUTOEVENTO&lt;&gt;"manual",$M99&lt;&gt;$A$15)),
        IF(Import.TipoArredondamento&lt;&gt;"TransfereGOV",
              ROUND(OFFSET($P99,0,BA$13),15-13*ORÇAMENTO!$AF$7)/$H99*OFFSET(ORÇAMENTO!$X$15,ROW(BA99)-ROW(BA$15),0),
              ROUND(ROUND(OFFSET($P99,0,BA$13),15-13*ORÇAMENTO!$AF$7)*OFFSET(ORÇAMENTO!$W$15,ROW(BA99)-ROW(BA$15),0),15-13*ORÇAMENTO!$AF$11)),
         0)</f>
        <v>0</v>
      </c>
      <c r="BC99" s="171">
        <f ca="1">IF(OR($D99&lt;&gt;"Serviço",AND(AUTOEVENTO="Manual",$M99=$A$15)),0,
         IF(OFFSET(CRONOPLE!$F$15,$M99-$A$15,BC$13)=0,10^12,OFFSET(CRONOPLE!$F$15,$M99-$A$15,BC$13)))</f>
        <v>1000000000000</v>
      </c>
      <c r="BD99" s="171">
        <f ca="1">IF(OR($D99&lt;&gt;"Serviço",AND(AUTOEVENTO="Manual",$M99=$A$15)),0,
         IF(OFFSET(CRONOPLE!$F$15,$M99-$A$15,BD$13)=0,10^12,OFFSET(CRONOPLE!$F$15,$M99-$A$15,BD$13)))</f>
        <v>1000000000000</v>
      </c>
      <c r="BE99" s="171">
        <f ca="1">IF(OR($D99&lt;&gt;"Serviço",AND(AUTOEVENTO="Manual",$M99=$A$15)),0,
         IF(OFFSET(CRONOPLE!$F$15,$M99-$A$15,BE$13)=0,10^12,OFFSET(CRONOPLE!$F$15,$M99-$A$15,BE$13)))</f>
        <v>1000000000000</v>
      </c>
      <c r="BF99" s="171">
        <f ca="1">IF(OR($D99&lt;&gt;"Serviço",AND(AUTOEVENTO="Manual",$M99=$A$15)),0,
         IF(OFFSET(CRONOPLE!$F$15,$M99-$A$15,BF$13)=0,10^12,OFFSET(CRONOPLE!$F$15,$M99-$A$15,BF$13)))</f>
        <v>1000000000000</v>
      </c>
      <c r="BG99" s="171">
        <f ca="1">IF(OR($D99&lt;&gt;"Serviço",AND(AUTOEVENTO="Manual",$M99=$A$15)),0,
         IF(OFFSET(CRONOPLE!$F$15,$M99-$A$15,BG$13)=0,10^12,OFFSET(CRONOPLE!$F$15,$M99-$A$15,BG$13)))</f>
        <v>3</v>
      </c>
      <c r="BH99" s="171">
        <f ca="1">IF(OR($D99&lt;&gt;"Serviço",AND(AUTOEVENTO="Manual",$M99=$A$15)),0,
         IF(OFFSET(CRONOPLE!$F$15,$M99-$A$15,BH$13)=0,10^12,OFFSET(CRONOPLE!$F$15,$M99-$A$15,BH$13)))</f>
        <v>1000000000000</v>
      </c>
      <c r="BI99" s="171">
        <f ca="1">IF(OR($D99&lt;&gt;"Serviço",AND(AUTOEVENTO="Manual",$M99=$A$15)),0,
         IF(OFFSET(CRONOPLE!$F$15,$M99-$A$15,BI$13)=0,10^12,OFFSET(CRONOPLE!$F$15,$M99-$A$15,BI$13)))</f>
        <v>1000000000000</v>
      </c>
      <c r="BJ99" s="171">
        <f ca="1">IF(OR($D99&lt;&gt;"Serviço",AND(AUTOEVENTO="Manual",$M99=$A$15)),0,
         IF(OFFSET(CRONOPLE!$F$15,$M99-$A$15,BJ$13)=0,10^12,OFFSET(CRONOPLE!$F$15,$M99-$A$15,BJ$13)))</f>
        <v>1000000000000</v>
      </c>
      <c r="BK99" s="171">
        <f ca="1">IF(OR($D99&lt;&gt;"Serviço",AND(AUTOEVENTO="Manual",$M99=$A$15)),0,
         IF(OFFSET(CRONOPLE!$F$15,$M99-$A$15,BK$13)=0,10^12,OFFSET(CRONOPLE!$F$15,$M99-$A$15,BK$13)))</f>
        <v>1000000000000</v>
      </c>
      <c r="BL99" s="171">
        <f ca="1">IF(OR($D99&lt;&gt;"Serviço",AND(AUTOEVENTO="Manual",$M99=$A$15)),0,
         IF(OFFSET(CRONOPLE!$F$15,$M99-$A$15,BL$13)=0,10^12,OFFSET(CRONOPLE!$F$15,$M99-$A$15,BL$13)))</f>
        <v>1000000000000</v>
      </c>
      <c r="BM99" s="171">
        <f ca="1">IF(OR($D99&lt;&gt;"Serviço",AND(AUTOEVENTO="Manual",$M99=$A$15)),0,
         IF(OFFSET(CRONOPLE!$F$15,$M99-$A$15,BM$13)=0,10^12,OFFSET(CRONOPLE!$F$15,$M99-$A$15,BM$13)))</f>
        <v>1000000000000</v>
      </c>
      <c r="BN99" s="171">
        <f ca="1">IF(OR($D99&lt;&gt;"Serviço",AND(AUTOEVENTO="Manual",$M99=$A$15)),0,
         IF(OFFSET(CRONOPLE!$F$15,$M99-$A$15,BN$13)=0,10^12,OFFSET(CRONOPLE!$F$15,$M99-$A$15,BN$13)))</f>
        <v>1000000000000</v>
      </c>
      <c r="BO99" s="171">
        <f ca="1">IF(OR($D99&lt;&gt;"Serviço",AND(AUTOEVENTO="Manual",$M99=$A$15)),0,
         IF(OFFSET(CRONOPLE!$F$15,$M99-$A$15,BO$13)=0,10^12,OFFSET(CRONOPLE!$F$15,$M99-$A$15,BO$13)))</f>
        <v>1000000000000</v>
      </c>
      <c r="BP99" s="171">
        <f ca="1">IF(OR($D99&lt;&gt;"Serviço",AND(AUTOEVENTO="Manual",$M99=$A$15)),0,
         IF(OFFSET(CRONOPLE!$F$15,$M99-$A$15,BP$13)=0,10^12,OFFSET(CRONOPLE!$F$15,$M99-$A$15,BP$13)))</f>
        <v>1000000000000</v>
      </c>
      <c r="BQ99" s="171">
        <f ca="1">IF(OR($D99&lt;&gt;"Serviço",AND(AUTOEVENTO="Manual",$M99=$A$15)),0,
         IF(OFFSET(CRONOPLE!$F$15,$M99-$A$15,BQ$13)=0,10^12,OFFSET(CRONOPLE!$F$15,$M99-$A$15,BQ$13)))</f>
        <v>1000000000000</v>
      </c>
      <c r="BR99" s="171">
        <f ca="1">IF(OR($D99&lt;&gt;"Serviço",AND(AUTOEVENTO="Manual",$M99=$A$15)),0,
         IF(OFFSET(CRONOPLE!$F$15,$M99-$A$15,BR$13)=0,10^12,OFFSET(CRONOPLE!$F$15,$M99-$A$15,BR$13)))</f>
        <v>1000000000000</v>
      </c>
      <c r="BS99" s="171">
        <f ca="1">IF(OR($D99&lt;&gt;"Serviço",AND(AUTOEVENTO="Manual",$M99=$A$15)),0,
         IF(OFFSET(CRONOPLE!$F$15,$M99-$A$15,BS$13)=0,10^12,OFFSET(CRONOPLE!$F$15,$M99-$A$15,BS$13)))</f>
        <v>1000000000000</v>
      </c>
      <c r="BT99" s="171">
        <f ca="1">IF(OR($D99&lt;&gt;"Serviço",AND(AUTOEVENTO="Manual",$M99=$A$15)),0,
         IF(OFFSET(CRONOPLE!$F$15,$M99-$A$15,BT$13)=0,10^12,OFFSET(CRONOPLE!$F$15,$M99-$A$15,BT$13)))</f>
        <v>1000000000000</v>
      </c>
      <c r="BV99" s="172">
        <f ca="1">IF(OR($D99&lt;&gt;"Serviço",AND(AUTOEVENTO="Manual",$M99=$A$15),$M99&gt;(ROW(PLE.lastrow)-ROW(PLE.firstrow))),0,
           IF(OFFSET(PLE!$G$15,$M99-$A$15,BV$13)="",10^12,OFFSET(PLE!$G$15,$M99-$A$15,BV$13)))</f>
        <v>1000000000000</v>
      </c>
      <c r="BW99" s="172">
        <f ca="1">IF(OR($D99&lt;&gt;"Serviço",AND(AUTOEVENTO="Manual",$M99=$A$15),$M99&gt;(ROW(PLE.lastrow)-ROW(PLE.firstrow))),0,
           IF(OFFSET(PLE!$G$15,$M99-$A$15,BW$13)="",10^12,OFFSET(PLE!$G$15,$M99-$A$15,BW$13)))</f>
        <v>1000000000000</v>
      </c>
      <c r="BX99" s="172">
        <f ca="1">IF(OR($D99&lt;&gt;"Serviço",AND(AUTOEVENTO="Manual",$M99=$A$15),$M99&gt;(ROW(PLE.lastrow)-ROW(PLE.firstrow))),0,
           IF(OFFSET(PLE!$G$15,$M99-$A$15,BX$13)="",10^12,OFFSET(PLE!$G$15,$M99-$A$15,BX$13)))</f>
        <v>1000000000000</v>
      </c>
      <c r="BY99" s="172">
        <f ca="1">IF(OR($D99&lt;&gt;"Serviço",AND(AUTOEVENTO="Manual",$M99=$A$15),$M99&gt;(ROW(PLE.lastrow)-ROW(PLE.firstrow))),0,
           IF(OFFSET(PLE!$G$15,$M99-$A$15,BY$13)="",10^12,OFFSET(PLE!$G$15,$M99-$A$15,BY$13)))</f>
        <v>1000000000000</v>
      </c>
      <c r="BZ99" s="172">
        <f ca="1">IF(OR($D99&lt;&gt;"Serviço",AND(AUTOEVENTO="Manual",$M99=$A$15),$M99&gt;(ROW(PLE.lastrow)-ROW(PLE.firstrow))),0,
           IF(OFFSET(PLE!$G$15,$M99-$A$15,BZ$13)="",10^12,OFFSET(PLE!$G$15,$M99-$A$15,BZ$13)))</f>
        <v>1000000000000</v>
      </c>
      <c r="CA99" s="172">
        <f ca="1">IF(OR($D99&lt;&gt;"Serviço",AND(AUTOEVENTO="Manual",$M99=$A$15),$M99&gt;(ROW(PLE.lastrow)-ROW(PLE.firstrow))),0,
           IF(OFFSET(PLE!$G$15,$M99-$A$15,CA$13)="",10^12,OFFSET(PLE!$G$15,$M99-$A$15,CA$13)))</f>
        <v>1000000000000</v>
      </c>
      <c r="CB99" s="172">
        <f ca="1">IF(OR($D99&lt;&gt;"Serviço",AND(AUTOEVENTO="Manual",$M99=$A$15),$M99&gt;(ROW(PLE.lastrow)-ROW(PLE.firstrow))),0,
           IF(OFFSET(PLE!$G$15,$M99-$A$15,CB$13)="",10^12,OFFSET(PLE!$G$15,$M99-$A$15,CB$13)))</f>
        <v>1000000000000</v>
      </c>
      <c r="CC99" s="172">
        <f ca="1">IF(OR($D99&lt;&gt;"Serviço",AND(AUTOEVENTO="Manual",$M99=$A$15),$M99&gt;(ROW(PLE.lastrow)-ROW(PLE.firstrow))),0,
           IF(OFFSET(PLE!$G$15,$M99-$A$15,CC$13)="",10^12,OFFSET(PLE!$G$15,$M99-$A$15,CC$13)))</f>
        <v>1000000000000</v>
      </c>
      <c r="CD99" s="172">
        <f ca="1">IF(OR($D99&lt;&gt;"Serviço",AND(AUTOEVENTO="Manual",$M99=$A$15),$M99&gt;(ROW(PLE.lastrow)-ROW(PLE.firstrow))),0,
           IF(OFFSET(PLE!$G$15,$M99-$A$15,CD$13)="",10^12,OFFSET(PLE!$G$15,$M99-$A$15,CD$13)))</f>
        <v>1000000000000</v>
      </c>
      <c r="CE99" s="172">
        <f ca="1">IF(OR($D99&lt;&gt;"Serviço",AND(AUTOEVENTO="Manual",$M99=$A$15),$M99&gt;(ROW(PLE.lastrow)-ROW(PLE.firstrow))),0,
           IF(OFFSET(PLE!$G$15,$M99-$A$15,CE$13)="",10^12,OFFSET(PLE!$G$15,$M99-$A$15,CE$13)))</f>
        <v>1000000000000</v>
      </c>
      <c r="CF99" s="172">
        <f ca="1">IF(OR($D99&lt;&gt;"Serviço",AND(AUTOEVENTO="Manual",$M99=$A$15),$M99&gt;(ROW(PLE.lastrow)-ROW(PLE.firstrow))),0,
           IF(OFFSET(PLE!$G$15,$M99-$A$15,CF$13)="",10^12,OFFSET(PLE!$G$15,$M99-$A$15,CF$13)))</f>
        <v>1000000000000</v>
      </c>
      <c r="CG99" s="172">
        <f ca="1">IF(OR($D99&lt;&gt;"Serviço",AND(AUTOEVENTO="Manual",$M99=$A$15),$M99&gt;(ROW(PLE.lastrow)-ROW(PLE.firstrow))),0,
           IF(OFFSET(PLE!$G$15,$M99-$A$15,CG$13)="",10^12,OFFSET(PLE!$G$15,$M99-$A$15,CG$13)))</f>
        <v>1000000000000</v>
      </c>
      <c r="CH99" s="172">
        <f ca="1">IF(OR($D99&lt;&gt;"Serviço",AND(AUTOEVENTO="Manual",$M99=$A$15),$M99&gt;(ROW(PLE.lastrow)-ROW(PLE.firstrow))),0,
           IF(OFFSET(PLE!$G$15,$M99-$A$15,CH$13)="",10^12,OFFSET(PLE!$G$15,$M99-$A$15,CH$13)))</f>
        <v>1000000000000</v>
      </c>
      <c r="CI99" s="172">
        <f ca="1">IF(OR($D99&lt;&gt;"Serviço",AND(AUTOEVENTO="Manual",$M99=$A$15),$M99&gt;(ROW(PLE.lastrow)-ROW(PLE.firstrow))),0,
           IF(OFFSET(PLE!$G$15,$M99-$A$15,CI$13)="",10^12,OFFSET(PLE!$G$15,$M99-$A$15,CI$13)))</f>
        <v>1000000000000</v>
      </c>
      <c r="CJ99" s="172">
        <f ca="1">IF(OR($D99&lt;&gt;"Serviço",AND(AUTOEVENTO="Manual",$M99=$A$15),$M99&gt;(ROW(PLE.lastrow)-ROW(PLE.firstrow))),0,
           IF(OFFSET(PLE!$G$15,$M99-$A$15,CJ$13)="",10^12,OFFSET(PLE!$G$15,$M99-$A$15,CJ$13)))</f>
        <v>1000000000000</v>
      </c>
      <c r="CK99" s="172">
        <f ca="1">IF(OR($D99&lt;&gt;"Serviço",AND(AUTOEVENTO="Manual",$M99=$A$15),$M99&gt;(ROW(PLE.lastrow)-ROW(PLE.firstrow))),0,
           IF(OFFSET(PLE!$G$15,$M99-$A$15,CK$13)="",10^12,OFFSET(PLE!$G$15,$M99-$A$15,CK$13)))</f>
        <v>1000000000000</v>
      </c>
      <c r="CL99" s="172">
        <f ca="1">IF(OR($D99&lt;&gt;"Serviço",AND(AUTOEVENTO="Manual",$M99=$A$15),$M99&gt;(ROW(PLE.lastrow)-ROW(PLE.firstrow))),0,
           IF(OFFSET(PLE!$G$15,$M99-$A$15,CL$13)="",10^12,OFFSET(PLE!$G$15,$M99-$A$15,CL$13)))</f>
        <v>1000000000000</v>
      </c>
      <c r="CM99" s="172">
        <f ca="1">IF(OR($D99&lt;&gt;"Serviço",AND(AUTOEVENTO="Manual",$M99=$A$15),$M99&gt;(ROW(PLE.lastrow)-ROW(PLE.firstrow))),0,
           IF(OFFSET(PLE!$G$15,$M99-$A$15,CM$13)="",10^12,OFFSET(PLE!$G$15,$M99-$A$15,CM$13)))</f>
        <v>1000000000000</v>
      </c>
    </row>
    <row r="100" spans="1:91" ht="13.2" x14ac:dyDescent="0.25">
      <c r="A100" s="7" t="str">
        <f t="shared" ca="1" si="11"/>
        <v>79</v>
      </c>
      <c r="B100" s="7" t="str">
        <f ca="1">OFFSET(ORÇAMENTO!C$15,ROW(B100)-ROW(B$15),0)</f>
        <v>S</v>
      </c>
      <c r="C100" s="7" t="str">
        <f ca="1">OFFSET(ORÇAMENTO!L$15,ROW(C100)-ROW(C$15),0)</f>
        <v>F</v>
      </c>
      <c r="D100" s="116" t="str">
        <f ca="1">OFFSET(ORÇAMENTO!N$15,ROW(D100)-ROW(D$15),0)</f>
        <v>Serviço</v>
      </c>
      <c r="E100" s="117" t="str">
        <f ca="1">OFFSET(ORÇAMENTO!O$15,ROW(E100)-ROW(E$15),0)</f>
        <v>3.1.6.</v>
      </c>
      <c r="F100" s="163" t="str">
        <f ca="1">OFFSET(ORÇAMENTO!R$15,ROW(F100)-ROW(F$15),0)</f>
        <v>Caiação manual com fixador de cal</v>
      </c>
      <c r="G100" s="164" t="str">
        <f ca="1">IF($D100&lt;&gt;"Serviço","",OFFSET(ORÇAMENTO!S$15,ROW(G100)-ROW(G$15),0))</f>
        <v>m²</v>
      </c>
      <c r="H100" s="122" cm="1">
        <f t="array" aca="1" ref="H100" ca="1">IF($D100&lt;&gt;"Serviço",0,IF(ACOMPANHAMENTO="BM",ROUND(OFFSET(ORÇAMENTO!AJ$15,ROW(H100)-ROW(H$15),0),15-13*ORÇAMENTO!$AF$7),SUMPRODUCT(($Q$1:$AI$1=1)*ROUND($Q100:$AI100,15-13*ORÇAMENTO!$AF$7))))</f>
        <v>172.2</v>
      </c>
      <c r="I100" s="468"/>
      <c r="J100" s="651" t="e" cm="1">
        <f t="array" aca="1" ref="J100" ca="1">IF(OR(B100&lt;&gt;"S",CÁLCULO.FrentesPreenchidas=0),"",IF(AND(ACOMPANHAMENTO="PLE",AUTOEVENTO="Manual",OR(H100&gt;0,ORÇAMENTO!AC100="QUANT."),OR(K100="",M100=0,N100="")),"►E",IF(AND(ACOMPANHAMENTO="PLE",ORÇAMENTO!AC100="QUANT."),"►Q",IF(AND(ACOMPANHAMENTO="PLE",H100&lt;&gt;SUMPRODUCT(($Q$1:$AI$1=1)*ROUND(Q100:AI100,15))),"►S",IF(AND(COUNTIF($P$11:$AI$11,"▼")=0,H100&gt;0,I100=""),"◄M","")))))</f>
        <v>#NAME?</v>
      </c>
      <c r="K100" s="652"/>
      <c r="L100" s="165" t="s">
        <v>764</v>
      </c>
      <c r="M100" s="166">
        <f ca="1">IF($D100&lt;&gt;"Serviço","",
          IF(AUTOEVENTO="manual",$A100,
                IF(ISERROR(MATCH($A100,$A$15:OFFSET($A100,-1,0),0)),MAX($M$15:OFFSET(M100,-1,0))+1,
                      INDEX($M$15:OFFSET(M100,-1,0),MATCH($A100,$A$15:OFFSET($A100,-1,0),0)))))</f>
        <v>14</v>
      </c>
      <c r="N100" s="167" t="str">
        <f ca="1">IF($D100&lt;&gt;"Serviço","",
         IF(AUTOEVENTO="Manual",
                IF($A100=0,"&lt;-- defina o número do agrupador",
                       OFFSET(EVENTOS!$D$15,$A100-$A$15,0)),
                OFFSET($F$15,$A100,0)))</f>
        <v>DRENAGEM</v>
      </c>
      <c r="O100" s="168"/>
      <c r="Q100" s="168"/>
      <c r="R100" s="169"/>
      <c r="S100" s="169"/>
      <c r="T100" s="169"/>
      <c r="U100" s="169">
        <f>(0.15+0.15+0.12)*410</f>
        <v>172.2</v>
      </c>
      <c r="V100" s="169"/>
      <c r="W100" s="169"/>
      <c r="X100" s="169"/>
      <c r="Y100" s="169"/>
      <c r="Z100" s="170"/>
      <c r="AA100" s="169"/>
      <c r="AB100" s="169"/>
      <c r="AC100" s="169"/>
      <c r="AD100" s="169"/>
      <c r="AE100" s="169"/>
      <c r="AF100" s="169"/>
      <c r="AG100" s="169"/>
      <c r="AH100" s="170"/>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L100" s="453">
        <f ca="1">IF(AND($D100="Serviço",AL$12&lt;&gt;0,$H100&gt;0,OR(AUTOEVENTO&lt;&gt;"manual",$M100&lt;&gt;$A$15)),
        IF(Import.TipoArredondamento&lt;&gt;"TransfereGOV",
              ROUND(OFFSET($P100,0,AL$13),15-13*ORÇAMENTO!$AF$7)/$H100*OFFSET(ORÇAMENTO!$X$15,ROW(AL100)-ROW(AL$15),0),
              ROUND(ROUND(OFFSET($P100,0,AL$13),15-13*ORÇAMENTO!$AF$7)*OFFSET(ORÇAMENTO!$W$15,ROW(AL100)-ROW(AL$15),0),15-13*ORÇAMENTO!$AF$11)),
         0)</f>
        <v>0</v>
      </c>
      <c r="AM100" s="453">
        <f ca="1">IF(AND($D100="Serviço",AM$12&lt;&gt;0,$H100&gt;0,OR(AUTOEVENTO&lt;&gt;"manual",$M100&lt;&gt;$A$15)),
        IF(Import.TipoArredondamento&lt;&gt;"TransfereGOV",
              ROUND(OFFSET($P100,0,AM$13),15-13*ORÇAMENTO!$AF$7)/$H100*OFFSET(ORÇAMENTO!$X$15,ROW(AM100)-ROW(AM$15),0),
              ROUND(ROUND(OFFSET($P100,0,AM$13),15-13*ORÇAMENTO!$AF$7)*OFFSET(ORÇAMENTO!$W$15,ROW(AM100)-ROW(AM$15),0),15-13*ORÇAMENTO!$AF$11)),
         0)</f>
        <v>0</v>
      </c>
      <c r="AN100" s="453">
        <f ca="1">IF(AND($D100="Serviço",AN$12&lt;&gt;0,$H100&gt;0,OR(AUTOEVENTO&lt;&gt;"manual",$M100&lt;&gt;$A$15)),
        IF(Import.TipoArredondamento&lt;&gt;"TransfereGOV",
              ROUND(OFFSET($P100,0,AN$13),15-13*ORÇAMENTO!$AF$7)/$H100*OFFSET(ORÇAMENTO!$X$15,ROW(AN100)-ROW(AN$15),0),
              ROUND(ROUND(OFFSET($P100,0,AN$13),15-13*ORÇAMENTO!$AF$7)*OFFSET(ORÇAMENTO!$W$15,ROW(AN100)-ROW(AN$15),0),15-13*ORÇAMENTO!$AF$11)),
         0)</f>
        <v>768.01</v>
      </c>
      <c r="AO100" s="453">
        <f ca="1">IF(AND($D100="Serviço",AO$12&lt;&gt;0,$H100&gt;0,OR(AUTOEVENTO&lt;&gt;"manual",$M100&lt;&gt;$A$15)),
        IF(Import.TipoArredondamento&lt;&gt;"TransfereGOV",
              ROUND(OFFSET($P100,0,AO$13),15-13*ORÇAMENTO!$AF$7)/$H100*OFFSET(ORÇAMENTO!$X$15,ROW(AO100)-ROW(AO$15),0),
              ROUND(ROUND(OFFSET($P100,0,AO$13),15-13*ORÇAMENTO!$AF$7)*OFFSET(ORÇAMENTO!$W$15,ROW(AO100)-ROW(AO$15),0),15-13*ORÇAMENTO!$AF$11)),
         0)</f>
        <v>0</v>
      </c>
      <c r="AP100" s="453">
        <f ca="1">IF(AND($D100="Serviço",AP$12&lt;&gt;0,$H100&gt;0,OR(AUTOEVENTO&lt;&gt;"manual",$M100&lt;&gt;$A$15)),
        IF(Import.TipoArredondamento&lt;&gt;"TransfereGOV",
              ROUND(OFFSET($P100,0,AP$13),15-13*ORÇAMENTO!$AF$7)/$H100*OFFSET(ORÇAMENTO!$X$15,ROW(AP100)-ROW(AP$15),0),
              ROUND(ROUND(OFFSET($P100,0,AP$13),15-13*ORÇAMENTO!$AF$7)*OFFSET(ORÇAMENTO!$W$15,ROW(AP100)-ROW(AP$15),0),15-13*ORÇAMENTO!$AF$11)),
         0)</f>
        <v>0</v>
      </c>
      <c r="AQ100" s="453">
        <f ca="1">IF(AND($D100="Serviço",AQ$12&lt;&gt;0,$H100&gt;0,OR(AUTOEVENTO&lt;&gt;"manual",$M100&lt;&gt;$A$15)),
        IF(Import.TipoArredondamento&lt;&gt;"TransfereGOV",
              ROUND(OFFSET($P100,0,AQ$13),15-13*ORÇAMENTO!$AF$7)/$H100*OFFSET(ORÇAMENTO!$X$15,ROW(AQ100)-ROW(AQ$15),0),
              ROUND(ROUND(OFFSET($P100,0,AQ$13),15-13*ORÇAMENTO!$AF$7)*OFFSET(ORÇAMENTO!$W$15,ROW(AQ100)-ROW(AQ$15),0),15-13*ORÇAMENTO!$AF$11)),
         0)</f>
        <v>0</v>
      </c>
      <c r="AR100" s="453">
        <f ca="1">IF(AND($D100="Serviço",AR$12&lt;&gt;0,$H100&gt;0,OR(AUTOEVENTO&lt;&gt;"manual",$M100&lt;&gt;$A$15)),
        IF(Import.TipoArredondamento&lt;&gt;"TransfereGOV",
              ROUND(OFFSET($P100,0,AR$13),15-13*ORÇAMENTO!$AF$7)/$H100*OFFSET(ORÇAMENTO!$X$15,ROW(AR100)-ROW(AR$15),0),
              ROUND(ROUND(OFFSET($P100,0,AR$13),15-13*ORÇAMENTO!$AF$7)*OFFSET(ORÇAMENTO!$W$15,ROW(AR100)-ROW(AR$15),0),15-13*ORÇAMENTO!$AF$11)),
         0)</f>
        <v>0</v>
      </c>
      <c r="AS100" s="453">
        <f ca="1">IF(AND($D100="Serviço",AS$12&lt;&gt;0,$H100&gt;0,OR(AUTOEVENTO&lt;&gt;"manual",$M100&lt;&gt;$A$15)),
        IF(Import.TipoArredondamento&lt;&gt;"TransfereGOV",
              ROUND(OFFSET($P100,0,AS$13),15-13*ORÇAMENTO!$AF$7)/$H100*OFFSET(ORÇAMENTO!$X$15,ROW(AS100)-ROW(AS$15),0),
              ROUND(ROUND(OFFSET($P100,0,AS$13),15-13*ORÇAMENTO!$AF$7)*OFFSET(ORÇAMENTO!$W$15,ROW(AS100)-ROW(AS$15),0),15-13*ORÇAMENTO!$AF$11)),
         0)</f>
        <v>0</v>
      </c>
      <c r="AT100" s="453">
        <f ca="1">IF(AND($D100="Serviço",AT$12&lt;&gt;0,$H100&gt;0,OR(AUTOEVENTO&lt;&gt;"manual",$M100&lt;&gt;$A$15)),
        IF(Import.TipoArredondamento&lt;&gt;"TransfereGOV",
              ROUND(OFFSET($P100,0,AT$13),15-13*ORÇAMENTO!$AF$7)/$H100*OFFSET(ORÇAMENTO!$X$15,ROW(AT100)-ROW(AT$15),0),
              ROUND(ROUND(OFFSET($P100,0,AT$13),15-13*ORÇAMENTO!$AF$7)*OFFSET(ORÇAMENTO!$W$15,ROW(AT100)-ROW(AT$15),0),15-13*ORÇAMENTO!$AF$11)),
         0)</f>
        <v>0</v>
      </c>
      <c r="AU100" s="453">
        <f ca="1">IF(AND($D100="Serviço",AU$12&lt;&gt;0,$H100&gt;0,OR(AUTOEVENTO&lt;&gt;"manual",$M100&lt;&gt;$A$15)),
        IF(Import.TipoArredondamento&lt;&gt;"TransfereGOV",
              ROUND(OFFSET($P100,0,AU$13),15-13*ORÇAMENTO!$AF$7)/$H100*OFFSET(ORÇAMENTO!$X$15,ROW(AU100)-ROW(AU$15),0),
              ROUND(ROUND(OFFSET($P100,0,AU$13),15-13*ORÇAMENTO!$AF$7)*OFFSET(ORÇAMENTO!$W$15,ROW(AU100)-ROW(AU$15),0),15-13*ORÇAMENTO!$AF$11)),
         0)</f>
        <v>0</v>
      </c>
      <c r="AV100" s="453">
        <f ca="1">IF(AND($D100="Serviço",AV$12&lt;&gt;0,$H100&gt;0,OR(AUTOEVENTO&lt;&gt;"manual",$M100&lt;&gt;$A$15)),
        IF(Import.TipoArredondamento&lt;&gt;"TransfereGOV",
              ROUND(OFFSET($P100,0,AV$13),15-13*ORÇAMENTO!$AF$7)/$H100*OFFSET(ORÇAMENTO!$X$15,ROW(AV100)-ROW(AV$15),0),
              ROUND(ROUND(OFFSET($P100,0,AV$13),15-13*ORÇAMENTO!$AF$7)*OFFSET(ORÇAMENTO!$W$15,ROW(AV100)-ROW(AV$15),0),15-13*ORÇAMENTO!$AF$11)),
         0)</f>
        <v>0</v>
      </c>
      <c r="AW100" s="453">
        <f ca="1">IF(AND($D100="Serviço",AW$12&lt;&gt;0,$H100&gt;0,OR(AUTOEVENTO&lt;&gt;"manual",$M100&lt;&gt;$A$15)),
        IF(Import.TipoArredondamento&lt;&gt;"TransfereGOV",
              ROUND(OFFSET($P100,0,AW$13),15-13*ORÇAMENTO!$AF$7)/$H100*OFFSET(ORÇAMENTO!$X$15,ROW(AW100)-ROW(AW$15),0),
              ROUND(ROUND(OFFSET($P100,0,AW$13),15-13*ORÇAMENTO!$AF$7)*OFFSET(ORÇAMENTO!$W$15,ROW(AW100)-ROW(AW$15),0),15-13*ORÇAMENTO!$AF$11)),
         0)</f>
        <v>0</v>
      </c>
      <c r="AX100" s="453">
        <f ca="1">IF(AND($D100="Serviço",AX$12&lt;&gt;0,$H100&gt;0,OR(AUTOEVENTO&lt;&gt;"manual",$M100&lt;&gt;$A$15)),
        IF(Import.TipoArredondamento&lt;&gt;"TransfereGOV",
              ROUND(OFFSET($P100,0,AX$13),15-13*ORÇAMENTO!$AF$7)/$H100*OFFSET(ORÇAMENTO!$X$15,ROW(AX100)-ROW(AX$15),0),
              ROUND(ROUND(OFFSET($P100,0,AX$13),15-13*ORÇAMENTO!$AF$7)*OFFSET(ORÇAMENTO!$W$15,ROW(AX100)-ROW(AX$15),0),15-13*ORÇAMENTO!$AF$11)),
         0)</f>
        <v>0</v>
      </c>
      <c r="AY100" s="453">
        <f ca="1">IF(AND($D100="Serviço",AY$12&lt;&gt;0,$H100&gt;0,OR(AUTOEVENTO&lt;&gt;"manual",$M100&lt;&gt;$A$15)),
        IF(Import.TipoArredondamento&lt;&gt;"TransfereGOV",
              ROUND(OFFSET($P100,0,AY$13),15-13*ORÇAMENTO!$AF$7)/$H100*OFFSET(ORÇAMENTO!$X$15,ROW(AY100)-ROW(AY$15),0),
              ROUND(ROUND(OFFSET($P100,0,AY$13),15-13*ORÇAMENTO!$AF$7)*OFFSET(ORÇAMENTO!$W$15,ROW(AY100)-ROW(AY$15),0),15-13*ORÇAMENTO!$AF$11)),
         0)</f>
        <v>0</v>
      </c>
      <c r="AZ100" s="453">
        <f ca="1">IF(AND($D100="Serviço",AZ$12&lt;&gt;0,$H100&gt;0,OR(AUTOEVENTO&lt;&gt;"manual",$M100&lt;&gt;$A$15)),
        IF(Import.TipoArredondamento&lt;&gt;"TransfereGOV",
              ROUND(OFFSET($P100,0,AZ$13),15-13*ORÇAMENTO!$AF$7)/$H100*OFFSET(ORÇAMENTO!$X$15,ROW(AZ100)-ROW(AZ$15),0),
              ROUND(ROUND(OFFSET($P100,0,AZ$13),15-13*ORÇAMENTO!$AF$7)*OFFSET(ORÇAMENTO!$W$15,ROW(AZ100)-ROW(AZ$15),0),15-13*ORÇAMENTO!$AF$11)),
         0)</f>
        <v>0</v>
      </c>
      <c r="BA100" s="453">
        <f ca="1">IF(AND($D100="Serviço",BA$12&lt;&gt;0,$H100&gt;0,OR(AUTOEVENTO&lt;&gt;"manual",$M100&lt;&gt;$A$15)),
        IF(Import.TipoArredondamento&lt;&gt;"TransfereGOV",
              ROUND(OFFSET($P100,0,BA$13),15-13*ORÇAMENTO!$AF$7)/$H100*OFFSET(ORÇAMENTO!$X$15,ROW(BA100)-ROW(BA$15),0),
              ROUND(ROUND(OFFSET($P100,0,BA$13),15-13*ORÇAMENTO!$AF$7)*OFFSET(ORÇAMENTO!$W$15,ROW(BA100)-ROW(BA$15),0),15-13*ORÇAMENTO!$AF$11)),
         0)</f>
        <v>0</v>
      </c>
      <c r="BC100" s="171">
        <f ca="1">IF(OR($D100&lt;&gt;"Serviço",AND(AUTOEVENTO="Manual",$M100=$A$15)),0,
         IF(OFFSET(CRONOPLE!$F$15,$M100-$A$15,BC$13)=0,10^12,OFFSET(CRONOPLE!$F$15,$M100-$A$15,BC$13)))</f>
        <v>1000000000000</v>
      </c>
      <c r="BD100" s="171">
        <f ca="1">IF(OR($D100&lt;&gt;"Serviço",AND(AUTOEVENTO="Manual",$M100=$A$15)),0,
         IF(OFFSET(CRONOPLE!$F$15,$M100-$A$15,BD$13)=0,10^12,OFFSET(CRONOPLE!$F$15,$M100-$A$15,BD$13)))</f>
        <v>1000000000000</v>
      </c>
      <c r="BE100" s="171">
        <f ca="1">IF(OR($D100&lt;&gt;"Serviço",AND(AUTOEVENTO="Manual",$M100=$A$15)),0,
         IF(OFFSET(CRONOPLE!$F$15,$M100-$A$15,BE$13)=0,10^12,OFFSET(CRONOPLE!$F$15,$M100-$A$15,BE$13)))</f>
        <v>1000000000000</v>
      </c>
      <c r="BF100" s="171">
        <f ca="1">IF(OR($D100&lt;&gt;"Serviço",AND(AUTOEVENTO="Manual",$M100=$A$15)),0,
         IF(OFFSET(CRONOPLE!$F$15,$M100-$A$15,BF$13)=0,10^12,OFFSET(CRONOPLE!$F$15,$M100-$A$15,BF$13)))</f>
        <v>1000000000000</v>
      </c>
      <c r="BG100" s="171">
        <f ca="1">IF(OR($D100&lt;&gt;"Serviço",AND(AUTOEVENTO="Manual",$M100=$A$15)),0,
         IF(OFFSET(CRONOPLE!$F$15,$M100-$A$15,BG$13)=0,10^12,OFFSET(CRONOPLE!$F$15,$M100-$A$15,BG$13)))</f>
        <v>3</v>
      </c>
      <c r="BH100" s="171">
        <f ca="1">IF(OR($D100&lt;&gt;"Serviço",AND(AUTOEVENTO="Manual",$M100=$A$15)),0,
         IF(OFFSET(CRONOPLE!$F$15,$M100-$A$15,BH$13)=0,10^12,OFFSET(CRONOPLE!$F$15,$M100-$A$15,BH$13)))</f>
        <v>1000000000000</v>
      </c>
      <c r="BI100" s="171">
        <f ca="1">IF(OR($D100&lt;&gt;"Serviço",AND(AUTOEVENTO="Manual",$M100=$A$15)),0,
         IF(OFFSET(CRONOPLE!$F$15,$M100-$A$15,BI$13)=0,10^12,OFFSET(CRONOPLE!$F$15,$M100-$A$15,BI$13)))</f>
        <v>1000000000000</v>
      </c>
      <c r="BJ100" s="171">
        <f ca="1">IF(OR($D100&lt;&gt;"Serviço",AND(AUTOEVENTO="Manual",$M100=$A$15)),0,
         IF(OFFSET(CRONOPLE!$F$15,$M100-$A$15,BJ$13)=0,10^12,OFFSET(CRONOPLE!$F$15,$M100-$A$15,BJ$13)))</f>
        <v>1000000000000</v>
      </c>
      <c r="BK100" s="171">
        <f ca="1">IF(OR($D100&lt;&gt;"Serviço",AND(AUTOEVENTO="Manual",$M100=$A$15)),0,
         IF(OFFSET(CRONOPLE!$F$15,$M100-$A$15,BK$13)=0,10^12,OFFSET(CRONOPLE!$F$15,$M100-$A$15,BK$13)))</f>
        <v>1000000000000</v>
      </c>
      <c r="BL100" s="171">
        <f ca="1">IF(OR($D100&lt;&gt;"Serviço",AND(AUTOEVENTO="Manual",$M100=$A$15)),0,
         IF(OFFSET(CRONOPLE!$F$15,$M100-$A$15,BL$13)=0,10^12,OFFSET(CRONOPLE!$F$15,$M100-$A$15,BL$13)))</f>
        <v>1000000000000</v>
      </c>
      <c r="BM100" s="171">
        <f ca="1">IF(OR($D100&lt;&gt;"Serviço",AND(AUTOEVENTO="Manual",$M100=$A$15)),0,
         IF(OFFSET(CRONOPLE!$F$15,$M100-$A$15,BM$13)=0,10^12,OFFSET(CRONOPLE!$F$15,$M100-$A$15,BM$13)))</f>
        <v>1000000000000</v>
      </c>
      <c r="BN100" s="171">
        <f ca="1">IF(OR($D100&lt;&gt;"Serviço",AND(AUTOEVENTO="Manual",$M100=$A$15)),0,
         IF(OFFSET(CRONOPLE!$F$15,$M100-$A$15,BN$13)=0,10^12,OFFSET(CRONOPLE!$F$15,$M100-$A$15,BN$13)))</f>
        <v>1000000000000</v>
      </c>
      <c r="BO100" s="171">
        <f ca="1">IF(OR($D100&lt;&gt;"Serviço",AND(AUTOEVENTO="Manual",$M100=$A$15)),0,
         IF(OFFSET(CRONOPLE!$F$15,$M100-$A$15,BO$13)=0,10^12,OFFSET(CRONOPLE!$F$15,$M100-$A$15,BO$13)))</f>
        <v>1000000000000</v>
      </c>
      <c r="BP100" s="171">
        <f ca="1">IF(OR($D100&lt;&gt;"Serviço",AND(AUTOEVENTO="Manual",$M100=$A$15)),0,
         IF(OFFSET(CRONOPLE!$F$15,$M100-$A$15,BP$13)=0,10^12,OFFSET(CRONOPLE!$F$15,$M100-$A$15,BP$13)))</f>
        <v>1000000000000</v>
      </c>
      <c r="BQ100" s="171">
        <f ca="1">IF(OR($D100&lt;&gt;"Serviço",AND(AUTOEVENTO="Manual",$M100=$A$15)),0,
         IF(OFFSET(CRONOPLE!$F$15,$M100-$A$15,BQ$13)=0,10^12,OFFSET(CRONOPLE!$F$15,$M100-$A$15,BQ$13)))</f>
        <v>1000000000000</v>
      </c>
      <c r="BR100" s="171">
        <f ca="1">IF(OR($D100&lt;&gt;"Serviço",AND(AUTOEVENTO="Manual",$M100=$A$15)),0,
         IF(OFFSET(CRONOPLE!$F$15,$M100-$A$15,BR$13)=0,10^12,OFFSET(CRONOPLE!$F$15,$M100-$A$15,BR$13)))</f>
        <v>1000000000000</v>
      </c>
      <c r="BS100" s="171">
        <f ca="1">IF(OR($D100&lt;&gt;"Serviço",AND(AUTOEVENTO="Manual",$M100=$A$15)),0,
         IF(OFFSET(CRONOPLE!$F$15,$M100-$A$15,BS$13)=0,10^12,OFFSET(CRONOPLE!$F$15,$M100-$A$15,BS$13)))</f>
        <v>1000000000000</v>
      </c>
      <c r="BT100" s="171">
        <f ca="1">IF(OR($D100&lt;&gt;"Serviço",AND(AUTOEVENTO="Manual",$M100=$A$15)),0,
         IF(OFFSET(CRONOPLE!$F$15,$M100-$A$15,BT$13)=0,10^12,OFFSET(CRONOPLE!$F$15,$M100-$A$15,BT$13)))</f>
        <v>1000000000000</v>
      </c>
      <c r="BV100" s="172">
        <f ca="1">IF(OR($D100&lt;&gt;"Serviço",AND(AUTOEVENTO="Manual",$M100=$A$15),$M100&gt;(ROW(PLE.lastrow)-ROW(PLE.firstrow))),0,
           IF(OFFSET(PLE!$G$15,$M100-$A$15,BV$13)="",10^12,OFFSET(PLE!$G$15,$M100-$A$15,BV$13)))</f>
        <v>1000000000000</v>
      </c>
      <c r="BW100" s="172">
        <f ca="1">IF(OR($D100&lt;&gt;"Serviço",AND(AUTOEVENTO="Manual",$M100=$A$15),$M100&gt;(ROW(PLE.lastrow)-ROW(PLE.firstrow))),0,
           IF(OFFSET(PLE!$G$15,$M100-$A$15,BW$13)="",10^12,OFFSET(PLE!$G$15,$M100-$A$15,BW$13)))</f>
        <v>1000000000000</v>
      </c>
      <c r="BX100" s="172">
        <f ca="1">IF(OR($D100&lt;&gt;"Serviço",AND(AUTOEVENTO="Manual",$M100=$A$15),$M100&gt;(ROW(PLE.lastrow)-ROW(PLE.firstrow))),0,
           IF(OFFSET(PLE!$G$15,$M100-$A$15,BX$13)="",10^12,OFFSET(PLE!$G$15,$M100-$A$15,BX$13)))</f>
        <v>1000000000000</v>
      </c>
      <c r="BY100" s="172">
        <f ca="1">IF(OR($D100&lt;&gt;"Serviço",AND(AUTOEVENTO="Manual",$M100=$A$15),$M100&gt;(ROW(PLE.lastrow)-ROW(PLE.firstrow))),0,
           IF(OFFSET(PLE!$G$15,$M100-$A$15,BY$13)="",10^12,OFFSET(PLE!$G$15,$M100-$A$15,BY$13)))</f>
        <v>1000000000000</v>
      </c>
      <c r="BZ100" s="172">
        <f ca="1">IF(OR($D100&lt;&gt;"Serviço",AND(AUTOEVENTO="Manual",$M100=$A$15),$M100&gt;(ROW(PLE.lastrow)-ROW(PLE.firstrow))),0,
           IF(OFFSET(PLE!$G$15,$M100-$A$15,BZ$13)="",10^12,OFFSET(PLE!$G$15,$M100-$A$15,BZ$13)))</f>
        <v>1000000000000</v>
      </c>
      <c r="CA100" s="172">
        <f ca="1">IF(OR($D100&lt;&gt;"Serviço",AND(AUTOEVENTO="Manual",$M100=$A$15),$M100&gt;(ROW(PLE.lastrow)-ROW(PLE.firstrow))),0,
           IF(OFFSET(PLE!$G$15,$M100-$A$15,CA$13)="",10^12,OFFSET(PLE!$G$15,$M100-$A$15,CA$13)))</f>
        <v>1000000000000</v>
      </c>
      <c r="CB100" s="172">
        <f ca="1">IF(OR($D100&lt;&gt;"Serviço",AND(AUTOEVENTO="Manual",$M100=$A$15),$M100&gt;(ROW(PLE.lastrow)-ROW(PLE.firstrow))),0,
           IF(OFFSET(PLE!$G$15,$M100-$A$15,CB$13)="",10^12,OFFSET(PLE!$G$15,$M100-$A$15,CB$13)))</f>
        <v>1000000000000</v>
      </c>
      <c r="CC100" s="172">
        <f ca="1">IF(OR($D100&lt;&gt;"Serviço",AND(AUTOEVENTO="Manual",$M100=$A$15),$M100&gt;(ROW(PLE.lastrow)-ROW(PLE.firstrow))),0,
           IF(OFFSET(PLE!$G$15,$M100-$A$15,CC$13)="",10^12,OFFSET(PLE!$G$15,$M100-$A$15,CC$13)))</f>
        <v>1000000000000</v>
      </c>
      <c r="CD100" s="172">
        <f ca="1">IF(OR($D100&lt;&gt;"Serviço",AND(AUTOEVENTO="Manual",$M100=$A$15),$M100&gt;(ROW(PLE.lastrow)-ROW(PLE.firstrow))),0,
           IF(OFFSET(PLE!$G$15,$M100-$A$15,CD$13)="",10^12,OFFSET(PLE!$G$15,$M100-$A$15,CD$13)))</f>
        <v>1000000000000</v>
      </c>
      <c r="CE100" s="172">
        <f ca="1">IF(OR($D100&lt;&gt;"Serviço",AND(AUTOEVENTO="Manual",$M100=$A$15),$M100&gt;(ROW(PLE.lastrow)-ROW(PLE.firstrow))),0,
           IF(OFFSET(PLE!$G$15,$M100-$A$15,CE$13)="",10^12,OFFSET(PLE!$G$15,$M100-$A$15,CE$13)))</f>
        <v>1000000000000</v>
      </c>
      <c r="CF100" s="172">
        <f ca="1">IF(OR($D100&lt;&gt;"Serviço",AND(AUTOEVENTO="Manual",$M100=$A$15),$M100&gt;(ROW(PLE.lastrow)-ROW(PLE.firstrow))),0,
           IF(OFFSET(PLE!$G$15,$M100-$A$15,CF$13)="",10^12,OFFSET(PLE!$G$15,$M100-$A$15,CF$13)))</f>
        <v>1000000000000</v>
      </c>
      <c r="CG100" s="172">
        <f ca="1">IF(OR($D100&lt;&gt;"Serviço",AND(AUTOEVENTO="Manual",$M100=$A$15),$M100&gt;(ROW(PLE.lastrow)-ROW(PLE.firstrow))),0,
           IF(OFFSET(PLE!$G$15,$M100-$A$15,CG$13)="",10^12,OFFSET(PLE!$G$15,$M100-$A$15,CG$13)))</f>
        <v>1000000000000</v>
      </c>
      <c r="CH100" s="172">
        <f ca="1">IF(OR($D100&lt;&gt;"Serviço",AND(AUTOEVENTO="Manual",$M100=$A$15),$M100&gt;(ROW(PLE.lastrow)-ROW(PLE.firstrow))),0,
           IF(OFFSET(PLE!$G$15,$M100-$A$15,CH$13)="",10^12,OFFSET(PLE!$G$15,$M100-$A$15,CH$13)))</f>
        <v>1000000000000</v>
      </c>
      <c r="CI100" s="172">
        <f ca="1">IF(OR($D100&lt;&gt;"Serviço",AND(AUTOEVENTO="Manual",$M100=$A$15),$M100&gt;(ROW(PLE.lastrow)-ROW(PLE.firstrow))),0,
           IF(OFFSET(PLE!$G$15,$M100-$A$15,CI$13)="",10^12,OFFSET(PLE!$G$15,$M100-$A$15,CI$13)))</f>
        <v>1000000000000</v>
      </c>
      <c r="CJ100" s="172">
        <f ca="1">IF(OR($D100&lt;&gt;"Serviço",AND(AUTOEVENTO="Manual",$M100=$A$15),$M100&gt;(ROW(PLE.lastrow)-ROW(PLE.firstrow))),0,
           IF(OFFSET(PLE!$G$15,$M100-$A$15,CJ$13)="",10^12,OFFSET(PLE!$G$15,$M100-$A$15,CJ$13)))</f>
        <v>1000000000000</v>
      </c>
      <c r="CK100" s="172">
        <f ca="1">IF(OR($D100&lt;&gt;"Serviço",AND(AUTOEVENTO="Manual",$M100=$A$15),$M100&gt;(ROW(PLE.lastrow)-ROW(PLE.firstrow))),0,
           IF(OFFSET(PLE!$G$15,$M100-$A$15,CK$13)="",10^12,OFFSET(PLE!$G$15,$M100-$A$15,CK$13)))</f>
        <v>1000000000000</v>
      </c>
      <c r="CL100" s="172">
        <f ca="1">IF(OR($D100&lt;&gt;"Serviço",AND(AUTOEVENTO="Manual",$M100=$A$15),$M100&gt;(ROW(PLE.lastrow)-ROW(PLE.firstrow))),0,
           IF(OFFSET(PLE!$G$15,$M100-$A$15,CL$13)="",10^12,OFFSET(PLE!$G$15,$M100-$A$15,CL$13)))</f>
        <v>1000000000000</v>
      </c>
      <c r="CM100" s="172">
        <f ca="1">IF(OR($D100&lt;&gt;"Serviço",AND(AUTOEVENTO="Manual",$M100=$A$15),$M100&gt;(ROW(PLE.lastrow)-ROW(PLE.firstrow))),0,
           IF(OFFSET(PLE!$G$15,$M100-$A$15,CM$13)="",10^12,OFFSET(PLE!$G$15,$M100-$A$15,CM$13)))</f>
        <v>1000000000000</v>
      </c>
    </row>
    <row r="101" spans="1:91" ht="13.2" x14ac:dyDescent="0.25">
      <c r="A101" s="7" t="str">
        <f t="shared" ca="1" si="11"/>
        <v>86.</v>
      </c>
      <c r="B101" s="7">
        <f ca="1">OFFSET(ORÇAMENTO!C$15,ROW(B101)-ROW(B$15),0)</f>
        <v>2</v>
      </c>
      <c r="C101" s="7" t="str">
        <f ca="1">OFFSET(ORÇAMENTO!L$15,ROW(C101)-ROW(C$15),0)</f>
        <v>F</v>
      </c>
      <c r="D101" s="116" t="str">
        <f ca="1">OFFSET(ORÇAMENTO!N$15,ROW(D101)-ROW(D$15),0)</f>
        <v>Nível 2</v>
      </c>
      <c r="E101" s="117" t="str">
        <f ca="1">OFFSET(ORÇAMENTO!O$15,ROW(E101)-ROW(E$15),0)</f>
        <v>3.2.</v>
      </c>
      <c r="F101" s="163" t="str">
        <f ca="1">OFFSET(ORÇAMENTO!R$15,ROW(F101)-ROW(F$15),0)</f>
        <v>PAVIMENTAÇÃO</v>
      </c>
      <c r="G101" s="164" t="str">
        <f ca="1">IF($D101&lt;&gt;"Serviço","",OFFSET(ORÇAMENTO!S$15,ROW(G101)-ROW(G$15),0))</f>
        <v/>
      </c>
      <c r="H101" s="122" cm="1">
        <f t="array" aca="1" ref="H101" ca="1">IF($D101&lt;&gt;"Serviço",0,IF(ACOMPANHAMENTO="BM",ROUND(OFFSET(ORÇAMENTO!AJ$15,ROW(H101)-ROW(H$15),0),15-13*ORÇAMENTO!$AF$7),SUMPRODUCT(($Q$1:$AI$1=1)*ROUND($Q101:$AI101,15-13*ORÇAMENTO!$AF$7))))</f>
        <v>0</v>
      </c>
      <c r="I101" s="468"/>
      <c r="J101" s="651" t="str" cm="1">
        <f t="array" aca="1" ref="J101" ca="1">IF(OR(B101&lt;&gt;"S",CÁLCULO.FrentesPreenchidas=0),"",IF(AND(ACOMPANHAMENTO="PLE",AUTOEVENTO="Manual",OR(H101&gt;0,ORÇAMENTO!AC101="QUANT."),OR(K101="",M101=0,N101="")),"►E",IF(AND(ACOMPANHAMENTO="PLE",ORÇAMENTO!AC101="QUANT."),"►Q",IF(AND(ACOMPANHAMENTO="PLE",H101&lt;&gt;SUMPRODUCT(($Q$1:$AI$1=1)*ROUND(Q101:AI101,15))),"►S",IF(AND(COUNTIF($P$11:$AI$11,"▼")=0,H101&gt;0,I101=""),"◄M","")))))</f>
        <v/>
      </c>
      <c r="K101" s="652"/>
      <c r="L101" s="165" t="s">
        <v>764</v>
      </c>
      <c r="M101" s="166" t="str">
        <f ca="1">IF($D101&lt;&gt;"Serviço","",
          IF(AUTOEVENTO="manual",$A101,
                IF(ISERROR(MATCH($A101,$A$15:OFFSET($A101,-1,0),0)),MAX($M$15:OFFSET(M101,-1,0))+1,
                      INDEX($M$15:OFFSET(M101,-1,0),MATCH($A101,$A$15:OFFSET($A101,-1,0),0)))))</f>
        <v/>
      </c>
      <c r="N101" s="167" t="str">
        <f ca="1">IF($D101&lt;&gt;"Serviço","",
         IF(AUTOEVENTO="Manual",
                IF($A101=0,"&lt;-- defina o número do agrupador",
                       OFFSET(EVENTOS!$D$15,$A101-$A$15,0)),
                OFFSET($F$15,$A101,0)))</f>
        <v/>
      </c>
      <c r="O101" s="168"/>
      <c r="Q101" s="168"/>
      <c r="R101" s="169"/>
      <c r="S101" s="169"/>
      <c r="T101" s="169"/>
      <c r="U101" s="169"/>
      <c r="V101" s="169"/>
      <c r="W101" s="169"/>
      <c r="X101" s="169"/>
      <c r="Y101" s="169"/>
      <c r="Z101" s="170"/>
      <c r="AA101" s="169"/>
      <c r="AB101" s="169"/>
      <c r="AC101" s="169"/>
      <c r="AD101" s="169"/>
      <c r="AE101" s="169"/>
      <c r="AF101" s="169"/>
      <c r="AG101" s="169"/>
      <c r="AH101" s="170"/>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L101" s="453">
        <f ca="1">IF(AND($D101="Serviço",AL$12&lt;&gt;0,$H101&gt;0,OR(AUTOEVENTO&lt;&gt;"manual",$M101&lt;&gt;$A$15)),
        IF(Import.TipoArredondamento&lt;&gt;"TransfereGOV",
              ROUND(OFFSET($P101,0,AL$13),15-13*ORÇAMENTO!$AF$7)/$H101*OFFSET(ORÇAMENTO!$X$15,ROW(AL101)-ROW(AL$15),0),
              ROUND(ROUND(OFFSET($P101,0,AL$13),15-13*ORÇAMENTO!$AF$7)*OFFSET(ORÇAMENTO!$W$15,ROW(AL101)-ROW(AL$15),0),15-13*ORÇAMENTO!$AF$11)),
         0)</f>
        <v>0</v>
      </c>
      <c r="AM101" s="453">
        <f ca="1">IF(AND($D101="Serviço",AM$12&lt;&gt;0,$H101&gt;0,OR(AUTOEVENTO&lt;&gt;"manual",$M101&lt;&gt;$A$15)),
        IF(Import.TipoArredondamento&lt;&gt;"TransfereGOV",
              ROUND(OFFSET($P101,0,AM$13),15-13*ORÇAMENTO!$AF$7)/$H101*OFFSET(ORÇAMENTO!$X$15,ROW(AM101)-ROW(AM$15),0),
              ROUND(ROUND(OFFSET($P101,0,AM$13),15-13*ORÇAMENTO!$AF$7)*OFFSET(ORÇAMENTO!$W$15,ROW(AM101)-ROW(AM$15),0),15-13*ORÇAMENTO!$AF$11)),
         0)</f>
        <v>0</v>
      </c>
      <c r="AN101" s="453">
        <f ca="1">IF(AND($D101="Serviço",AN$12&lt;&gt;0,$H101&gt;0,OR(AUTOEVENTO&lt;&gt;"manual",$M101&lt;&gt;$A$15)),
        IF(Import.TipoArredondamento&lt;&gt;"TransfereGOV",
              ROUND(OFFSET($P101,0,AN$13),15-13*ORÇAMENTO!$AF$7)/$H101*OFFSET(ORÇAMENTO!$X$15,ROW(AN101)-ROW(AN$15),0),
              ROUND(ROUND(OFFSET($P101,0,AN$13),15-13*ORÇAMENTO!$AF$7)*OFFSET(ORÇAMENTO!$W$15,ROW(AN101)-ROW(AN$15),0),15-13*ORÇAMENTO!$AF$11)),
         0)</f>
        <v>0</v>
      </c>
      <c r="AO101" s="453">
        <f ca="1">IF(AND($D101="Serviço",AO$12&lt;&gt;0,$H101&gt;0,OR(AUTOEVENTO&lt;&gt;"manual",$M101&lt;&gt;$A$15)),
        IF(Import.TipoArredondamento&lt;&gt;"TransfereGOV",
              ROUND(OFFSET($P101,0,AO$13),15-13*ORÇAMENTO!$AF$7)/$H101*OFFSET(ORÇAMENTO!$X$15,ROW(AO101)-ROW(AO$15),0),
              ROUND(ROUND(OFFSET($P101,0,AO$13),15-13*ORÇAMENTO!$AF$7)*OFFSET(ORÇAMENTO!$W$15,ROW(AO101)-ROW(AO$15),0),15-13*ORÇAMENTO!$AF$11)),
         0)</f>
        <v>0</v>
      </c>
      <c r="AP101" s="453">
        <f ca="1">IF(AND($D101="Serviço",AP$12&lt;&gt;0,$H101&gt;0,OR(AUTOEVENTO&lt;&gt;"manual",$M101&lt;&gt;$A$15)),
        IF(Import.TipoArredondamento&lt;&gt;"TransfereGOV",
              ROUND(OFFSET($P101,0,AP$13),15-13*ORÇAMENTO!$AF$7)/$H101*OFFSET(ORÇAMENTO!$X$15,ROW(AP101)-ROW(AP$15),0),
              ROUND(ROUND(OFFSET($P101,0,AP$13),15-13*ORÇAMENTO!$AF$7)*OFFSET(ORÇAMENTO!$W$15,ROW(AP101)-ROW(AP$15),0),15-13*ORÇAMENTO!$AF$11)),
         0)</f>
        <v>0</v>
      </c>
      <c r="AQ101" s="453">
        <f ca="1">IF(AND($D101="Serviço",AQ$12&lt;&gt;0,$H101&gt;0,OR(AUTOEVENTO&lt;&gt;"manual",$M101&lt;&gt;$A$15)),
        IF(Import.TipoArredondamento&lt;&gt;"TransfereGOV",
              ROUND(OFFSET($P101,0,AQ$13),15-13*ORÇAMENTO!$AF$7)/$H101*OFFSET(ORÇAMENTO!$X$15,ROW(AQ101)-ROW(AQ$15),0),
              ROUND(ROUND(OFFSET($P101,0,AQ$13),15-13*ORÇAMENTO!$AF$7)*OFFSET(ORÇAMENTO!$W$15,ROW(AQ101)-ROW(AQ$15),0),15-13*ORÇAMENTO!$AF$11)),
         0)</f>
        <v>0</v>
      </c>
      <c r="AR101" s="453">
        <f ca="1">IF(AND($D101="Serviço",AR$12&lt;&gt;0,$H101&gt;0,OR(AUTOEVENTO&lt;&gt;"manual",$M101&lt;&gt;$A$15)),
        IF(Import.TipoArredondamento&lt;&gt;"TransfereGOV",
              ROUND(OFFSET($P101,0,AR$13),15-13*ORÇAMENTO!$AF$7)/$H101*OFFSET(ORÇAMENTO!$X$15,ROW(AR101)-ROW(AR$15),0),
              ROUND(ROUND(OFFSET($P101,0,AR$13),15-13*ORÇAMENTO!$AF$7)*OFFSET(ORÇAMENTO!$W$15,ROW(AR101)-ROW(AR$15),0),15-13*ORÇAMENTO!$AF$11)),
         0)</f>
        <v>0</v>
      </c>
      <c r="AS101" s="453">
        <f ca="1">IF(AND($D101="Serviço",AS$12&lt;&gt;0,$H101&gt;0,OR(AUTOEVENTO&lt;&gt;"manual",$M101&lt;&gt;$A$15)),
        IF(Import.TipoArredondamento&lt;&gt;"TransfereGOV",
              ROUND(OFFSET($P101,0,AS$13),15-13*ORÇAMENTO!$AF$7)/$H101*OFFSET(ORÇAMENTO!$X$15,ROW(AS101)-ROW(AS$15),0),
              ROUND(ROUND(OFFSET($P101,0,AS$13),15-13*ORÇAMENTO!$AF$7)*OFFSET(ORÇAMENTO!$W$15,ROW(AS101)-ROW(AS$15),0),15-13*ORÇAMENTO!$AF$11)),
         0)</f>
        <v>0</v>
      </c>
      <c r="AT101" s="453">
        <f ca="1">IF(AND($D101="Serviço",AT$12&lt;&gt;0,$H101&gt;0,OR(AUTOEVENTO&lt;&gt;"manual",$M101&lt;&gt;$A$15)),
        IF(Import.TipoArredondamento&lt;&gt;"TransfereGOV",
              ROUND(OFFSET($P101,0,AT$13),15-13*ORÇAMENTO!$AF$7)/$H101*OFFSET(ORÇAMENTO!$X$15,ROW(AT101)-ROW(AT$15),0),
              ROUND(ROUND(OFFSET($P101,0,AT$13),15-13*ORÇAMENTO!$AF$7)*OFFSET(ORÇAMENTO!$W$15,ROW(AT101)-ROW(AT$15),0),15-13*ORÇAMENTO!$AF$11)),
         0)</f>
        <v>0</v>
      </c>
      <c r="AU101" s="453">
        <f ca="1">IF(AND($D101="Serviço",AU$12&lt;&gt;0,$H101&gt;0,OR(AUTOEVENTO&lt;&gt;"manual",$M101&lt;&gt;$A$15)),
        IF(Import.TipoArredondamento&lt;&gt;"TransfereGOV",
              ROUND(OFFSET($P101,0,AU$13),15-13*ORÇAMENTO!$AF$7)/$H101*OFFSET(ORÇAMENTO!$X$15,ROW(AU101)-ROW(AU$15),0),
              ROUND(ROUND(OFFSET($P101,0,AU$13),15-13*ORÇAMENTO!$AF$7)*OFFSET(ORÇAMENTO!$W$15,ROW(AU101)-ROW(AU$15),0),15-13*ORÇAMENTO!$AF$11)),
         0)</f>
        <v>0</v>
      </c>
      <c r="AV101" s="453">
        <f ca="1">IF(AND($D101="Serviço",AV$12&lt;&gt;0,$H101&gt;0,OR(AUTOEVENTO&lt;&gt;"manual",$M101&lt;&gt;$A$15)),
        IF(Import.TipoArredondamento&lt;&gt;"TransfereGOV",
              ROUND(OFFSET($P101,0,AV$13),15-13*ORÇAMENTO!$AF$7)/$H101*OFFSET(ORÇAMENTO!$X$15,ROW(AV101)-ROW(AV$15),0),
              ROUND(ROUND(OFFSET($P101,0,AV$13),15-13*ORÇAMENTO!$AF$7)*OFFSET(ORÇAMENTO!$W$15,ROW(AV101)-ROW(AV$15),0),15-13*ORÇAMENTO!$AF$11)),
         0)</f>
        <v>0</v>
      </c>
      <c r="AW101" s="453">
        <f ca="1">IF(AND($D101="Serviço",AW$12&lt;&gt;0,$H101&gt;0,OR(AUTOEVENTO&lt;&gt;"manual",$M101&lt;&gt;$A$15)),
        IF(Import.TipoArredondamento&lt;&gt;"TransfereGOV",
              ROUND(OFFSET($P101,0,AW$13),15-13*ORÇAMENTO!$AF$7)/$H101*OFFSET(ORÇAMENTO!$X$15,ROW(AW101)-ROW(AW$15),0),
              ROUND(ROUND(OFFSET($P101,0,AW$13),15-13*ORÇAMENTO!$AF$7)*OFFSET(ORÇAMENTO!$W$15,ROW(AW101)-ROW(AW$15),0),15-13*ORÇAMENTO!$AF$11)),
         0)</f>
        <v>0</v>
      </c>
      <c r="AX101" s="453">
        <f ca="1">IF(AND($D101="Serviço",AX$12&lt;&gt;0,$H101&gt;0,OR(AUTOEVENTO&lt;&gt;"manual",$M101&lt;&gt;$A$15)),
        IF(Import.TipoArredondamento&lt;&gt;"TransfereGOV",
              ROUND(OFFSET($P101,0,AX$13),15-13*ORÇAMENTO!$AF$7)/$H101*OFFSET(ORÇAMENTO!$X$15,ROW(AX101)-ROW(AX$15),0),
              ROUND(ROUND(OFFSET($P101,0,AX$13),15-13*ORÇAMENTO!$AF$7)*OFFSET(ORÇAMENTO!$W$15,ROW(AX101)-ROW(AX$15),0),15-13*ORÇAMENTO!$AF$11)),
         0)</f>
        <v>0</v>
      </c>
      <c r="AY101" s="453">
        <f ca="1">IF(AND($D101="Serviço",AY$12&lt;&gt;0,$H101&gt;0,OR(AUTOEVENTO&lt;&gt;"manual",$M101&lt;&gt;$A$15)),
        IF(Import.TipoArredondamento&lt;&gt;"TransfereGOV",
              ROUND(OFFSET($P101,0,AY$13),15-13*ORÇAMENTO!$AF$7)/$H101*OFFSET(ORÇAMENTO!$X$15,ROW(AY101)-ROW(AY$15),0),
              ROUND(ROUND(OFFSET($P101,0,AY$13),15-13*ORÇAMENTO!$AF$7)*OFFSET(ORÇAMENTO!$W$15,ROW(AY101)-ROW(AY$15),0),15-13*ORÇAMENTO!$AF$11)),
         0)</f>
        <v>0</v>
      </c>
      <c r="AZ101" s="453">
        <f ca="1">IF(AND($D101="Serviço",AZ$12&lt;&gt;0,$H101&gt;0,OR(AUTOEVENTO&lt;&gt;"manual",$M101&lt;&gt;$A$15)),
        IF(Import.TipoArredondamento&lt;&gt;"TransfereGOV",
              ROUND(OFFSET($P101,0,AZ$13),15-13*ORÇAMENTO!$AF$7)/$H101*OFFSET(ORÇAMENTO!$X$15,ROW(AZ101)-ROW(AZ$15),0),
              ROUND(ROUND(OFFSET($P101,0,AZ$13),15-13*ORÇAMENTO!$AF$7)*OFFSET(ORÇAMENTO!$W$15,ROW(AZ101)-ROW(AZ$15),0),15-13*ORÇAMENTO!$AF$11)),
         0)</f>
        <v>0</v>
      </c>
      <c r="BA101" s="453">
        <f ca="1">IF(AND($D101="Serviço",BA$12&lt;&gt;0,$H101&gt;0,OR(AUTOEVENTO&lt;&gt;"manual",$M101&lt;&gt;$A$15)),
        IF(Import.TipoArredondamento&lt;&gt;"TransfereGOV",
              ROUND(OFFSET($P101,0,BA$13),15-13*ORÇAMENTO!$AF$7)/$H101*OFFSET(ORÇAMENTO!$X$15,ROW(BA101)-ROW(BA$15),0),
              ROUND(ROUND(OFFSET($P101,0,BA$13),15-13*ORÇAMENTO!$AF$7)*OFFSET(ORÇAMENTO!$W$15,ROW(BA101)-ROW(BA$15),0),15-13*ORÇAMENTO!$AF$11)),
         0)</f>
        <v>0</v>
      </c>
      <c r="BC101" s="171">
        <f ca="1">IF(OR($D101&lt;&gt;"Serviço",AND(AUTOEVENTO="Manual",$M101=$A$15)),0,
         IF(OFFSET(CRONOPLE!$F$15,$M101-$A$15,BC$13)=0,10^12,OFFSET(CRONOPLE!$F$15,$M101-$A$15,BC$13)))</f>
        <v>0</v>
      </c>
      <c r="BD101" s="171">
        <f ca="1">IF(OR($D101&lt;&gt;"Serviço",AND(AUTOEVENTO="Manual",$M101=$A$15)),0,
         IF(OFFSET(CRONOPLE!$F$15,$M101-$A$15,BD$13)=0,10^12,OFFSET(CRONOPLE!$F$15,$M101-$A$15,BD$13)))</f>
        <v>0</v>
      </c>
      <c r="BE101" s="171">
        <f ca="1">IF(OR($D101&lt;&gt;"Serviço",AND(AUTOEVENTO="Manual",$M101=$A$15)),0,
         IF(OFFSET(CRONOPLE!$F$15,$M101-$A$15,BE$13)=0,10^12,OFFSET(CRONOPLE!$F$15,$M101-$A$15,BE$13)))</f>
        <v>0</v>
      </c>
      <c r="BF101" s="171">
        <f ca="1">IF(OR($D101&lt;&gt;"Serviço",AND(AUTOEVENTO="Manual",$M101=$A$15)),0,
         IF(OFFSET(CRONOPLE!$F$15,$M101-$A$15,BF$13)=0,10^12,OFFSET(CRONOPLE!$F$15,$M101-$A$15,BF$13)))</f>
        <v>0</v>
      </c>
      <c r="BG101" s="171">
        <f ca="1">IF(OR($D101&lt;&gt;"Serviço",AND(AUTOEVENTO="Manual",$M101=$A$15)),0,
         IF(OFFSET(CRONOPLE!$F$15,$M101-$A$15,BG$13)=0,10^12,OFFSET(CRONOPLE!$F$15,$M101-$A$15,BG$13)))</f>
        <v>0</v>
      </c>
      <c r="BH101" s="171">
        <f ca="1">IF(OR($D101&lt;&gt;"Serviço",AND(AUTOEVENTO="Manual",$M101=$A$15)),0,
         IF(OFFSET(CRONOPLE!$F$15,$M101-$A$15,BH$13)=0,10^12,OFFSET(CRONOPLE!$F$15,$M101-$A$15,BH$13)))</f>
        <v>0</v>
      </c>
      <c r="BI101" s="171">
        <f ca="1">IF(OR($D101&lt;&gt;"Serviço",AND(AUTOEVENTO="Manual",$M101=$A$15)),0,
         IF(OFFSET(CRONOPLE!$F$15,$M101-$A$15,BI$13)=0,10^12,OFFSET(CRONOPLE!$F$15,$M101-$A$15,BI$13)))</f>
        <v>0</v>
      </c>
      <c r="BJ101" s="171">
        <f ca="1">IF(OR($D101&lt;&gt;"Serviço",AND(AUTOEVENTO="Manual",$M101=$A$15)),0,
         IF(OFFSET(CRONOPLE!$F$15,$M101-$A$15,BJ$13)=0,10^12,OFFSET(CRONOPLE!$F$15,$M101-$A$15,BJ$13)))</f>
        <v>0</v>
      </c>
      <c r="BK101" s="171">
        <f ca="1">IF(OR($D101&lt;&gt;"Serviço",AND(AUTOEVENTO="Manual",$M101=$A$15)),0,
         IF(OFFSET(CRONOPLE!$F$15,$M101-$A$15,BK$13)=0,10^12,OFFSET(CRONOPLE!$F$15,$M101-$A$15,BK$13)))</f>
        <v>0</v>
      </c>
      <c r="BL101" s="171">
        <f ca="1">IF(OR($D101&lt;&gt;"Serviço",AND(AUTOEVENTO="Manual",$M101=$A$15)),0,
         IF(OFFSET(CRONOPLE!$F$15,$M101-$A$15,BL$13)=0,10^12,OFFSET(CRONOPLE!$F$15,$M101-$A$15,BL$13)))</f>
        <v>0</v>
      </c>
      <c r="BM101" s="171">
        <f ca="1">IF(OR($D101&lt;&gt;"Serviço",AND(AUTOEVENTO="Manual",$M101=$A$15)),0,
         IF(OFFSET(CRONOPLE!$F$15,$M101-$A$15,BM$13)=0,10^12,OFFSET(CRONOPLE!$F$15,$M101-$A$15,BM$13)))</f>
        <v>0</v>
      </c>
      <c r="BN101" s="171">
        <f ca="1">IF(OR($D101&lt;&gt;"Serviço",AND(AUTOEVENTO="Manual",$M101=$A$15)),0,
         IF(OFFSET(CRONOPLE!$F$15,$M101-$A$15,BN$13)=0,10^12,OFFSET(CRONOPLE!$F$15,$M101-$A$15,BN$13)))</f>
        <v>0</v>
      </c>
      <c r="BO101" s="171">
        <f ca="1">IF(OR($D101&lt;&gt;"Serviço",AND(AUTOEVENTO="Manual",$M101=$A$15)),0,
         IF(OFFSET(CRONOPLE!$F$15,$M101-$A$15,BO$13)=0,10^12,OFFSET(CRONOPLE!$F$15,$M101-$A$15,BO$13)))</f>
        <v>0</v>
      </c>
      <c r="BP101" s="171">
        <f ca="1">IF(OR($D101&lt;&gt;"Serviço",AND(AUTOEVENTO="Manual",$M101=$A$15)),0,
         IF(OFFSET(CRONOPLE!$F$15,$M101-$A$15,BP$13)=0,10^12,OFFSET(CRONOPLE!$F$15,$M101-$A$15,BP$13)))</f>
        <v>0</v>
      </c>
      <c r="BQ101" s="171">
        <f ca="1">IF(OR($D101&lt;&gt;"Serviço",AND(AUTOEVENTO="Manual",$M101=$A$15)),0,
         IF(OFFSET(CRONOPLE!$F$15,$M101-$A$15,BQ$13)=0,10^12,OFFSET(CRONOPLE!$F$15,$M101-$A$15,BQ$13)))</f>
        <v>0</v>
      </c>
      <c r="BR101" s="171">
        <f ca="1">IF(OR($D101&lt;&gt;"Serviço",AND(AUTOEVENTO="Manual",$M101=$A$15)),0,
         IF(OFFSET(CRONOPLE!$F$15,$M101-$A$15,BR$13)=0,10^12,OFFSET(CRONOPLE!$F$15,$M101-$A$15,BR$13)))</f>
        <v>0</v>
      </c>
      <c r="BS101" s="171">
        <f ca="1">IF(OR($D101&lt;&gt;"Serviço",AND(AUTOEVENTO="Manual",$M101=$A$15)),0,
         IF(OFFSET(CRONOPLE!$F$15,$M101-$A$15,BS$13)=0,10^12,OFFSET(CRONOPLE!$F$15,$M101-$A$15,BS$13)))</f>
        <v>0</v>
      </c>
      <c r="BT101" s="171">
        <f ca="1">IF(OR($D101&lt;&gt;"Serviço",AND(AUTOEVENTO="Manual",$M101=$A$15)),0,
         IF(OFFSET(CRONOPLE!$F$15,$M101-$A$15,BT$13)=0,10^12,OFFSET(CRONOPLE!$F$15,$M101-$A$15,BT$13)))</f>
        <v>0</v>
      </c>
      <c r="BV101" s="172">
        <f ca="1">IF(OR($D101&lt;&gt;"Serviço",AND(AUTOEVENTO="Manual",$M101=$A$15),$M101&gt;(ROW(PLE.lastrow)-ROW(PLE.firstrow))),0,
           IF(OFFSET(PLE!$G$15,$M101-$A$15,BV$13)="",10^12,OFFSET(PLE!$G$15,$M101-$A$15,BV$13)))</f>
        <v>0</v>
      </c>
      <c r="BW101" s="172">
        <f ca="1">IF(OR($D101&lt;&gt;"Serviço",AND(AUTOEVENTO="Manual",$M101=$A$15),$M101&gt;(ROW(PLE.lastrow)-ROW(PLE.firstrow))),0,
           IF(OFFSET(PLE!$G$15,$M101-$A$15,BW$13)="",10^12,OFFSET(PLE!$G$15,$M101-$A$15,BW$13)))</f>
        <v>0</v>
      </c>
      <c r="BX101" s="172">
        <f ca="1">IF(OR($D101&lt;&gt;"Serviço",AND(AUTOEVENTO="Manual",$M101=$A$15),$M101&gt;(ROW(PLE.lastrow)-ROW(PLE.firstrow))),0,
           IF(OFFSET(PLE!$G$15,$M101-$A$15,BX$13)="",10^12,OFFSET(PLE!$G$15,$M101-$A$15,BX$13)))</f>
        <v>0</v>
      </c>
      <c r="BY101" s="172">
        <f ca="1">IF(OR($D101&lt;&gt;"Serviço",AND(AUTOEVENTO="Manual",$M101=$A$15),$M101&gt;(ROW(PLE.lastrow)-ROW(PLE.firstrow))),0,
           IF(OFFSET(PLE!$G$15,$M101-$A$15,BY$13)="",10^12,OFFSET(PLE!$G$15,$M101-$A$15,BY$13)))</f>
        <v>0</v>
      </c>
      <c r="BZ101" s="172">
        <f ca="1">IF(OR($D101&lt;&gt;"Serviço",AND(AUTOEVENTO="Manual",$M101=$A$15),$M101&gt;(ROW(PLE.lastrow)-ROW(PLE.firstrow))),0,
           IF(OFFSET(PLE!$G$15,$M101-$A$15,BZ$13)="",10^12,OFFSET(PLE!$G$15,$M101-$A$15,BZ$13)))</f>
        <v>0</v>
      </c>
      <c r="CA101" s="172">
        <f ca="1">IF(OR($D101&lt;&gt;"Serviço",AND(AUTOEVENTO="Manual",$M101=$A$15),$M101&gt;(ROW(PLE.lastrow)-ROW(PLE.firstrow))),0,
           IF(OFFSET(PLE!$G$15,$M101-$A$15,CA$13)="",10^12,OFFSET(PLE!$G$15,$M101-$A$15,CA$13)))</f>
        <v>0</v>
      </c>
      <c r="CB101" s="172">
        <f ca="1">IF(OR($D101&lt;&gt;"Serviço",AND(AUTOEVENTO="Manual",$M101=$A$15),$M101&gt;(ROW(PLE.lastrow)-ROW(PLE.firstrow))),0,
           IF(OFFSET(PLE!$G$15,$M101-$A$15,CB$13)="",10^12,OFFSET(PLE!$G$15,$M101-$A$15,CB$13)))</f>
        <v>0</v>
      </c>
      <c r="CC101" s="172">
        <f ca="1">IF(OR($D101&lt;&gt;"Serviço",AND(AUTOEVENTO="Manual",$M101=$A$15),$M101&gt;(ROW(PLE.lastrow)-ROW(PLE.firstrow))),0,
           IF(OFFSET(PLE!$G$15,$M101-$A$15,CC$13)="",10^12,OFFSET(PLE!$G$15,$M101-$A$15,CC$13)))</f>
        <v>0</v>
      </c>
      <c r="CD101" s="172">
        <f ca="1">IF(OR($D101&lt;&gt;"Serviço",AND(AUTOEVENTO="Manual",$M101=$A$15),$M101&gt;(ROW(PLE.lastrow)-ROW(PLE.firstrow))),0,
           IF(OFFSET(PLE!$G$15,$M101-$A$15,CD$13)="",10^12,OFFSET(PLE!$G$15,$M101-$A$15,CD$13)))</f>
        <v>0</v>
      </c>
      <c r="CE101" s="172">
        <f ca="1">IF(OR($D101&lt;&gt;"Serviço",AND(AUTOEVENTO="Manual",$M101=$A$15),$M101&gt;(ROW(PLE.lastrow)-ROW(PLE.firstrow))),0,
           IF(OFFSET(PLE!$G$15,$M101-$A$15,CE$13)="",10^12,OFFSET(PLE!$G$15,$M101-$A$15,CE$13)))</f>
        <v>0</v>
      </c>
      <c r="CF101" s="172">
        <f ca="1">IF(OR($D101&lt;&gt;"Serviço",AND(AUTOEVENTO="Manual",$M101=$A$15),$M101&gt;(ROW(PLE.lastrow)-ROW(PLE.firstrow))),0,
           IF(OFFSET(PLE!$G$15,$M101-$A$15,CF$13)="",10^12,OFFSET(PLE!$G$15,$M101-$A$15,CF$13)))</f>
        <v>0</v>
      </c>
      <c r="CG101" s="172">
        <f ca="1">IF(OR($D101&lt;&gt;"Serviço",AND(AUTOEVENTO="Manual",$M101=$A$15),$M101&gt;(ROW(PLE.lastrow)-ROW(PLE.firstrow))),0,
           IF(OFFSET(PLE!$G$15,$M101-$A$15,CG$13)="",10^12,OFFSET(PLE!$G$15,$M101-$A$15,CG$13)))</f>
        <v>0</v>
      </c>
      <c r="CH101" s="172">
        <f ca="1">IF(OR($D101&lt;&gt;"Serviço",AND(AUTOEVENTO="Manual",$M101=$A$15),$M101&gt;(ROW(PLE.lastrow)-ROW(PLE.firstrow))),0,
           IF(OFFSET(PLE!$G$15,$M101-$A$15,CH$13)="",10^12,OFFSET(PLE!$G$15,$M101-$A$15,CH$13)))</f>
        <v>0</v>
      </c>
      <c r="CI101" s="172">
        <f ca="1">IF(OR($D101&lt;&gt;"Serviço",AND(AUTOEVENTO="Manual",$M101=$A$15),$M101&gt;(ROW(PLE.lastrow)-ROW(PLE.firstrow))),0,
           IF(OFFSET(PLE!$G$15,$M101-$A$15,CI$13)="",10^12,OFFSET(PLE!$G$15,$M101-$A$15,CI$13)))</f>
        <v>0</v>
      </c>
      <c r="CJ101" s="172">
        <f ca="1">IF(OR($D101&lt;&gt;"Serviço",AND(AUTOEVENTO="Manual",$M101=$A$15),$M101&gt;(ROW(PLE.lastrow)-ROW(PLE.firstrow))),0,
           IF(OFFSET(PLE!$G$15,$M101-$A$15,CJ$13)="",10^12,OFFSET(PLE!$G$15,$M101-$A$15,CJ$13)))</f>
        <v>0</v>
      </c>
      <c r="CK101" s="172">
        <f ca="1">IF(OR($D101&lt;&gt;"Serviço",AND(AUTOEVENTO="Manual",$M101=$A$15),$M101&gt;(ROW(PLE.lastrow)-ROW(PLE.firstrow))),0,
           IF(OFFSET(PLE!$G$15,$M101-$A$15,CK$13)="",10^12,OFFSET(PLE!$G$15,$M101-$A$15,CK$13)))</f>
        <v>0</v>
      </c>
      <c r="CL101" s="172">
        <f ca="1">IF(OR($D101&lt;&gt;"Serviço",AND(AUTOEVENTO="Manual",$M101=$A$15),$M101&gt;(ROW(PLE.lastrow)-ROW(PLE.firstrow))),0,
           IF(OFFSET(PLE!$G$15,$M101-$A$15,CL$13)="",10^12,OFFSET(PLE!$G$15,$M101-$A$15,CL$13)))</f>
        <v>0</v>
      </c>
      <c r="CM101" s="172">
        <f ca="1">IF(OR($D101&lt;&gt;"Serviço",AND(AUTOEVENTO="Manual",$M101=$A$15),$M101&gt;(ROW(PLE.lastrow)-ROW(PLE.firstrow))),0,
           IF(OFFSET(PLE!$G$15,$M101-$A$15,CM$13)="",10^12,OFFSET(PLE!$G$15,$M101-$A$15,CM$13)))</f>
        <v>0</v>
      </c>
    </row>
    <row r="102" spans="1:91" ht="26.4" x14ac:dyDescent="0.25">
      <c r="A102" s="7" t="str">
        <f t="shared" ca="1" si="11"/>
        <v>86</v>
      </c>
      <c r="B102" s="7" t="str">
        <f ca="1">OFFSET(ORÇAMENTO!C$15,ROW(B102)-ROW(B$15),0)</f>
        <v>S</v>
      </c>
      <c r="C102" s="7" t="str">
        <f ca="1">OFFSET(ORÇAMENTO!L$15,ROW(C102)-ROW(C$15),0)</f>
        <v>F</v>
      </c>
      <c r="D102" s="116" t="str">
        <f ca="1">OFFSET(ORÇAMENTO!N$15,ROW(D102)-ROW(D$15),0)</f>
        <v>Serviço</v>
      </c>
      <c r="E102" s="117" t="str">
        <f ca="1">OFFSET(ORÇAMENTO!O$15,ROW(E102)-ROW(E$15),0)</f>
        <v>3.2.1.</v>
      </c>
      <c r="F102" s="163" t="str">
        <f ca="1">OFFSET(ORÇAMENTO!R$15,ROW(F102)-ROW(F$15),0)</f>
        <v>Base ou sub-base de macadame seco com brita comercial - 100% Proctor modificado</v>
      </c>
      <c r="G102" s="164" t="str">
        <f ca="1">IF($D102&lt;&gt;"Serviço","",OFFSET(ORÇAMENTO!S$15,ROW(G102)-ROW(G$15),0))</f>
        <v>m³</v>
      </c>
      <c r="H102" s="122" cm="1">
        <f t="array" aca="1" ref="H102" ca="1">IF($D102&lt;&gt;"Serviço",0,IF(ACOMPANHAMENTO="BM",ROUND(OFFSET(ORÇAMENTO!AJ$15,ROW(H102)-ROW(H$15),0),15-13*ORÇAMENTO!$AF$7),SUMPRODUCT(($Q$1:$AI$1=1)*ROUND($Q102:$AI102,15-13*ORÇAMENTO!$AF$7))))</f>
        <v>246</v>
      </c>
      <c r="I102" s="468"/>
      <c r="J102" s="651" t="e" cm="1">
        <f t="array" aca="1" ref="J102" ca="1">IF(OR(B102&lt;&gt;"S",CÁLCULO.FrentesPreenchidas=0),"",IF(AND(ACOMPANHAMENTO="PLE",AUTOEVENTO="Manual",OR(H102&gt;0,ORÇAMENTO!AC102="QUANT."),OR(K102="",M102=0,N102="")),"►E",IF(AND(ACOMPANHAMENTO="PLE",ORÇAMENTO!AC102="QUANT."),"►Q",IF(AND(ACOMPANHAMENTO="PLE",H102&lt;&gt;SUMPRODUCT(($Q$1:$AI$1=1)*ROUND(Q102:AI102,15))),"►S",IF(AND(COUNTIF($P$11:$AI$11,"▼")=0,H102&gt;0,I102=""),"◄M","")))))</f>
        <v>#NAME?</v>
      </c>
      <c r="K102" s="652"/>
      <c r="L102" s="165" t="s">
        <v>764</v>
      </c>
      <c r="M102" s="166">
        <f ca="1">IF($D102&lt;&gt;"Serviço","",
          IF(AUTOEVENTO="manual",$A102,
                IF(ISERROR(MATCH($A102,$A$15:OFFSET($A102,-1,0),0)),MAX($M$15:OFFSET(M102,-1,0))+1,
                      INDEX($M$15:OFFSET(M102,-1,0),MATCH($A102,$A$15:OFFSET($A102,-1,0),0)))))</f>
        <v>15</v>
      </c>
      <c r="N102" s="167" t="str">
        <f ca="1">IF($D102&lt;&gt;"Serviço","",
         IF(AUTOEVENTO="Manual",
                IF($A102=0,"&lt;-- defina o número do agrupador",
                       OFFSET(EVENTOS!$D$15,$A102-$A$15,0)),
                OFFSET($F$15,$A102,0)))</f>
        <v>PAVIMENTAÇÃO</v>
      </c>
      <c r="O102" s="168"/>
      <c r="Q102" s="168"/>
      <c r="R102" s="169"/>
      <c r="S102" s="169"/>
      <c r="T102" s="169"/>
      <c r="U102" s="169">
        <f>1640*0.15</f>
        <v>246</v>
      </c>
      <c r="V102" s="169"/>
      <c r="W102" s="169"/>
      <c r="X102" s="169"/>
      <c r="Y102" s="169"/>
      <c r="Z102" s="170"/>
      <c r="AA102" s="169"/>
      <c r="AB102" s="169"/>
      <c r="AC102" s="169"/>
      <c r="AD102" s="169"/>
      <c r="AE102" s="169"/>
      <c r="AF102" s="169"/>
      <c r="AG102" s="169"/>
      <c r="AH102" s="170"/>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L102" s="453">
        <f ca="1">IF(AND($D102="Serviço",AL$12&lt;&gt;0,$H102&gt;0,OR(AUTOEVENTO&lt;&gt;"manual",$M102&lt;&gt;$A$15)),
        IF(Import.TipoArredondamento&lt;&gt;"TransfereGOV",
              ROUND(OFFSET($P102,0,AL$13),15-13*ORÇAMENTO!$AF$7)/$H102*OFFSET(ORÇAMENTO!$X$15,ROW(AL102)-ROW(AL$15),0),
              ROUND(ROUND(OFFSET($P102,0,AL$13),15-13*ORÇAMENTO!$AF$7)*OFFSET(ORÇAMENTO!$W$15,ROW(AL102)-ROW(AL$15),0),15-13*ORÇAMENTO!$AF$11)),
         0)</f>
        <v>0</v>
      </c>
      <c r="AM102" s="453">
        <f ca="1">IF(AND($D102="Serviço",AM$12&lt;&gt;0,$H102&gt;0,OR(AUTOEVENTO&lt;&gt;"manual",$M102&lt;&gt;$A$15)),
        IF(Import.TipoArredondamento&lt;&gt;"TransfereGOV",
              ROUND(OFFSET($P102,0,AM$13),15-13*ORÇAMENTO!$AF$7)/$H102*OFFSET(ORÇAMENTO!$X$15,ROW(AM102)-ROW(AM$15),0),
              ROUND(ROUND(OFFSET($P102,0,AM$13),15-13*ORÇAMENTO!$AF$7)*OFFSET(ORÇAMENTO!$W$15,ROW(AM102)-ROW(AM$15),0),15-13*ORÇAMENTO!$AF$11)),
         0)</f>
        <v>0</v>
      </c>
      <c r="AN102" s="453">
        <f ca="1">IF(AND($D102="Serviço",AN$12&lt;&gt;0,$H102&gt;0,OR(AUTOEVENTO&lt;&gt;"manual",$M102&lt;&gt;$A$15)),
        IF(Import.TipoArredondamento&lt;&gt;"TransfereGOV",
              ROUND(OFFSET($P102,0,AN$13),15-13*ORÇAMENTO!$AF$7)/$H102*OFFSET(ORÇAMENTO!$X$15,ROW(AN102)-ROW(AN$15),0),
              ROUND(ROUND(OFFSET($P102,0,AN$13),15-13*ORÇAMENTO!$AF$7)*OFFSET(ORÇAMENTO!$W$15,ROW(AN102)-ROW(AN$15),0),15-13*ORÇAMENTO!$AF$11)),
         0)</f>
        <v>60151.92</v>
      </c>
      <c r="AO102" s="453">
        <f ca="1">IF(AND($D102="Serviço",AO$12&lt;&gt;0,$H102&gt;0,OR(AUTOEVENTO&lt;&gt;"manual",$M102&lt;&gt;$A$15)),
        IF(Import.TipoArredondamento&lt;&gt;"TransfereGOV",
              ROUND(OFFSET($P102,0,AO$13),15-13*ORÇAMENTO!$AF$7)/$H102*OFFSET(ORÇAMENTO!$X$15,ROW(AO102)-ROW(AO$15),0),
              ROUND(ROUND(OFFSET($P102,0,AO$13),15-13*ORÇAMENTO!$AF$7)*OFFSET(ORÇAMENTO!$W$15,ROW(AO102)-ROW(AO$15),0),15-13*ORÇAMENTO!$AF$11)),
         0)</f>
        <v>0</v>
      </c>
      <c r="AP102" s="453">
        <f ca="1">IF(AND($D102="Serviço",AP$12&lt;&gt;0,$H102&gt;0,OR(AUTOEVENTO&lt;&gt;"manual",$M102&lt;&gt;$A$15)),
        IF(Import.TipoArredondamento&lt;&gt;"TransfereGOV",
              ROUND(OFFSET($P102,0,AP$13),15-13*ORÇAMENTO!$AF$7)/$H102*OFFSET(ORÇAMENTO!$X$15,ROW(AP102)-ROW(AP$15),0),
              ROUND(ROUND(OFFSET($P102,0,AP$13),15-13*ORÇAMENTO!$AF$7)*OFFSET(ORÇAMENTO!$W$15,ROW(AP102)-ROW(AP$15),0),15-13*ORÇAMENTO!$AF$11)),
         0)</f>
        <v>0</v>
      </c>
      <c r="AQ102" s="453">
        <f ca="1">IF(AND($D102="Serviço",AQ$12&lt;&gt;0,$H102&gt;0,OR(AUTOEVENTO&lt;&gt;"manual",$M102&lt;&gt;$A$15)),
        IF(Import.TipoArredondamento&lt;&gt;"TransfereGOV",
              ROUND(OFFSET($P102,0,AQ$13),15-13*ORÇAMENTO!$AF$7)/$H102*OFFSET(ORÇAMENTO!$X$15,ROW(AQ102)-ROW(AQ$15),0),
              ROUND(ROUND(OFFSET($P102,0,AQ$13),15-13*ORÇAMENTO!$AF$7)*OFFSET(ORÇAMENTO!$W$15,ROW(AQ102)-ROW(AQ$15),0),15-13*ORÇAMENTO!$AF$11)),
         0)</f>
        <v>0</v>
      </c>
      <c r="AR102" s="453">
        <f ca="1">IF(AND($D102="Serviço",AR$12&lt;&gt;0,$H102&gt;0,OR(AUTOEVENTO&lt;&gt;"manual",$M102&lt;&gt;$A$15)),
        IF(Import.TipoArredondamento&lt;&gt;"TransfereGOV",
              ROUND(OFFSET($P102,0,AR$13),15-13*ORÇAMENTO!$AF$7)/$H102*OFFSET(ORÇAMENTO!$X$15,ROW(AR102)-ROW(AR$15),0),
              ROUND(ROUND(OFFSET($P102,0,AR$13),15-13*ORÇAMENTO!$AF$7)*OFFSET(ORÇAMENTO!$W$15,ROW(AR102)-ROW(AR$15),0),15-13*ORÇAMENTO!$AF$11)),
         0)</f>
        <v>0</v>
      </c>
      <c r="AS102" s="453">
        <f ca="1">IF(AND($D102="Serviço",AS$12&lt;&gt;0,$H102&gt;0,OR(AUTOEVENTO&lt;&gt;"manual",$M102&lt;&gt;$A$15)),
        IF(Import.TipoArredondamento&lt;&gt;"TransfereGOV",
              ROUND(OFFSET($P102,0,AS$13),15-13*ORÇAMENTO!$AF$7)/$H102*OFFSET(ORÇAMENTO!$X$15,ROW(AS102)-ROW(AS$15),0),
              ROUND(ROUND(OFFSET($P102,0,AS$13),15-13*ORÇAMENTO!$AF$7)*OFFSET(ORÇAMENTO!$W$15,ROW(AS102)-ROW(AS$15),0),15-13*ORÇAMENTO!$AF$11)),
         0)</f>
        <v>0</v>
      </c>
      <c r="AT102" s="453">
        <f ca="1">IF(AND($D102="Serviço",AT$12&lt;&gt;0,$H102&gt;0,OR(AUTOEVENTO&lt;&gt;"manual",$M102&lt;&gt;$A$15)),
        IF(Import.TipoArredondamento&lt;&gt;"TransfereGOV",
              ROUND(OFFSET($P102,0,AT$13),15-13*ORÇAMENTO!$AF$7)/$H102*OFFSET(ORÇAMENTO!$X$15,ROW(AT102)-ROW(AT$15),0),
              ROUND(ROUND(OFFSET($P102,0,AT$13),15-13*ORÇAMENTO!$AF$7)*OFFSET(ORÇAMENTO!$W$15,ROW(AT102)-ROW(AT$15),0),15-13*ORÇAMENTO!$AF$11)),
         0)</f>
        <v>0</v>
      </c>
      <c r="AU102" s="453">
        <f ca="1">IF(AND($D102="Serviço",AU$12&lt;&gt;0,$H102&gt;0,OR(AUTOEVENTO&lt;&gt;"manual",$M102&lt;&gt;$A$15)),
        IF(Import.TipoArredondamento&lt;&gt;"TransfereGOV",
              ROUND(OFFSET($P102,0,AU$13),15-13*ORÇAMENTO!$AF$7)/$H102*OFFSET(ORÇAMENTO!$X$15,ROW(AU102)-ROW(AU$15),0),
              ROUND(ROUND(OFFSET($P102,0,AU$13),15-13*ORÇAMENTO!$AF$7)*OFFSET(ORÇAMENTO!$W$15,ROW(AU102)-ROW(AU$15),0),15-13*ORÇAMENTO!$AF$11)),
         0)</f>
        <v>0</v>
      </c>
      <c r="AV102" s="453">
        <f ca="1">IF(AND($D102="Serviço",AV$12&lt;&gt;0,$H102&gt;0,OR(AUTOEVENTO&lt;&gt;"manual",$M102&lt;&gt;$A$15)),
        IF(Import.TipoArredondamento&lt;&gt;"TransfereGOV",
              ROUND(OFFSET($P102,0,AV$13),15-13*ORÇAMENTO!$AF$7)/$H102*OFFSET(ORÇAMENTO!$X$15,ROW(AV102)-ROW(AV$15),0),
              ROUND(ROUND(OFFSET($P102,0,AV$13),15-13*ORÇAMENTO!$AF$7)*OFFSET(ORÇAMENTO!$W$15,ROW(AV102)-ROW(AV$15),0),15-13*ORÇAMENTO!$AF$11)),
         0)</f>
        <v>0</v>
      </c>
      <c r="AW102" s="453">
        <f ca="1">IF(AND($D102="Serviço",AW$12&lt;&gt;0,$H102&gt;0,OR(AUTOEVENTO&lt;&gt;"manual",$M102&lt;&gt;$A$15)),
        IF(Import.TipoArredondamento&lt;&gt;"TransfereGOV",
              ROUND(OFFSET($P102,0,AW$13),15-13*ORÇAMENTO!$AF$7)/$H102*OFFSET(ORÇAMENTO!$X$15,ROW(AW102)-ROW(AW$15),0),
              ROUND(ROUND(OFFSET($P102,0,AW$13),15-13*ORÇAMENTO!$AF$7)*OFFSET(ORÇAMENTO!$W$15,ROW(AW102)-ROW(AW$15),0),15-13*ORÇAMENTO!$AF$11)),
         0)</f>
        <v>0</v>
      </c>
      <c r="AX102" s="453">
        <f ca="1">IF(AND($D102="Serviço",AX$12&lt;&gt;0,$H102&gt;0,OR(AUTOEVENTO&lt;&gt;"manual",$M102&lt;&gt;$A$15)),
        IF(Import.TipoArredondamento&lt;&gt;"TransfereGOV",
              ROUND(OFFSET($P102,0,AX$13),15-13*ORÇAMENTO!$AF$7)/$H102*OFFSET(ORÇAMENTO!$X$15,ROW(AX102)-ROW(AX$15),0),
              ROUND(ROUND(OFFSET($P102,0,AX$13),15-13*ORÇAMENTO!$AF$7)*OFFSET(ORÇAMENTO!$W$15,ROW(AX102)-ROW(AX$15),0),15-13*ORÇAMENTO!$AF$11)),
         0)</f>
        <v>0</v>
      </c>
      <c r="AY102" s="453">
        <f ca="1">IF(AND($D102="Serviço",AY$12&lt;&gt;0,$H102&gt;0,OR(AUTOEVENTO&lt;&gt;"manual",$M102&lt;&gt;$A$15)),
        IF(Import.TipoArredondamento&lt;&gt;"TransfereGOV",
              ROUND(OFFSET($P102,0,AY$13),15-13*ORÇAMENTO!$AF$7)/$H102*OFFSET(ORÇAMENTO!$X$15,ROW(AY102)-ROW(AY$15),0),
              ROUND(ROUND(OFFSET($P102,0,AY$13),15-13*ORÇAMENTO!$AF$7)*OFFSET(ORÇAMENTO!$W$15,ROW(AY102)-ROW(AY$15),0),15-13*ORÇAMENTO!$AF$11)),
         0)</f>
        <v>0</v>
      </c>
      <c r="AZ102" s="453">
        <f ca="1">IF(AND($D102="Serviço",AZ$12&lt;&gt;0,$H102&gt;0,OR(AUTOEVENTO&lt;&gt;"manual",$M102&lt;&gt;$A$15)),
        IF(Import.TipoArredondamento&lt;&gt;"TransfereGOV",
              ROUND(OFFSET($P102,0,AZ$13),15-13*ORÇAMENTO!$AF$7)/$H102*OFFSET(ORÇAMENTO!$X$15,ROW(AZ102)-ROW(AZ$15),0),
              ROUND(ROUND(OFFSET($P102,0,AZ$13),15-13*ORÇAMENTO!$AF$7)*OFFSET(ORÇAMENTO!$W$15,ROW(AZ102)-ROW(AZ$15),0),15-13*ORÇAMENTO!$AF$11)),
         0)</f>
        <v>0</v>
      </c>
      <c r="BA102" s="453">
        <f ca="1">IF(AND($D102="Serviço",BA$12&lt;&gt;0,$H102&gt;0,OR(AUTOEVENTO&lt;&gt;"manual",$M102&lt;&gt;$A$15)),
        IF(Import.TipoArredondamento&lt;&gt;"TransfereGOV",
              ROUND(OFFSET($P102,0,BA$13),15-13*ORÇAMENTO!$AF$7)/$H102*OFFSET(ORÇAMENTO!$X$15,ROW(BA102)-ROW(BA$15),0),
              ROUND(ROUND(OFFSET($P102,0,BA$13),15-13*ORÇAMENTO!$AF$7)*OFFSET(ORÇAMENTO!$W$15,ROW(BA102)-ROW(BA$15),0),15-13*ORÇAMENTO!$AF$11)),
         0)</f>
        <v>0</v>
      </c>
      <c r="BC102" s="171">
        <f ca="1">IF(OR($D102&lt;&gt;"Serviço",AND(AUTOEVENTO="Manual",$M102=$A$15)),0,
         IF(OFFSET(CRONOPLE!$F$15,$M102-$A$15,BC$13)=0,10^12,OFFSET(CRONOPLE!$F$15,$M102-$A$15,BC$13)))</f>
        <v>1000000000000</v>
      </c>
      <c r="BD102" s="171">
        <f ca="1">IF(OR($D102&lt;&gt;"Serviço",AND(AUTOEVENTO="Manual",$M102=$A$15)),0,
         IF(OFFSET(CRONOPLE!$F$15,$M102-$A$15,BD$13)=0,10^12,OFFSET(CRONOPLE!$F$15,$M102-$A$15,BD$13)))</f>
        <v>1000000000000</v>
      </c>
      <c r="BE102" s="171">
        <f ca="1">IF(OR($D102&lt;&gt;"Serviço",AND(AUTOEVENTO="Manual",$M102=$A$15)),0,
         IF(OFFSET(CRONOPLE!$F$15,$M102-$A$15,BE$13)=0,10^12,OFFSET(CRONOPLE!$F$15,$M102-$A$15,BE$13)))</f>
        <v>1000000000000</v>
      </c>
      <c r="BF102" s="171">
        <f ca="1">IF(OR($D102&lt;&gt;"Serviço",AND(AUTOEVENTO="Manual",$M102=$A$15)),0,
         IF(OFFSET(CRONOPLE!$F$15,$M102-$A$15,BF$13)=0,10^12,OFFSET(CRONOPLE!$F$15,$M102-$A$15,BF$13)))</f>
        <v>1000000000000</v>
      </c>
      <c r="BG102" s="171">
        <f ca="1">IF(OR($D102&lt;&gt;"Serviço",AND(AUTOEVENTO="Manual",$M102=$A$15)),0,
         IF(OFFSET(CRONOPLE!$F$15,$M102-$A$15,BG$13)=0,10^12,OFFSET(CRONOPLE!$F$15,$M102-$A$15,BG$13)))</f>
        <v>4</v>
      </c>
      <c r="BH102" s="171">
        <f ca="1">IF(OR($D102&lt;&gt;"Serviço",AND(AUTOEVENTO="Manual",$M102=$A$15)),0,
         IF(OFFSET(CRONOPLE!$F$15,$M102-$A$15,BH$13)=0,10^12,OFFSET(CRONOPLE!$F$15,$M102-$A$15,BH$13)))</f>
        <v>1000000000000</v>
      </c>
      <c r="BI102" s="171">
        <f ca="1">IF(OR($D102&lt;&gt;"Serviço",AND(AUTOEVENTO="Manual",$M102=$A$15)),0,
         IF(OFFSET(CRONOPLE!$F$15,$M102-$A$15,BI$13)=0,10^12,OFFSET(CRONOPLE!$F$15,$M102-$A$15,BI$13)))</f>
        <v>1000000000000</v>
      </c>
      <c r="BJ102" s="171">
        <f ca="1">IF(OR($D102&lt;&gt;"Serviço",AND(AUTOEVENTO="Manual",$M102=$A$15)),0,
         IF(OFFSET(CRONOPLE!$F$15,$M102-$A$15,BJ$13)=0,10^12,OFFSET(CRONOPLE!$F$15,$M102-$A$15,BJ$13)))</f>
        <v>1000000000000</v>
      </c>
      <c r="BK102" s="171">
        <f ca="1">IF(OR($D102&lt;&gt;"Serviço",AND(AUTOEVENTO="Manual",$M102=$A$15)),0,
         IF(OFFSET(CRONOPLE!$F$15,$M102-$A$15,BK$13)=0,10^12,OFFSET(CRONOPLE!$F$15,$M102-$A$15,BK$13)))</f>
        <v>1000000000000</v>
      </c>
      <c r="BL102" s="171">
        <f ca="1">IF(OR($D102&lt;&gt;"Serviço",AND(AUTOEVENTO="Manual",$M102=$A$15)),0,
         IF(OFFSET(CRONOPLE!$F$15,$M102-$A$15,BL$13)=0,10^12,OFFSET(CRONOPLE!$F$15,$M102-$A$15,BL$13)))</f>
        <v>1000000000000</v>
      </c>
      <c r="BM102" s="171">
        <f ca="1">IF(OR($D102&lt;&gt;"Serviço",AND(AUTOEVENTO="Manual",$M102=$A$15)),0,
         IF(OFFSET(CRONOPLE!$F$15,$M102-$A$15,BM$13)=0,10^12,OFFSET(CRONOPLE!$F$15,$M102-$A$15,BM$13)))</f>
        <v>1000000000000</v>
      </c>
      <c r="BN102" s="171">
        <f ca="1">IF(OR($D102&lt;&gt;"Serviço",AND(AUTOEVENTO="Manual",$M102=$A$15)),0,
         IF(OFFSET(CRONOPLE!$F$15,$M102-$A$15,BN$13)=0,10^12,OFFSET(CRONOPLE!$F$15,$M102-$A$15,BN$13)))</f>
        <v>1000000000000</v>
      </c>
      <c r="BO102" s="171">
        <f ca="1">IF(OR($D102&lt;&gt;"Serviço",AND(AUTOEVENTO="Manual",$M102=$A$15)),0,
         IF(OFFSET(CRONOPLE!$F$15,$M102-$A$15,BO$13)=0,10^12,OFFSET(CRONOPLE!$F$15,$M102-$A$15,BO$13)))</f>
        <v>1000000000000</v>
      </c>
      <c r="BP102" s="171">
        <f ca="1">IF(OR($D102&lt;&gt;"Serviço",AND(AUTOEVENTO="Manual",$M102=$A$15)),0,
         IF(OFFSET(CRONOPLE!$F$15,$M102-$A$15,BP$13)=0,10^12,OFFSET(CRONOPLE!$F$15,$M102-$A$15,BP$13)))</f>
        <v>1000000000000</v>
      </c>
      <c r="BQ102" s="171">
        <f ca="1">IF(OR($D102&lt;&gt;"Serviço",AND(AUTOEVENTO="Manual",$M102=$A$15)),0,
         IF(OFFSET(CRONOPLE!$F$15,$M102-$A$15,BQ$13)=0,10^12,OFFSET(CRONOPLE!$F$15,$M102-$A$15,BQ$13)))</f>
        <v>1000000000000</v>
      </c>
      <c r="BR102" s="171">
        <f ca="1">IF(OR($D102&lt;&gt;"Serviço",AND(AUTOEVENTO="Manual",$M102=$A$15)),0,
         IF(OFFSET(CRONOPLE!$F$15,$M102-$A$15,BR$13)=0,10^12,OFFSET(CRONOPLE!$F$15,$M102-$A$15,BR$13)))</f>
        <v>1000000000000</v>
      </c>
      <c r="BS102" s="171">
        <f ca="1">IF(OR($D102&lt;&gt;"Serviço",AND(AUTOEVENTO="Manual",$M102=$A$15)),0,
         IF(OFFSET(CRONOPLE!$F$15,$M102-$A$15,BS$13)=0,10^12,OFFSET(CRONOPLE!$F$15,$M102-$A$15,BS$13)))</f>
        <v>1000000000000</v>
      </c>
      <c r="BT102" s="171">
        <f ca="1">IF(OR($D102&lt;&gt;"Serviço",AND(AUTOEVENTO="Manual",$M102=$A$15)),0,
         IF(OFFSET(CRONOPLE!$F$15,$M102-$A$15,BT$13)=0,10^12,OFFSET(CRONOPLE!$F$15,$M102-$A$15,BT$13)))</f>
        <v>1000000000000</v>
      </c>
      <c r="BV102" s="172">
        <f ca="1">IF(OR($D102&lt;&gt;"Serviço",AND(AUTOEVENTO="Manual",$M102=$A$15),$M102&gt;(ROW(PLE.lastrow)-ROW(PLE.firstrow))),0,
           IF(OFFSET(PLE!$G$15,$M102-$A$15,BV$13)="",10^12,OFFSET(PLE!$G$15,$M102-$A$15,BV$13)))</f>
        <v>1000000000000</v>
      </c>
      <c r="BW102" s="172">
        <f ca="1">IF(OR($D102&lt;&gt;"Serviço",AND(AUTOEVENTO="Manual",$M102=$A$15),$M102&gt;(ROW(PLE.lastrow)-ROW(PLE.firstrow))),0,
           IF(OFFSET(PLE!$G$15,$M102-$A$15,BW$13)="",10^12,OFFSET(PLE!$G$15,$M102-$A$15,BW$13)))</f>
        <v>1000000000000</v>
      </c>
      <c r="BX102" s="172">
        <f ca="1">IF(OR($D102&lt;&gt;"Serviço",AND(AUTOEVENTO="Manual",$M102=$A$15),$M102&gt;(ROW(PLE.lastrow)-ROW(PLE.firstrow))),0,
           IF(OFFSET(PLE!$G$15,$M102-$A$15,BX$13)="",10^12,OFFSET(PLE!$G$15,$M102-$A$15,BX$13)))</f>
        <v>1000000000000</v>
      </c>
      <c r="BY102" s="172">
        <f ca="1">IF(OR($D102&lt;&gt;"Serviço",AND(AUTOEVENTO="Manual",$M102=$A$15),$M102&gt;(ROW(PLE.lastrow)-ROW(PLE.firstrow))),0,
           IF(OFFSET(PLE!$G$15,$M102-$A$15,BY$13)="",10^12,OFFSET(PLE!$G$15,$M102-$A$15,BY$13)))</f>
        <v>1000000000000</v>
      </c>
      <c r="BZ102" s="172">
        <f ca="1">IF(OR($D102&lt;&gt;"Serviço",AND(AUTOEVENTO="Manual",$M102=$A$15),$M102&gt;(ROW(PLE.lastrow)-ROW(PLE.firstrow))),0,
           IF(OFFSET(PLE!$G$15,$M102-$A$15,BZ$13)="",10^12,OFFSET(PLE!$G$15,$M102-$A$15,BZ$13)))</f>
        <v>1000000000000</v>
      </c>
      <c r="CA102" s="172">
        <f ca="1">IF(OR($D102&lt;&gt;"Serviço",AND(AUTOEVENTO="Manual",$M102=$A$15),$M102&gt;(ROW(PLE.lastrow)-ROW(PLE.firstrow))),0,
           IF(OFFSET(PLE!$G$15,$M102-$A$15,CA$13)="",10^12,OFFSET(PLE!$G$15,$M102-$A$15,CA$13)))</f>
        <v>1000000000000</v>
      </c>
      <c r="CB102" s="172">
        <f ca="1">IF(OR($D102&lt;&gt;"Serviço",AND(AUTOEVENTO="Manual",$M102=$A$15),$M102&gt;(ROW(PLE.lastrow)-ROW(PLE.firstrow))),0,
           IF(OFFSET(PLE!$G$15,$M102-$A$15,CB$13)="",10^12,OFFSET(PLE!$G$15,$M102-$A$15,CB$13)))</f>
        <v>1000000000000</v>
      </c>
      <c r="CC102" s="172">
        <f ca="1">IF(OR($D102&lt;&gt;"Serviço",AND(AUTOEVENTO="Manual",$M102=$A$15),$M102&gt;(ROW(PLE.lastrow)-ROW(PLE.firstrow))),0,
           IF(OFFSET(PLE!$G$15,$M102-$A$15,CC$13)="",10^12,OFFSET(PLE!$G$15,$M102-$A$15,CC$13)))</f>
        <v>1000000000000</v>
      </c>
      <c r="CD102" s="172">
        <f ca="1">IF(OR($D102&lt;&gt;"Serviço",AND(AUTOEVENTO="Manual",$M102=$A$15),$M102&gt;(ROW(PLE.lastrow)-ROW(PLE.firstrow))),0,
           IF(OFFSET(PLE!$G$15,$M102-$A$15,CD$13)="",10^12,OFFSET(PLE!$G$15,$M102-$A$15,CD$13)))</f>
        <v>1000000000000</v>
      </c>
      <c r="CE102" s="172">
        <f ca="1">IF(OR($D102&lt;&gt;"Serviço",AND(AUTOEVENTO="Manual",$M102=$A$15),$M102&gt;(ROW(PLE.lastrow)-ROW(PLE.firstrow))),0,
           IF(OFFSET(PLE!$G$15,$M102-$A$15,CE$13)="",10^12,OFFSET(PLE!$G$15,$M102-$A$15,CE$13)))</f>
        <v>1000000000000</v>
      </c>
      <c r="CF102" s="172">
        <f ca="1">IF(OR($D102&lt;&gt;"Serviço",AND(AUTOEVENTO="Manual",$M102=$A$15),$M102&gt;(ROW(PLE.lastrow)-ROW(PLE.firstrow))),0,
           IF(OFFSET(PLE!$G$15,$M102-$A$15,CF$13)="",10^12,OFFSET(PLE!$G$15,$M102-$A$15,CF$13)))</f>
        <v>1000000000000</v>
      </c>
      <c r="CG102" s="172">
        <f ca="1">IF(OR($D102&lt;&gt;"Serviço",AND(AUTOEVENTO="Manual",$M102=$A$15),$M102&gt;(ROW(PLE.lastrow)-ROW(PLE.firstrow))),0,
           IF(OFFSET(PLE!$G$15,$M102-$A$15,CG$13)="",10^12,OFFSET(PLE!$G$15,$M102-$A$15,CG$13)))</f>
        <v>1000000000000</v>
      </c>
      <c r="CH102" s="172">
        <f ca="1">IF(OR($D102&lt;&gt;"Serviço",AND(AUTOEVENTO="Manual",$M102=$A$15),$M102&gt;(ROW(PLE.lastrow)-ROW(PLE.firstrow))),0,
           IF(OFFSET(PLE!$G$15,$M102-$A$15,CH$13)="",10^12,OFFSET(PLE!$G$15,$M102-$A$15,CH$13)))</f>
        <v>1000000000000</v>
      </c>
      <c r="CI102" s="172">
        <f ca="1">IF(OR($D102&lt;&gt;"Serviço",AND(AUTOEVENTO="Manual",$M102=$A$15),$M102&gt;(ROW(PLE.lastrow)-ROW(PLE.firstrow))),0,
           IF(OFFSET(PLE!$G$15,$M102-$A$15,CI$13)="",10^12,OFFSET(PLE!$G$15,$M102-$A$15,CI$13)))</f>
        <v>1000000000000</v>
      </c>
      <c r="CJ102" s="172">
        <f ca="1">IF(OR($D102&lt;&gt;"Serviço",AND(AUTOEVENTO="Manual",$M102=$A$15),$M102&gt;(ROW(PLE.lastrow)-ROW(PLE.firstrow))),0,
           IF(OFFSET(PLE!$G$15,$M102-$A$15,CJ$13)="",10^12,OFFSET(PLE!$G$15,$M102-$A$15,CJ$13)))</f>
        <v>1000000000000</v>
      </c>
      <c r="CK102" s="172">
        <f ca="1">IF(OR($D102&lt;&gt;"Serviço",AND(AUTOEVENTO="Manual",$M102=$A$15),$M102&gt;(ROW(PLE.lastrow)-ROW(PLE.firstrow))),0,
           IF(OFFSET(PLE!$G$15,$M102-$A$15,CK$13)="",10^12,OFFSET(PLE!$G$15,$M102-$A$15,CK$13)))</f>
        <v>1000000000000</v>
      </c>
      <c r="CL102" s="172">
        <f ca="1">IF(OR($D102&lt;&gt;"Serviço",AND(AUTOEVENTO="Manual",$M102=$A$15),$M102&gt;(ROW(PLE.lastrow)-ROW(PLE.firstrow))),0,
           IF(OFFSET(PLE!$G$15,$M102-$A$15,CL$13)="",10^12,OFFSET(PLE!$G$15,$M102-$A$15,CL$13)))</f>
        <v>1000000000000</v>
      </c>
      <c r="CM102" s="172">
        <f ca="1">IF(OR($D102&lt;&gt;"Serviço",AND(AUTOEVENTO="Manual",$M102=$A$15),$M102&gt;(ROW(PLE.lastrow)-ROW(PLE.firstrow))),0,
           IF(OFFSET(PLE!$G$15,$M102-$A$15,CM$13)="",10^12,OFFSET(PLE!$G$15,$M102-$A$15,CM$13)))</f>
        <v>1000000000000</v>
      </c>
    </row>
    <row r="103" spans="1:91" ht="13.2" x14ac:dyDescent="0.25">
      <c r="A103" s="7" t="str">
        <f t="shared" ca="1" si="11"/>
        <v>86</v>
      </c>
      <c r="B103" s="7" t="str">
        <f ca="1">OFFSET(ORÇAMENTO!C$15,ROW(B103)-ROW(B$15),0)</f>
        <v>S</v>
      </c>
      <c r="C103" s="7" t="str">
        <f ca="1">OFFSET(ORÇAMENTO!L$15,ROW(C103)-ROW(C$15),0)</f>
        <v>F</v>
      </c>
      <c r="D103" s="116" t="str">
        <f ca="1">OFFSET(ORÇAMENTO!N$15,ROW(D103)-ROW(D$15),0)</f>
        <v>Serviço</v>
      </c>
      <c r="E103" s="117" t="str">
        <f ca="1">OFFSET(ORÇAMENTO!O$15,ROW(E103)-ROW(E$15),0)</f>
        <v>3.2.2.</v>
      </c>
      <c r="F103" s="163" t="str">
        <f ca="1">OFFSET(ORÇAMENTO!R$15,ROW(F103)-ROW(F$15),0)</f>
        <v>Transporte com caminhão basculante de 10 m³ - rodovia pavimentada</v>
      </c>
      <c r="G103" s="164" t="str">
        <f ca="1">IF($D103&lt;&gt;"Serviço","",OFFSET(ORÇAMENTO!S$15,ROW(G103)-ROW(G$15),0))</f>
        <v>tkm</v>
      </c>
      <c r="H103" s="122" cm="1">
        <f t="array" aca="1" ref="H103" ca="1">IF($D103&lt;&gt;"Serviço",0,IF(ACOMPANHAMENTO="BM",ROUND(OFFSET(ORÇAMENTO!AJ$15,ROW(H103)-ROW(H$15),0),15-13*ORÇAMENTO!$AF$7),SUMPRODUCT(($Q$1:$AI$1=1)*ROUND($Q103:$AI103,15-13*ORÇAMENTO!$AF$7))))</f>
        <v>7749</v>
      </c>
      <c r="I103" s="468"/>
      <c r="J103" s="651" t="e" cm="1">
        <f t="array" aca="1" ref="J103" ca="1">IF(OR(B103&lt;&gt;"S",CÁLCULO.FrentesPreenchidas=0),"",IF(AND(ACOMPANHAMENTO="PLE",AUTOEVENTO="Manual",OR(H103&gt;0,ORÇAMENTO!AC103="QUANT."),OR(K103="",M103=0,N103="")),"►E",IF(AND(ACOMPANHAMENTO="PLE",ORÇAMENTO!AC103="QUANT."),"►Q",IF(AND(ACOMPANHAMENTO="PLE",H103&lt;&gt;SUMPRODUCT(($Q$1:$AI$1=1)*ROUND(Q103:AI103,15))),"►S",IF(AND(COUNTIF($P$11:$AI$11,"▼")=0,H103&gt;0,I103=""),"◄M","")))))</f>
        <v>#NAME?</v>
      </c>
      <c r="K103" s="652"/>
      <c r="L103" s="165" t="s">
        <v>764</v>
      </c>
      <c r="M103" s="166">
        <f ca="1">IF($D103&lt;&gt;"Serviço","",
          IF(AUTOEVENTO="manual",$A103,
                IF(ISERROR(MATCH($A103,$A$15:OFFSET($A103,-1,0),0)),MAX($M$15:OFFSET(M103,-1,0))+1,
                      INDEX($M$15:OFFSET(M103,-1,0),MATCH($A103,$A$15:OFFSET($A103,-1,0),0)))))</f>
        <v>15</v>
      </c>
      <c r="N103" s="167" t="str">
        <f ca="1">IF($D103&lt;&gt;"Serviço","",
         IF(AUTOEVENTO="Manual",
                IF($A103=0,"&lt;-- defina o número do agrupador",
                       OFFSET(EVENTOS!$D$15,$A103-$A$15,0)),
                OFFSET($F$15,$A103,0)))</f>
        <v>PAVIMENTAÇÃO</v>
      </c>
      <c r="O103" s="168"/>
      <c r="Q103" s="168"/>
      <c r="R103" s="169"/>
      <c r="S103" s="169"/>
      <c r="T103" s="169"/>
      <c r="U103" s="169">
        <f>U102*1.5*21</f>
        <v>7749</v>
      </c>
      <c r="V103" s="169"/>
      <c r="W103" s="169"/>
      <c r="X103" s="169"/>
      <c r="Y103" s="169"/>
      <c r="Z103" s="170"/>
      <c r="AA103" s="169"/>
      <c r="AB103" s="169"/>
      <c r="AC103" s="169"/>
      <c r="AD103" s="169"/>
      <c r="AE103" s="169"/>
      <c r="AF103" s="169"/>
      <c r="AG103" s="169"/>
      <c r="AH103" s="170"/>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L103" s="453">
        <f ca="1">IF(AND($D103="Serviço",AL$12&lt;&gt;0,$H103&gt;0,OR(AUTOEVENTO&lt;&gt;"manual",$M103&lt;&gt;$A$15)),
        IF(Import.TipoArredondamento&lt;&gt;"TransfereGOV",
              ROUND(OFFSET($P103,0,AL$13),15-13*ORÇAMENTO!$AF$7)/$H103*OFFSET(ORÇAMENTO!$X$15,ROW(AL103)-ROW(AL$15),0),
              ROUND(ROUND(OFFSET($P103,0,AL$13),15-13*ORÇAMENTO!$AF$7)*OFFSET(ORÇAMENTO!$W$15,ROW(AL103)-ROW(AL$15),0),15-13*ORÇAMENTO!$AF$11)),
         0)</f>
        <v>0</v>
      </c>
      <c r="AM103" s="453">
        <f ca="1">IF(AND($D103="Serviço",AM$12&lt;&gt;0,$H103&gt;0,OR(AUTOEVENTO&lt;&gt;"manual",$M103&lt;&gt;$A$15)),
        IF(Import.TipoArredondamento&lt;&gt;"TransfereGOV",
              ROUND(OFFSET($P103,0,AM$13),15-13*ORÇAMENTO!$AF$7)/$H103*OFFSET(ORÇAMENTO!$X$15,ROW(AM103)-ROW(AM$15),0),
              ROUND(ROUND(OFFSET($P103,0,AM$13),15-13*ORÇAMENTO!$AF$7)*OFFSET(ORÇAMENTO!$W$15,ROW(AM103)-ROW(AM$15),0),15-13*ORÇAMENTO!$AF$11)),
         0)</f>
        <v>0</v>
      </c>
      <c r="AN103" s="453">
        <f ca="1">IF(AND($D103="Serviço",AN$12&lt;&gt;0,$H103&gt;0,OR(AUTOEVENTO&lt;&gt;"manual",$M103&lt;&gt;$A$15)),
        IF(Import.TipoArredondamento&lt;&gt;"TransfereGOV",
              ROUND(OFFSET($P103,0,AN$13),15-13*ORÇAMENTO!$AF$7)/$H103*OFFSET(ORÇAMENTO!$X$15,ROW(AN103)-ROW(AN$15),0),
              ROUND(ROUND(OFFSET($P103,0,AN$13),15-13*ORÇAMENTO!$AF$7)*OFFSET(ORÇAMENTO!$W$15,ROW(AN103)-ROW(AN$15),0),15-13*ORÇAMENTO!$AF$11)),
         0)</f>
        <v>7826.49</v>
      </c>
      <c r="AO103" s="453">
        <f ca="1">IF(AND($D103="Serviço",AO$12&lt;&gt;0,$H103&gt;0,OR(AUTOEVENTO&lt;&gt;"manual",$M103&lt;&gt;$A$15)),
        IF(Import.TipoArredondamento&lt;&gt;"TransfereGOV",
              ROUND(OFFSET($P103,0,AO$13),15-13*ORÇAMENTO!$AF$7)/$H103*OFFSET(ORÇAMENTO!$X$15,ROW(AO103)-ROW(AO$15),0),
              ROUND(ROUND(OFFSET($P103,0,AO$13),15-13*ORÇAMENTO!$AF$7)*OFFSET(ORÇAMENTO!$W$15,ROW(AO103)-ROW(AO$15),0),15-13*ORÇAMENTO!$AF$11)),
         0)</f>
        <v>0</v>
      </c>
      <c r="AP103" s="453">
        <f ca="1">IF(AND($D103="Serviço",AP$12&lt;&gt;0,$H103&gt;0,OR(AUTOEVENTO&lt;&gt;"manual",$M103&lt;&gt;$A$15)),
        IF(Import.TipoArredondamento&lt;&gt;"TransfereGOV",
              ROUND(OFFSET($P103,0,AP$13),15-13*ORÇAMENTO!$AF$7)/$H103*OFFSET(ORÇAMENTO!$X$15,ROW(AP103)-ROW(AP$15),0),
              ROUND(ROUND(OFFSET($P103,0,AP$13),15-13*ORÇAMENTO!$AF$7)*OFFSET(ORÇAMENTO!$W$15,ROW(AP103)-ROW(AP$15),0),15-13*ORÇAMENTO!$AF$11)),
         0)</f>
        <v>0</v>
      </c>
      <c r="AQ103" s="453">
        <f ca="1">IF(AND($D103="Serviço",AQ$12&lt;&gt;0,$H103&gt;0,OR(AUTOEVENTO&lt;&gt;"manual",$M103&lt;&gt;$A$15)),
        IF(Import.TipoArredondamento&lt;&gt;"TransfereGOV",
              ROUND(OFFSET($P103,0,AQ$13),15-13*ORÇAMENTO!$AF$7)/$H103*OFFSET(ORÇAMENTO!$X$15,ROW(AQ103)-ROW(AQ$15),0),
              ROUND(ROUND(OFFSET($P103,0,AQ$13),15-13*ORÇAMENTO!$AF$7)*OFFSET(ORÇAMENTO!$W$15,ROW(AQ103)-ROW(AQ$15),0),15-13*ORÇAMENTO!$AF$11)),
         0)</f>
        <v>0</v>
      </c>
      <c r="AR103" s="453">
        <f ca="1">IF(AND($D103="Serviço",AR$12&lt;&gt;0,$H103&gt;0,OR(AUTOEVENTO&lt;&gt;"manual",$M103&lt;&gt;$A$15)),
        IF(Import.TipoArredondamento&lt;&gt;"TransfereGOV",
              ROUND(OFFSET($P103,0,AR$13),15-13*ORÇAMENTO!$AF$7)/$H103*OFFSET(ORÇAMENTO!$X$15,ROW(AR103)-ROW(AR$15),0),
              ROUND(ROUND(OFFSET($P103,0,AR$13),15-13*ORÇAMENTO!$AF$7)*OFFSET(ORÇAMENTO!$W$15,ROW(AR103)-ROW(AR$15),0),15-13*ORÇAMENTO!$AF$11)),
         0)</f>
        <v>0</v>
      </c>
      <c r="AS103" s="453">
        <f ca="1">IF(AND($D103="Serviço",AS$12&lt;&gt;0,$H103&gt;0,OR(AUTOEVENTO&lt;&gt;"manual",$M103&lt;&gt;$A$15)),
        IF(Import.TipoArredondamento&lt;&gt;"TransfereGOV",
              ROUND(OFFSET($P103,0,AS$13),15-13*ORÇAMENTO!$AF$7)/$H103*OFFSET(ORÇAMENTO!$X$15,ROW(AS103)-ROW(AS$15),0),
              ROUND(ROUND(OFFSET($P103,0,AS$13),15-13*ORÇAMENTO!$AF$7)*OFFSET(ORÇAMENTO!$W$15,ROW(AS103)-ROW(AS$15),0),15-13*ORÇAMENTO!$AF$11)),
         0)</f>
        <v>0</v>
      </c>
      <c r="AT103" s="453">
        <f ca="1">IF(AND($D103="Serviço",AT$12&lt;&gt;0,$H103&gt;0,OR(AUTOEVENTO&lt;&gt;"manual",$M103&lt;&gt;$A$15)),
        IF(Import.TipoArredondamento&lt;&gt;"TransfereGOV",
              ROUND(OFFSET($P103,0,AT$13),15-13*ORÇAMENTO!$AF$7)/$H103*OFFSET(ORÇAMENTO!$X$15,ROW(AT103)-ROW(AT$15),0),
              ROUND(ROUND(OFFSET($P103,0,AT$13),15-13*ORÇAMENTO!$AF$7)*OFFSET(ORÇAMENTO!$W$15,ROW(AT103)-ROW(AT$15),0),15-13*ORÇAMENTO!$AF$11)),
         0)</f>
        <v>0</v>
      </c>
      <c r="AU103" s="453">
        <f ca="1">IF(AND($D103="Serviço",AU$12&lt;&gt;0,$H103&gt;0,OR(AUTOEVENTO&lt;&gt;"manual",$M103&lt;&gt;$A$15)),
        IF(Import.TipoArredondamento&lt;&gt;"TransfereGOV",
              ROUND(OFFSET($P103,0,AU$13),15-13*ORÇAMENTO!$AF$7)/$H103*OFFSET(ORÇAMENTO!$X$15,ROW(AU103)-ROW(AU$15),0),
              ROUND(ROUND(OFFSET($P103,0,AU$13),15-13*ORÇAMENTO!$AF$7)*OFFSET(ORÇAMENTO!$W$15,ROW(AU103)-ROW(AU$15),0),15-13*ORÇAMENTO!$AF$11)),
         0)</f>
        <v>0</v>
      </c>
      <c r="AV103" s="453">
        <f ca="1">IF(AND($D103="Serviço",AV$12&lt;&gt;0,$H103&gt;0,OR(AUTOEVENTO&lt;&gt;"manual",$M103&lt;&gt;$A$15)),
        IF(Import.TipoArredondamento&lt;&gt;"TransfereGOV",
              ROUND(OFFSET($P103,0,AV$13),15-13*ORÇAMENTO!$AF$7)/$H103*OFFSET(ORÇAMENTO!$X$15,ROW(AV103)-ROW(AV$15),0),
              ROUND(ROUND(OFFSET($P103,0,AV$13),15-13*ORÇAMENTO!$AF$7)*OFFSET(ORÇAMENTO!$W$15,ROW(AV103)-ROW(AV$15),0),15-13*ORÇAMENTO!$AF$11)),
         0)</f>
        <v>0</v>
      </c>
      <c r="AW103" s="453">
        <f ca="1">IF(AND($D103="Serviço",AW$12&lt;&gt;0,$H103&gt;0,OR(AUTOEVENTO&lt;&gt;"manual",$M103&lt;&gt;$A$15)),
        IF(Import.TipoArredondamento&lt;&gt;"TransfereGOV",
              ROUND(OFFSET($P103,0,AW$13),15-13*ORÇAMENTO!$AF$7)/$H103*OFFSET(ORÇAMENTO!$X$15,ROW(AW103)-ROW(AW$15),0),
              ROUND(ROUND(OFFSET($P103,0,AW$13),15-13*ORÇAMENTO!$AF$7)*OFFSET(ORÇAMENTO!$W$15,ROW(AW103)-ROW(AW$15),0),15-13*ORÇAMENTO!$AF$11)),
         0)</f>
        <v>0</v>
      </c>
      <c r="AX103" s="453">
        <f ca="1">IF(AND($D103="Serviço",AX$12&lt;&gt;0,$H103&gt;0,OR(AUTOEVENTO&lt;&gt;"manual",$M103&lt;&gt;$A$15)),
        IF(Import.TipoArredondamento&lt;&gt;"TransfereGOV",
              ROUND(OFFSET($P103,0,AX$13),15-13*ORÇAMENTO!$AF$7)/$H103*OFFSET(ORÇAMENTO!$X$15,ROW(AX103)-ROW(AX$15),0),
              ROUND(ROUND(OFFSET($P103,0,AX$13),15-13*ORÇAMENTO!$AF$7)*OFFSET(ORÇAMENTO!$W$15,ROW(AX103)-ROW(AX$15),0),15-13*ORÇAMENTO!$AF$11)),
         0)</f>
        <v>0</v>
      </c>
      <c r="AY103" s="453">
        <f ca="1">IF(AND($D103="Serviço",AY$12&lt;&gt;0,$H103&gt;0,OR(AUTOEVENTO&lt;&gt;"manual",$M103&lt;&gt;$A$15)),
        IF(Import.TipoArredondamento&lt;&gt;"TransfereGOV",
              ROUND(OFFSET($P103,0,AY$13),15-13*ORÇAMENTO!$AF$7)/$H103*OFFSET(ORÇAMENTO!$X$15,ROW(AY103)-ROW(AY$15),0),
              ROUND(ROUND(OFFSET($P103,0,AY$13),15-13*ORÇAMENTO!$AF$7)*OFFSET(ORÇAMENTO!$W$15,ROW(AY103)-ROW(AY$15),0),15-13*ORÇAMENTO!$AF$11)),
         0)</f>
        <v>0</v>
      </c>
      <c r="AZ103" s="453">
        <f ca="1">IF(AND($D103="Serviço",AZ$12&lt;&gt;0,$H103&gt;0,OR(AUTOEVENTO&lt;&gt;"manual",$M103&lt;&gt;$A$15)),
        IF(Import.TipoArredondamento&lt;&gt;"TransfereGOV",
              ROUND(OFFSET($P103,0,AZ$13),15-13*ORÇAMENTO!$AF$7)/$H103*OFFSET(ORÇAMENTO!$X$15,ROW(AZ103)-ROW(AZ$15),0),
              ROUND(ROUND(OFFSET($P103,0,AZ$13),15-13*ORÇAMENTO!$AF$7)*OFFSET(ORÇAMENTO!$W$15,ROW(AZ103)-ROW(AZ$15),0),15-13*ORÇAMENTO!$AF$11)),
         0)</f>
        <v>0</v>
      </c>
      <c r="BA103" s="453">
        <f ca="1">IF(AND($D103="Serviço",BA$12&lt;&gt;0,$H103&gt;0,OR(AUTOEVENTO&lt;&gt;"manual",$M103&lt;&gt;$A$15)),
        IF(Import.TipoArredondamento&lt;&gt;"TransfereGOV",
              ROUND(OFFSET($P103,0,BA$13),15-13*ORÇAMENTO!$AF$7)/$H103*OFFSET(ORÇAMENTO!$X$15,ROW(BA103)-ROW(BA$15),0),
              ROUND(ROUND(OFFSET($P103,0,BA$13),15-13*ORÇAMENTO!$AF$7)*OFFSET(ORÇAMENTO!$W$15,ROW(BA103)-ROW(BA$15),0),15-13*ORÇAMENTO!$AF$11)),
         0)</f>
        <v>0</v>
      </c>
      <c r="BC103" s="171">
        <f ca="1">IF(OR($D103&lt;&gt;"Serviço",AND(AUTOEVENTO="Manual",$M103=$A$15)),0,
         IF(OFFSET(CRONOPLE!$F$15,$M103-$A$15,BC$13)=0,10^12,OFFSET(CRONOPLE!$F$15,$M103-$A$15,BC$13)))</f>
        <v>1000000000000</v>
      </c>
      <c r="BD103" s="171">
        <f ca="1">IF(OR($D103&lt;&gt;"Serviço",AND(AUTOEVENTO="Manual",$M103=$A$15)),0,
         IF(OFFSET(CRONOPLE!$F$15,$M103-$A$15,BD$13)=0,10^12,OFFSET(CRONOPLE!$F$15,$M103-$A$15,BD$13)))</f>
        <v>1000000000000</v>
      </c>
      <c r="BE103" s="171">
        <f ca="1">IF(OR($D103&lt;&gt;"Serviço",AND(AUTOEVENTO="Manual",$M103=$A$15)),0,
         IF(OFFSET(CRONOPLE!$F$15,$M103-$A$15,BE$13)=0,10^12,OFFSET(CRONOPLE!$F$15,$M103-$A$15,BE$13)))</f>
        <v>1000000000000</v>
      </c>
      <c r="BF103" s="171">
        <f ca="1">IF(OR($D103&lt;&gt;"Serviço",AND(AUTOEVENTO="Manual",$M103=$A$15)),0,
         IF(OFFSET(CRONOPLE!$F$15,$M103-$A$15,BF$13)=0,10^12,OFFSET(CRONOPLE!$F$15,$M103-$A$15,BF$13)))</f>
        <v>1000000000000</v>
      </c>
      <c r="BG103" s="171">
        <f ca="1">IF(OR($D103&lt;&gt;"Serviço",AND(AUTOEVENTO="Manual",$M103=$A$15)),0,
         IF(OFFSET(CRONOPLE!$F$15,$M103-$A$15,BG$13)=0,10^12,OFFSET(CRONOPLE!$F$15,$M103-$A$15,BG$13)))</f>
        <v>4</v>
      </c>
      <c r="BH103" s="171">
        <f ca="1">IF(OR($D103&lt;&gt;"Serviço",AND(AUTOEVENTO="Manual",$M103=$A$15)),0,
         IF(OFFSET(CRONOPLE!$F$15,$M103-$A$15,BH$13)=0,10^12,OFFSET(CRONOPLE!$F$15,$M103-$A$15,BH$13)))</f>
        <v>1000000000000</v>
      </c>
      <c r="BI103" s="171">
        <f ca="1">IF(OR($D103&lt;&gt;"Serviço",AND(AUTOEVENTO="Manual",$M103=$A$15)),0,
         IF(OFFSET(CRONOPLE!$F$15,$M103-$A$15,BI$13)=0,10^12,OFFSET(CRONOPLE!$F$15,$M103-$A$15,BI$13)))</f>
        <v>1000000000000</v>
      </c>
      <c r="BJ103" s="171">
        <f ca="1">IF(OR($D103&lt;&gt;"Serviço",AND(AUTOEVENTO="Manual",$M103=$A$15)),0,
         IF(OFFSET(CRONOPLE!$F$15,$M103-$A$15,BJ$13)=0,10^12,OFFSET(CRONOPLE!$F$15,$M103-$A$15,BJ$13)))</f>
        <v>1000000000000</v>
      </c>
      <c r="BK103" s="171">
        <f ca="1">IF(OR($D103&lt;&gt;"Serviço",AND(AUTOEVENTO="Manual",$M103=$A$15)),0,
         IF(OFFSET(CRONOPLE!$F$15,$M103-$A$15,BK$13)=0,10^12,OFFSET(CRONOPLE!$F$15,$M103-$A$15,BK$13)))</f>
        <v>1000000000000</v>
      </c>
      <c r="BL103" s="171">
        <f ca="1">IF(OR($D103&lt;&gt;"Serviço",AND(AUTOEVENTO="Manual",$M103=$A$15)),0,
         IF(OFFSET(CRONOPLE!$F$15,$M103-$A$15,BL$13)=0,10^12,OFFSET(CRONOPLE!$F$15,$M103-$A$15,BL$13)))</f>
        <v>1000000000000</v>
      </c>
      <c r="BM103" s="171">
        <f ca="1">IF(OR($D103&lt;&gt;"Serviço",AND(AUTOEVENTO="Manual",$M103=$A$15)),0,
         IF(OFFSET(CRONOPLE!$F$15,$M103-$A$15,BM$13)=0,10^12,OFFSET(CRONOPLE!$F$15,$M103-$A$15,BM$13)))</f>
        <v>1000000000000</v>
      </c>
      <c r="BN103" s="171">
        <f ca="1">IF(OR($D103&lt;&gt;"Serviço",AND(AUTOEVENTO="Manual",$M103=$A$15)),0,
         IF(OFFSET(CRONOPLE!$F$15,$M103-$A$15,BN$13)=0,10^12,OFFSET(CRONOPLE!$F$15,$M103-$A$15,BN$13)))</f>
        <v>1000000000000</v>
      </c>
      <c r="BO103" s="171">
        <f ca="1">IF(OR($D103&lt;&gt;"Serviço",AND(AUTOEVENTO="Manual",$M103=$A$15)),0,
         IF(OFFSET(CRONOPLE!$F$15,$M103-$A$15,BO$13)=0,10^12,OFFSET(CRONOPLE!$F$15,$M103-$A$15,BO$13)))</f>
        <v>1000000000000</v>
      </c>
      <c r="BP103" s="171">
        <f ca="1">IF(OR($D103&lt;&gt;"Serviço",AND(AUTOEVENTO="Manual",$M103=$A$15)),0,
         IF(OFFSET(CRONOPLE!$F$15,$M103-$A$15,BP$13)=0,10^12,OFFSET(CRONOPLE!$F$15,$M103-$A$15,BP$13)))</f>
        <v>1000000000000</v>
      </c>
      <c r="BQ103" s="171">
        <f ca="1">IF(OR($D103&lt;&gt;"Serviço",AND(AUTOEVENTO="Manual",$M103=$A$15)),0,
         IF(OFFSET(CRONOPLE!$F$15,$M103-$A$15,BQ$13)=0,10^12,OFFSET(CRONOPLE!$F$15,$M103-$A$15,BQ$13)))</f>
        <v>1000000000000</v>
      </c>
      <c r="BR103" s="171">
        <f ca="1">IF(OR($D103&lt;&gt;"Serviço",AND(AUTOEVENTO="Manual",$M103=$A$15)),0,
         IF(OFFSET(CRONOPLE!$F$15,$M103-$A$15,BR$13)=0,10^12,OFFSET(CRONOPLE!$F$15,$M103-$A$15,BR$13)))</f>
        <v>1000000000000</v>
      </c>
      <c r="BS103" s="171">
        <f ca="1">IF(OR($D103&lt;&gt;"Serviço",AND(AUTOEVENTO="Manual",$M103=$A$15)),0,
         IF(OFFSET(CRONOPLE!$F$15,$M103-$A$15,BS$13)=0,10^12,OFFSET(CRONOPLE!$F$15,$M103-$A$15,BS$13)))</f>
        <v>1000000000000</v>
      </c>
      <c r="BT103" s="171">
        <f ca="1">IF(OR($D103&lt;&gt;"Serviço",AND(AUTOEVENTO="Manual",$M103=$A$15)),0,
         IF(OFFSET(CRONOPLE!$F$15,$M103-$A$15,BT$13)=0,10^12,OFFSET(CRONOPLE!$F$15,$M103-$A$15,BT$13)))</f>
        <v>1000000000000</v>
      </c>
      <c r="BV103" s="172">
        <f ca="1">IF(OR($D103&lt;&gt;"Serviço",AND(AUTOEVENTO="Manual",$M103=$A$15),$M103&gt;(ROW(PLE.lastrow)-ROW(PLE.firstrow))),0,
           IF(OFFSET(PLE!$G$15,$M103-$A$15,BV$13)="",10^12,OFFSET(PLE!$G$15,$M103-$A$15,BV$13)))</f>
        <v>1000000000000</v>
      </c>
      <c r="BW103" s="172">
        <f ca="1">IF(OR($D103&lt;&gt;"Serviço",AND(AUTOEVENTO="Manual",$M103=$A$15),$M103&gt;(ROW(PLE.lastrow)-ROW(PLE.firstrow))),0,
           IF(OFFSET(PLE!$G$15,$M103-$A$15,BW$13)="",10^12,OFFSET(PLE!$G$15,$M103-$A$15,BW$13)))</f>
        <v>1000000000000</v>
      </c>
      <c r="BX103" s="172">
        <f ca="1">IF(OR($D103&lt;&gt;"Serviço",AND(AUTOEVENTO="Manual",$M103=$A$15),$M103&gt;(ROW(PLE.lastrow)-ROW(PLE.firstrow))),0,
           IF(OFFSET(PLE!$G$15,$M103-$A$15,BX$13)="",10^12,OFFSET(PLE!$G$15,$M103-$A$15,BX$13)))</f>
        <v>1000000000000</v>
      </c>
      <c r="BY103" s="172">
        <f ca="1">IF(OR($D103&lt;&gt;"Serviço",AND(AUTOEVENTO="Manual",$M103=$A$15),$M103&gt;(ROW(PLE.lastrow)-ROW(PLE.firstrow))),0,
           IF(OFFSET(PLE!$G$15,$M103-$A$15,BY$13)="",10^12,OFFSET(PLE!$G$15,$M103-$A$15,BY$13)))</f>
        <v>1000000000000</v>
      </c>
      <c r="BZ103" s="172">
        <f ca="1">IF(OR($D103&lt;&gt;"Serviço",AND(AUTOEVENTO="Manual",$M103=$A$15),$M103&gt;(ROW(PLE.lastrow)-ROW(PLE.firstrow))),0,
           IF(OFFSET(PLE!$G$15,$M103-$A$15,BZ$13)="",10^12,OFFSET(PLE!$G$15,$M103-$A$15,BZ$13)))</f>
        <v>1000000000000</v>
      </c>
      <c r="CA103" s="172">
        <f ca="1">IF(OR($D103&lt;&gt;"Serviço",AND(AUTOEVENTO="Manual",$M103=$A$15),$M103&gt;(ROW(PLE.lastrow)-ROW(PLE.firstrow))),0,
           IF(OFFSET(PLE!$G$15,$M103-$A$15,CA$13)="",10^12,OFFSET(PLE!$G$15,$M103-$A$15,CA$13)))</f>
        <v>1000000000000</v>
      </c>
      <c r="CB103" s="172">
        <f ca="1">IF(OR($D103&lt;&gt;"Serviço",AND(AUTOEVENTO="Manual",$M103=$A$15),$M103&gt;(ROW(PLE.lastrow)-ROW(PLE.firstrow))),0,
           IF(OFFSET(PLE!$G$15,$M103-$A$15,CB$13)="",10^12,OFFSET(PLE!$G$15,$M103-$A$15,CB$13)))</f>
        <v>1000000000000</v>
      </c>
      <c r="CC103" s="172">
        <f ca="1">IF(OR($D103&lt;&gt;"Serviço",AND(AUTOEVENTO="Manual",$M103=$A$15),$M103&gt;(ROW(PLE.lastrow)-ROW(PLE.firstrow))),0,
           IF(OFFSET(PLE!$G$15,$M103-$A$15,CC$13)="",10^12,OFFSET(PLE!$G$15,$M103-$A$15,CC$13)))</f>
        <v>1000000000000</v>
      </c>
      <c r="CD103" s="172">
        <f ca="1">IF(OR($D103&lt;&gt;"Serviço",AND(AUTOEVENTO="Manual",$M103=$A$15),$M103&gt;(ROW(PLE.lastrow)-ROW(PLE.firstrow))),0,
           IF(OFFSET(PLE!$G$15,$M103-$A$15,CD$13)="",10^12,OFFSET(PLE!$G$15,$M103-$A$15,CD$13)))</f>
        <v>1000000000000</v>
      </c>
      <c r="CE103" s="172">
        <f ca="1">IF(OR($D103&lt;&gt;"Serviço",AND(AUTOEVENTO="Manual",$M103=$A$15),$M103&gt;(ROW(PLE.lastrow)-ROW(PLE.firstrow))),0,
           IF(OFFSET(PLE!$G$15,$M103-$A$15,CE$13)="",10^12,OFFSET(PLE!$G$15,$M103-$A$15,CE$13)))</f>
        <v>1000000000000</v>
      </c>
      <c r="CF103" s="172">
        <f ca="1">IF(OR($D103&lt;&gt;"Serviço",AND(AUTOEVENTO="Manual",$M103=$A$15),$M103&gt;(ROW(PLE.lastrow)-ROW(PLE.firstrow))),0,
           IF(OFFSET(PLE!$G$15,$M103-$A$15,CF$13)="",10^12,OFFSET(PLE!$G$15,$M103-$A$15,CF$13)))</f>
        <v>1000000000000</v>
      </c>
      <c r="CG103" s="172">
        <f ca="1">IF(OR($D103&lt;&gt;"Serviço",AND(AUTOEVENTO="Manual",$M103=$A$15),$M103&gt;(ROW(PLE.lastrow)-ROW(PLE.firstrow))),0,
           IF(OFFSET(PLE!$G$15,$M103-$A$15,CG$13)="",10^12,OFFSET(PLE!$G$15,$M103-$A$15,CG$13)))</f>
        <v>1000000000000</v>
      </c>
      <c r="CH103" s="172">
        <f ca="1">IF(OR($D103&lt;&gt;"Serviço",AND(AUTOEVENTO="Manual",$M103=$A$15),$M103&gt;(ROW(PLE.lastrow)-ROW(PLE.firstrow))),0,
           IF(OFFSET(PLE!$G$15,$M103-$A$15,CH$13)="",10^12,OFFSET(PLE!$G$15,$M103-$A$15,CH$13)))</f>
        <v>1000000000000</v>
      </c>
      <c r="CI103" s="172">
        <f ca="1">IF(OR($D103&lt;&gt;"Serviço",AND(AUTOEVENTO="Manual",$M103=$A$15),$M103&gt;(ROW(PLE.lastrow)-ROW(PLE.firstrow))),0,
           IF(OFFSET(PLE!$G$15,$M103-$A$15,CI$13)="",10^12,OFFSET(PLE!$G$15,$M103-$A$15,CI$13)))</f>
        <v>1000000000000</v>
      </c>
      <c r="CJ103" s="172">
        <f ca="1">IF(OR($D103&lt;&gt;"Serviço",AND(AUTOEVENTO="Manual",$M103=$A$15),$M103&gt;(ROW(PLE.lastrow)-ROW(PLE.firstrow))),0,
           IF(OFFSET(PLE!$G$15,$M103-$A$15,CJ$13)="",10^12,OFFSET(PLE!$G$15,$M103-$A$15,CJ$13)))</f>
        <v>1000000000000</v>
      </c>
      <c r="CK103" s="172">
        <f ca="1">IF(OR($D103&lt;&gt;"Serviço",AND(AUTOEVENTO="Manual",$M103=$A$15),$M103&gt;(ROW(PLE.lastrow)-ROW(PLE.firstrow))),0,
           IF(OFFSET(PLE!$G$15,$M103-$A$15,CK$13)="",10^12,OFFSET(PLE!$G$15,$M103-$A$15,CK$13)))</f>
        <v>1000000000000</v>
      </c>
      <c r="CL103" s="172">
        <f ca="1">IF(OR($D103&lt;&gt;"Serviço",AND(AUTOEVENTO="Manual",$M103=$A$15),$M103&gt;(ROW(PLE.lastrow)-ROW(PLE.firstrow))),0,
           IF(OFFSET(PLE!$G$15,$M103-$A$15,CL$13)="",10^12,OFFSET(PLE!$G$15,$M103-$A$15,CL$13)))</f>
        <v>1000000000000</v>
      </c>
      <c r="CM103" s="172">
        <f ca="1">IF(OR($D103&lt;&gt;"Serviço",AND(AUTOEVENTO="Manual",$M103=$A$15),$M103&gt;(ROW(PLE.lastrow)-ROW(PLE.firstrow))),0,
           IF(OFFSET(PLE!$G$15,$M103-$A$15,CM$13)="",10^12,OFFSET(PLE!$G$15,$M103-$A$15,CM$13)))</f>
        <v>1000000000000</v>
      </c>
    </row>
    <row r="104" spans="1:91" ht="26.4" x14ac:dyDescent="0.25">
      <c r="A104" s="7" t="str">
        <f t="shared" ca="1" si="11"/>
        <v>86</v>
      </c>
      <c r="B104" s="7" t="str">
        <f ca="1">OFFSET(ORÇAMENTO!C$15,ROW(B104)-ROW(B$15),0)</f>
        <v>S</v>
      </c>
      <c r="C104" s="7" t="str">
        <f ca="1">OFFSET(ORÇAMENTO!L$15,ROW(C104)-ROW(C$15),0)</f>
        <v>F</v>
      </c>
      <c r="D104" s="116" t="str">
        <f ca="1">OFFSET(ORÇAMENTO!N$15,ROW(D104)-ROW(D$15),0)</f>
        <v>Serviço</v>
      </c>
      <c r="E104" s="117" t="str">
        <f ca="1">OFFSET(ORÇAMENTO!O$15,ROW(E104)-ROW(E$15),0)</f>
        <v>3.2.3.</v>
      </c>
      <c r="F104" s="163" t="str">
        <f ca="1">OFFSET(ORÇAMENTO!R$15,ROW(F104)-ROW(F$15),0)</f>
        <v>Base ou sub-base de brita graduada com brita comercial - 100% Proctor modificado</v>
      </c>
      <c r="G104" s="164" t="str">
        <f ca="1">IF($D104&lt;&gt;"Serviço","",OFFSET(ORÇAMENTO!S$15,ROW(G104)-ROW(G$15),0))</f>
        <v>m³</v>
      </c>
      <c r="H104" s="122" cm="1">
        <f t="array" aca="1" ref="H104" ca="1">IF($D104&lt;&gt;"Serviço",0,IF(ACOMPANHAMENTO="BM",ROUND(OFFSET(ORÇAMENTO!AJ$15,ROW(H104)-ROW(H$15),0),15-13*ORÇAMENTO!$AF$7),SUMPRODUCT(($Q$1:$AI$1=1)*ROUND($Q104:$AI104,15-13*ORÇAMENTO!$AF$7))))</f>
        <v>196.8</v>
      </c>
      <c r="I104" s="468"/>
      <c r="J104" s="651" t="e" cm="1">
        <f t="array" aca="1" ref="J104" ca="1">IF(OR(B104&lt;&gt;"S",CÁLCULO.FrentesPreenchidas=0),"",IF(AND(ACOMPANHAMENTO="PLE",AUTOEVENTO="Manual",OR(H104&gt;0,ORÇAMENTO!AC104="QUANT."),OR(K104="",M104=0,N104="")),"►E",IF(AND(ACOMPANHAMENTO="PLE",ORÇAMENTO!AC104="QUANT."),"►Q",IF(AND(ACOMPANHAMENTO="PLE",H104&lt;&gt;SUMPRODUCT(($Q$1:$AI$1=1)*ROUND(Q104:AI104,15))),"►S",IF(AND(COUNTIF($P$11:$AI$11,"▼")=0,H104&gt;0,I104=""),"◄M","")))))</f>
        <v>#NAME?</v>
      </c>
      <c r="K104" s="652"/>
      <c r="L104" s="165" t="s">
        <v>764</v>
      </c>
      <c r="M104" s="166">
        <f ca="1">IF($D104&lt;&gt;"Serviço","",
          IF(AUTOEVENTO="manual",$A104,
                IF(ISERROR(MATCH($A104,$A$15:OFFSET($A104,-1,0),0)),MAX($M$15:OFFSET(M104,-1,0))+1,
                      INDEX($M$15:OFFSET(M104,-1,0),MATCH($A104,$A$15:OFFSET($A104,-1,0),0)))))</f>
        <v>15</v>
      </c>
      <c r="N104" s="167" t="str">
        <f ca="1">IF($D104&lt;&gt;"Serviço","",
         IF(AUTOEVENTO="Manual",
                IF($A104=0,"&lt;-- defina o número do agrupador",
                       OFFSET(EVENTOS!$D$15,$A104-$A$15,0)),
                OFFSET($F$15,$A104,0)))</f>
        <v>PAVIMENTAÇÃO</v>
      </c>
      <c r="O104" s="168"/>
      <c r="Q104" s="168"/>
      <c r="R104" s="169"/>
      <c r="S104" s="169"/>
      <c r="T104" s="169"/>
      <c r="U104" s="169">
        <f>1640*0.12</f>
        <v>196.79999999999998</v>
      </c>
      <c r="V104" s="169"/>
      <c r="W104" s="169"/>
      <c r="X104" s="169"/>
      <c r="Y104" s="169"/>
      <c r="Z104" s="170"/>
      <c r="AA104" s="169"/>
      <c r="AB104" s="169"/>
      <c r="AC104" s="169"/>
      <c r="AD104" s="169"/>
      <c r="AE104" s="169"/>
      <c r="AF104" s="169"/>
      <c r="AG104" s="169"/>
      <c r="AH104" s="170"/>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L104" s="453">
        <f ca="1">IF(AND($D104="Serviço",AL$12&lt;&gt;0,$H104&gt;0,OR(AUTOEVENTO&lt;&gt;"manual",$M104&lt;&gt;$A$15)),
        IF(Import.TipoArredondamento&lt;&gt;"TransfereGOV",
              ROUND(OFFSET($P104,0,AL$13),15-13*ORÇAMENTO!$AF$7)/$H104*OFFSET(ORÇAMENTO!$X$15,ROW(AL104)-ROW(AL$15),0),
              ROUND(ROUND(OFFSET($P104,0,AL$13),15-13*ORÇAMENTO!$AF$7)*OFFSET(ORÇAMENTO!$W$15,ROW(AL104)-ROW(AL$15),0),15-13*ORÇAMENTO!$AF$11)),
         0)</f>
        <v>0</v>
      </c>
      <c r="AM104" s="453">
        <f ca="1">IF(AND($D104="Serviço",AM$12&lt;&gt;0,$H104&gt;0,OR(AUTOEVENTO&lt;&gt;"manual",$M104&lt;&gt;$A$15)),
        IF(Import.TipoArredondamento&lt;&gt;"TransfereGOV",
              ROUND(OFFSET($P104,0,AM$13),15-13*ORÇAMENTO!$AF$7)/$H104*OFFSET(ORÇAMENTO!$X$15,ROW(AM104)-ROW(AM$15),0),
              ROUND(ROUND(OFFSET($P104,0,AM$13),15-13*ORÇAMENTO!$AF$7)*OFFSET(ORÇAMENTO!$W$15,ROW(AM104)-ROW(AM$15),0),15-13*ORÇAMENTO!$AF$11)),
         0)</f>
        <v>0</v>
      </c>
      <c r="AN104" s="453">
        <f ca="1">IF(AND($D104="Serviço",AN$12&lt;&gt;0,$H104&gt;0,OR(AUTOEVENTO&lt;&gt;"manual",$M104&lt;&gt;$A$15)),
        IF(Import.TipoArredondamento&lt;&gt;"TransfereGOV",
              ROUND(OFFSET($P104,0,AN$13),15-13*ORÇAMENTO!$AF$7)/$H104*OFFSET(ORÇAMENTO!$X$15,ROW(AN104)-ROW(AN$15),0),
              ROUND(ROUND(OFFSET($P104,0,AN$13),15-13*ORÇAMENTO!$AF$7)*OFFSET(ORÇAMENTO!$W$15,ROW(AN104)-ROW(AN$15),0),15-13*ORÇAMENTO!$AF$11)),
         0)</f>
        <v>57408.53</v>
      </c>
      <c r="AO104" s="453">
        <f ca="1">IF(AND($D104="Serviço",AO$12&lt;&gt;0,$H104&gt;0,OR(AUTOEVENTO&lt;&gt;"manual",$M104&lt;&gt;$A$15)),
        IF(Import.TipoArredondamento&lt;&gt;"TransfereGOV",
              ROUND(OFFSET($P104,0,AO$13),15-13*ORÇAMENTO!$AF$7)/$H104*OFFSET(ORÇAMENTO!$X$15,ROW(AO104)-ROW(AO$15),0),
              ROUND(ROUND(OFFSET($P104,0,AO$13),15-13*ORÇAMENTO!$AF$7)*OFFSET(ORÇAMENTO!$W$15,ROW(AO104)-ROW(AO$15),0),15-13*ORÇAMENTO!$AF$11)),
         0)</f>
        <v>0</v>
      </c>
      <c r="AP104" s="453">
        <f ca="1">IF(AND($D104="Serviço",AP$12&lt;&gt;0,$H104&gt;0,OR(AUTOEVENTO&lt;&gt;"manual",$M104&lt;&gt;$A$15)),
        IF(Import.TipoArredondamento&lt;&gt;"TransfereGOV",
              ROUND(OFFSET($P104,0,AP$13),15-13*ORÇAMENTO!$AF$7)/$H104*OFFSET(ORÇAMENTO!$X$15,ROW(AP104)-ROW(AP$15),0),
              ROUND(ROUND(OFFSET($P104,0,AP$13),15-13*ORÇAMENTO!$AF$7)*OFFSET(ORÇAMENTO!$W$15,ROW(AP104)-ROW(AP$15),0),15-13*ORÇAMENTO!$AF$11)),
         0)</f>
        <v>0</v>
      </c>
      <c r="AQ104" s="453">
        <f ca="1">IF(AND($D104="Serviço",AQ$12&lt;&gt;0,$H104&gt;0,OR(AUTOEVENTO&lt;&gt;"manual",$M104&lt;&gt;$A$15)),
        IF(Import.TipoArredondamento&lt;&gt;"TransfereGOV",
              ROUND(OFFSET($P104,0,AQ$13),15-13*ORÇAMENTO!$AF$7)/$H104*OFFSET(ORÇAMENTO!$X$15,ROW(AQ104)-ROW(AQ$15),0),
              ROUND(ROUND(OFFSET($P104,0,AQ$13),15-13*ORÇAMENTO!$AF$7)*OFFSET(ORÇAMENTO!$W$15,ROW(AQ104)-ROW(AQ$15),0),15-13*ORÇAMENTO!$AF$11)),
         0)</f>
        <v>0</v>
      </c>
      <c r="AR104" s="453">
        <f ca="1">IF(AND($D104="Serviço",AR$12&lt;&gt;0,$H104&gt;0,OR(AUTOEVENTO&lt;&gt;"manual",$M104&lt;&gt;$A$15)),
        IF(Import.TipoArredondamento&lt;&gt;"TransfereGOV",
              ROUND(OFFSET($P104,0,AR$13),15-13*ORÇAMENTO!$AF$7)/$H104*OFFSET(ORÇAMENTO!$X$15,ROW(AR104)-ROW(AR$15),0),
              ROUND(ROUND(OFFSET($P104,0,AR$13),15-13*ORÇAMENTO!$AF$7)*OFFSET(ORÇAMENTO!$W$15,ROW(AR104)-ROW(AR$15),0),15-13*ORÇAMENTO!$AF$11)),
         0)</f>
        <v>0</v>
      </c>
      <c r="AS104" s="453">
        <f ca="1">IF(AND($D104="Serviço",AS$12&lt;&gt;0,$H104&gt;0,OR(AUTOEVENTO&lt;&gt;"manual",$M104&lt;&gt;$A$15)),
        IF(Import.TipoArredondamento&lt;&gt;"TransfereGOV",
              ROUND(OFFSET($P104,0,AS$13),15-13*ORÇAMENTO!$AF$7)/$H104*OFFSET(ORÇAMENTO!$X$15,ROW(AS104)-ROW(AS$15),0),
              ROUND(ROUND(OFFSET($P104,0,AS$13),15-13*ORÇAMENTO!$AF$7)*OFFSET(ORÇAMENTO!$W$15,ROW(AS104)-ROW(AS$15),0),15-13*ORÇAMENTO!$AF$11)),
         0)</f>
        <v>0</v>
      </c>
      <c r="AT104" s="453">
        <f ca="1">IF(AND($D104="Serviço",AT$12&lt;&gt;0,$H104&gt;0,OR(AUTOEVENTO&lt;&gt;"manual",$M104&lt;&gt;$A$15)),
        IF(Import.TipoArredondamento&lt;&gt;"TransfereGOV",
              ROUND(OFFSET($P104,0,AT$13),15-13*ORÇAMENTO!$AF$7)/$H104*OFFSET(ORÇAMENTO!$X$15,ROW(AT104)-ROW(AT$15),0),
              ROUND(ROUND(OFFSET($P104,0,AT$13),15-13*ORÇAMENTO!$AF$7)*OFFSET(ORÇAMENTO!$W$15,ROW(AT104)-ROW(AT$15),0),15-13*ORÇAMENTO!$AF$11)),
         0)</f>
        <v>0</v>
      </c>
      <c r="AU104" s="453">
        <f ca="1">IF(AND($D104="Serviço",AU$12&lt;&gt;0,$H104&gt;0,OR(AUTOEVENTO&lt;&gt;"manual",$M104&lt;&gt;$A$15)),
        IF(Import.TipoArredondamento&lt;&gt;"TransfereGOV",
              ROUND(OFFSET($P104,0,AU$13),15-13*ORÇAMENTO!$AF$7)/$H104*OFFSET(ORÇAMENTO!$X$15,ROW(AU104)-ROW(AU$15),0),
              ROUND(ROUND(OFFSET($P104,0,AU$13),15-13*ORÇAMENTO!$AF$7)*OFFSET(ORÇAMENTO!$W$15,ROW(AU104)-ROW(AU$15),0),15-13*ORÇAMENTO!$AF$11)),
         0)</f>
        <v>0</v>
      </c>
      <c r="AV104" s="453">
        <f ca="1">IF(AND($D104="Serviço",AV$12&lt;&gt;0,$H104&gt;0,OR(AUTOEVENTO&lt;&gt;"manual",$M104&lt;&gt;$A$15)),
        IF(Import.TipoArredondamento&lt;&gt;"TransfereGOV",
              ROUND(OFFSET($P104,0,AV$13),15-13*ORÇAMENTO!$AF$7)/$H104*OFFSET(ORÇAMENTO!$X$15,ROW(AV104)-ROW(AV$15),0),
              ROUND(ROUND(OFFSET($P104,0,AV$13),15-13*ORÇAMENTO!$AF$7)*OFFSET(ORÇAMENTO!$W$15,ROW(AV104)-ROW(AV$15),0),15-13*ORÇAMENTO!$AF$11)),
         0)</f>
        <v>0</v>
      </c>
      <c r="AW104" s="453">
        <f ca="1">IF(AND($D104="Serviço",AW$12&lt;&gt;0,$H104&gt;0,OR(AUTOEVENTO&lt;&gt;"manual",$M104&lt;&gt;$A$15)),
        IF(Import.TipoArredondamento&lt;&gt;"TransfereGOV",
              ROUND(OFFSET($P104,0,AW$13),15-13*ORÇAMENTO!$AF$7)/$H104*OFFSET(ORÇAMENTO!$X$15,ROW(AW104)-ROW(AW$15),0),
              ROUND(ROUND(OFFSET($P104,0,AW$13),15-13*ORÇAMENTO!$AF$7)*OFFSET(ORÇAMENTO!$W$15,ROW(AW104)-ROW(AW$15),0),15-13*ORÇAMENTO!$AF$11)),
         0)</f>
        <v>0</v>
      </c>
      <c r="AX104" s="453">
        <f ca="1">IF(AND($D104="Serviço",AX$12&lt;&gt;0,$H104&gt;0,OR(AUTOEVENTO&lt;&gt;"manual",$M104&lt;&gt;$A$15)),
        IF(Import.TipoArredondamento&lt;&gt;"TransfereGOV",
              ROUND(OFFSET($P104,0,AX$13),15-13*ORÇAMENTO!$AF$7)/$H104*OFFSET(ORÇAMENTO!$X$15,ROW(AX104)-ROW(AX$15),0),
              ROUND(ROUND(OFFSET($P104,0,AX$13),15-13*ORÇAMENTO!$AF$7)*OFFSET(ORÇAMENTO!$W$15,ROW(AX104)-ROW(AX$15),0),15-13*ORÇAMENTO!$AF$11)),
         0)</f>
        <v>0</v>
      </c>
      <c r="AY104" s="453">
        <f ca="1">IF(AND($D104="Serviço",AY$12&lt;&gt;0,$H104&gt;0,OR(AUTOEVENTO&lt;&gt;"manual",$M104&lt;&gt;$A$15)),
        IF(Import.TipoArredondamento&lt;&gt;"TransfereGOV",
              ROUND(OFFSET($P104,0,AY$13),15-13*ORÇAMENTO!$AF$7)/$H104*OFFSET(ORÇAMENTO!$X$15,ROW(AY104)-ROW(AY$15),0),
              ROUND(ROUND(OFFSET($P104,0,AY$13),15-13*ORÇAMENTO!$AF$7)*OFFSET(ORÇAMENTO!$W$15,ROW(AY104)-ROW(AY$15),0),15-13*ORÇAMENTO!$AF$11)),
         0)</f>
        <v>0</v>
      </c>
      <c r="AZ104" s="453">
        <f ca="1">IF(AND($D104="Serviço",AZ$12&lt;&gt;0,$H104&gt;0,OR(AUTOEVENTO&lt;&gt;"manual",$M104&lt;&gt;$A$15)),
        IF(Import.TipoArredondamento&lt;&gt;"TransfereGOV",
              ROUND(OFFSET($P104,0,AZ$13),15-13*ORÇAMENTO!$AF$7)/$H104*OFFSET(ORÇAMENTO!$X$15,ROW(AZ104)-ROW(AZ$15),0),
              ROUND(ROUND(OFFSET($P104,0,AZ$13),15-13*ORÇAMENTO!$AF$7)*OFFSET(ORÇAMENTO!$W$15,ROW(AZ104)-ROW(AZ$15),0),15-13*ORÇAMENTO!$AF$11)),
         0)</f>
        <v>0</v>
      </c>
      <c r="BA104" s="453">
        <f ca="1">IF(AND($D104="Serviço",BA$12&lt;&gt;0,$H104&gt;0,OR(AUTOEVENTO&lt;&gt;"manual",$M104&lt;&gt;$A$15)),
        IF(Import.TipoArredondamento&lt;&gt;"TransfereGOV",
              ROUND(OFFSET($P104,0,BA$13),15-13*ORÇAMENTO!$AF$7)/$H104*OFFSET(ORÇAMENTO!$X$15,ROW(BA104)-ROW(BA$15),0),
              ROUND(ROUND(OFFSET($P104,0,BA$13),15-13*ORÇAMENTO!$AF$7)*OFFSET(ORÇAMENTO!$W$15,ROW(BA104)-ROW(BA$15),0),15-13*ORÇAMENTO!$AF$11)),
         0)</f>
        <v>0</v>
      </c>
      <c r="BC104" s="171">
        <f ca="1">IF(OR($D104&lt;&gt;"Serviço",AND(AUTOEVENTO="Manual",$M104=$A$15)),0,
         IF(OFFSET(CRONOPLE!$F$15,$M104-$A$15,BC$13)=0,10^12,OFFSET(CRONOPLE!$F$15,$M104-$A$15,BC$13)))</f>
        <v>1000000000000</v>
      </c>
      <c r="BD104" s="171">
        <f ca="1">IF(OR($D104&lt;&gt;"Serviço",AND(AUTOEVENTO="Manual",$M104=$A$15)),0,
         IF(OFFSET(CRONOPLE!$F$15,$M104-$A$15,BD$13)=0,10^12,OFFSET(CRONOPLE!$F$15,$M104-$A$15,BD$13)))</f>
        <v>1000000000000</v>
      </c>
      <c r="BE104" s="171">
        <f ca="1">IF(OR($D104&lt;&gt;"Serviço",AND(AUTOEVENTO="Manual",$M104=$A$15)),0,
         IF(OFFSET(CRONOPLE!$F$15,$M104-$A$15,BE$13)=0,10^12,OFFSET(CRONOPLE!$F$15,$M104-$A$15,BE$13)))</f>
        <v>1000000000000</v>
      </c>
      <c r="BF104" s="171">
        <f ca="1">IF(OR($D104&lt;&gt;"Serviço",AND(AUTOEVENTO="Manual",$M104=$A$15)),0,
         IF(OFFSET(CRONOPLE!$F$15,$M104-$A$15,BF$13)=0,10^12,OFFSET(CRONOPLE!$F$15,$M104-$A$15,BF$13)))</f>
        <v>1000000000000</v>
      </c>
      <c r="BG104" s="171">
        <f ca="1">IF(OR($D104&lt;&gt;"Serviço",AND(AUTOEVENTO="Manual",$M104=$A$15)),0,
         IF(OFFSET(CRONOPLE!$F$15,$M104-$A$15,BG$13)=0,10^12,OFFSET(CRONOPLE!$F$15,$M104-$A$15,BG$13)))</f>
        <v>4</v>
      </c>
      <c r="BH104" s="171">
        <f ca="1">IF(OR($D104&lt;&gt;"Serviço",AND(AUTOEVENTO="Manual",$M104=$A$15)),0,
         IF(OFFSET(CRONOPLE!$F$15,$M104-$A$15,BH$13)=0,10^12,OFFSET(CRONOPLE!$F$15,$M104-$A$15,BH$13)))</f>
        <v>1000000000000</v>
      </c>
      <c r="BI104" s="171">
        <f ca="1">IF(OR($D104&lt;&gt;"Serviço",AND(AUTOEVENTO="Manual",$M104=$A$15)),0,
         IF(OFFSET(CRONOPLE!$F$15,$M104-$A$15,BI$13)=0,10^12,OFFSET(CRONOPLE!$F$15,$M104-$A$15,BI$13)))</f>
        <v>1000000000000</v>
      </c>
      <c r="BJ104" s="171">
        <f ca="1">IF(OR($D104&lt;&gt;"Serviço",AND(AUTOEVENTO="Manual",$M104=$A$15)),0,
         IF(OFFSET(CRONOPLE!$F$15,$M104-$A$15,BJ$13)=0,10^12,OFFSET(CRONOPLE!$F$15,$M104-$A$15,BJ$13)))</f>
        <v>1000000000000</v>
      </c>
      <c r="BK104" s="171">
        <f ca="1">IF(OR($D104&lt;&gt;"Serviço",AND(AUTOEVENTO="Manual",$M104=$A$15)),0,
         IF(OFFSET(CRONOPLE!$F$15,$M104-$A$15,BK$13)=0,10^12,OFFSET(CRONOPLE!$F$15,$M104-$A$15,BK$13)))</f>
        <v>1000000000000</v>
      </c>
      <c r="BL104" s="171">
        <f ca="1">IF(OR($D104&lt;&gt;"Serviço",AND(AUTOEVENTO="Manual",$M104=$A$15)),0,
         IF(OFFSET(CRONOPLE!$F$15,$M104-$A$15,BL$13)=0,10^12,OFFSET(CRONOPLE!$F$15,$M104-$A$15,BL$13)))</f>
        <v>1000000000000</v>
      </c>
      <c r="BM104" s="171">
        <f ca="1">IF(OR($D104&lt;&gt;"Serviço",AND(AUTOEVENTO="Manual",$M104=$A$15)),0,
         IF(OFFSET(CRONOPLE!$F$15,$M104-$A$15,BM$13)=0,10^12,OFFSET(CRONOPLE!$F$15,$M104-$A$15,BM$13)))</f>
        <v>1000000000000</v>
      </c>
      <c r="BN104" s="171">
        <f ca="1">IF(OR($D104&lt;&gt;"Serviço",AND(AUTOEVENTO="Manual",$M104=$A$15)),0,
         IF(OFFSET(CRONOPLE!$F$15,$M104-$A$15,BN$13)=0,10^12,OFFSET(CRONOPLE!$F$15,$M104-$A$15,BN$13)))</f>
        <v>1000000000000</v>
      </c>
      <c r="BO104" s="171">
        <f ca="1">IF(OR($D104&lt;&gt;"Serviço",AND(AUTOEVENTO="Manual",$M104=$A$15)),0,
         IF(OFFSET(CRONOPLE!$F$15,$M104-$A$15,BO$13)=0,10^12,OFFSET(CRONOPLE!$F$15,$M104-$A$15,BO$13)))</f>
        <v>1000000000000</v>
      </c>
      <c r="BP104" s="171">
        <f ca="1">IF(OR($D104&lt;&gt;"Serviço",AND(AUTOEVENTO="Manual",$M104=$A$15)),0,
         IF(OFFSET(CRONOPLE!$F$15,$M104-$A$15,BP$13)=0,10^12,OFFSET(CRONOPLE!$F$15,$M104-$A$15,BP$13)))</f>
        <v>1000000000000</v>
      </c>
      <c r="BQ104" s="171">
        <f ca="1">IF(OR($D104&lt;&gt;"Serviço",AND(AUTOEVENTO="Manual",$M104=$A$15)),0,
         IF(OFFSET(CRONOPLE!$F$15,$M104-$A$15,BQ$13)=0,10^12,OFFSET(CRONOPLE!$F$15,$M104-$A$15,BQ$13)))</f>
        <v>1000000000000</v>
      </c>
      <c r="BR104" s="171">
        <f ca="1">IF(OR($D104&lt;&gt;"Serviço",AND(AUTOEVENTO="Manual",$M104=$A$15)),0,
         IF(OFFSET(CRONOPLE!$F$15,$M104-$A$15,BR$13)=0,10^12,OFFSET(CRONOPLE!$F$15,$M104-$A$15,BR$13)))</f>
        <v>1000000000000</v>
      </c>
      <c r="BS104" s="171">
        <f ca="1">IF(OR($D104&lt;&gt;"Serviço",AND(AUTOEVENTO="Manual",$M104=$A$15)),0,
         IF(OFFSET(CRONOPLE!$F$15,$M104-$A$15,BS$13)=0,10^12,OFFSET(CRONOPLE!$F$15,$M104-$A$15,BS$13)))</f>
        <v>1000000000000</v>
      </c>
      <c r="BT104" s="171">
        <f ca="1">IF(OR($D104&lt;&gt;"Serviço",AND(AUTOEVENTO="Manual",$M104=$A$15)),0,
         IF(OFFSET(CRONOPLE!$F$15,$M104-$A$15,BT$13)=0,10^12,OFFSET(CRONOPLE!$F$15,$M104-$A$15,BT$13)))</f>
        <v>1000000000000</v>
      </c>
      <c r="BV104" s="172">
        <f ca="1">IF(OR($D104&lt;&gt;"Serviço",AND(AUTOEVENTO="Manual",$M104=$A$15),$M104&gt;(ROW(PLE.lastrow)-ROW(PLE.firstrow))),0,
           IF(OFFSET(PLE!$G$15,$M104-$A$15,BV$13)="",10^12,OFFSET(PLE!$G$15,$M104-$A$15,BV$13)))</f>
        <v>1000000000000</v>
      </c>
      <c r="BW104" s="172">
        <f ca="1">IF(OR($D104&lt;&gt;"Serviço",AND(AUTOEVENTO="Manual",$M104=$A$15),$M104&gt;(ROW(PLE.lastrow)-ROW(PLE.firstrow))),0,
           IF(OFFSET(PLE!$G$15,$M104-$A$15,BW$13)="",10^12,OFFSET(PLE!$G$15,$M104-$A$15,BW$13)))</f>
        <v>1000000000000</v>
      </c>
      <c r="BX104" s="172">
        <f ca="1">IF(OR($D104&lt;&gt;"Serviço",AND(AUTOEVENTO="Manual",$M104=$A$15),$M104&gt;(ROW(PLE.lastrow)-ROW(PLE.firstrow))),0,
           IF(OFFSET(PLE!$G$15,$M104-$A$15,BX$13)="",10^12,OFFSET(PLE!$G$15,$M104-$A$15,BX$13)))</f>
        <v>1000000000000</v>
      </c>
      <c r="BY104" s="172">
        <f ca="1">IF(OR($D104&lt;&gt;"Serviço",AND(AUTOEVENTO="Manual",$M104=$A$15),$M104&gt;(ROW(PLE.lastrow)-ROW(PLE.firstrow))),0,
           IF(OFFSET(PLE!$G$15,$M104-$A$15,BY$13)="",10^12,OFFSET(PLE!$G$15,$M104-$A$15,BY$13)))</f>
        <v>1000000000000</v>
      </c>
      <c r="BZ104" s="172">
        <f ca="1">IF(OR($D104&lt;&gt;"Serviço",AND(AUTOEVENTO="Manual",$M104=$A$15),$M104&gt;(ROW(PLE.lastrow)-ROW(PLE.firstrow))),0,
           IF(OFFSET(PLE!$G$15,$M104-$A$15,BZ$13)="",10^12,OFFSET(PLE!$G$15,$M104-$A$15,BZ$13)))</f>
        <v>1000000000000</v>
      </c>
      <c r="CA104" s="172">
        <f ca="1">IF(OR($D104&lt;&gt;"Serviço",AND(AUTOEVENTO="Manual",$M104=$A$15),$M104&gt;(ROW(PLE.lastrow)-ROW(PLE.firstrow))),0,
           IF(OFFSET(PLE!$G$15,$M104-$A$15,CA$13)="",10^12,OFFSET(PLE!$G$15,$M104-$A$15,CA$13)))</f>
        <v>1000000000000</v>
      </c>
      <c r="CB104" s="172">
        <f ca="1">IF(OR($D104&lt;&gt;"Serviço",AND(AUTOEVENTO="Manual",$M104=$A$15),$M104&gt;(ROW(PLE.lastrow)-ROW(PLE.firstrow))),0,
           IF(OFFSET(PLE!$G$15,$M104-$A$15,CB$13)="",10^12,OFFSET(PLE!$G$15,$M104-$A$15,CB$13)))</f>
        <v>1000000000000</v>
      </c>
      <c r="CC104" s="172">
        <f ca="1">IF(OR($D104&lt;&gt;"Serviço",AND(AUTOEVENTO="Manual",$M104=$A$15),$M104&gt;(ROW(PLE.lastrow)-ROW(PLE.firstrow))),0,
           IF(OFFSET(PLE!$G$15,$M104-$A$15,CC$13)="",10^12,OFFSET(PLE!$G$15,$M104-$A$15,CC$13)))</f>
        <v>1000000000000</v>
      </c>
      <c r="CD104" s="172">
        <f ca="1">IF(OR($D104&lt;&gt;"Serviço",AND(AUTOEVENTO="Manual",$M104=$A$15),$M104&gt;(ROW(PLE.lastrow)-ROW(PLE.firstrow))),0,
           IF(OFFSET(PLE!$G$15,$M104-$A$15,CD$13)="",10^12,OFFSET(PLE!$G$15,$M104-$A$15,CD$13)))</f>
        <v>1000000000000</v>
      </c>
      <c r="CE104" s="172">
        <f ca="1">IF(OR($D104&lt;&gt;"Serviço",AND(AUTOEVENTO="Manual",$M104=$A$15),$M104&gt;(ROW(PLE.lastrow)-ROW(PLE.firstrow))),0,
           IF(OFFSET(PLE!$G$15,$M104-$A$15,CE$13)="",10^12,OFFSET(PLE!$G$15,$M104-$A$15,CE$13)))</f>
        <v>1000000000000</v>
      </c>
      <c r="CF104" s="172">
        <f ca="1">IF(OR($D104&lt;&gt;"Serviço",AND(AUTOEVENTO="Manual",$M104=$A$15),$M104&gt;(ROW(PLE.lastrow)-ROW(PLE.firstrow))),0,
           IF(OFFSET(PLE!$G$15,$M104-$A$15,CF$13)="",10^12,OFFSET(PLE!$G$15,$M104-$A$15,CF$13)))</f>
        <v>1000000000000</v>
      </c>
      <c r="CG104" s="172">
        <f ca="1">IF(OR($D104&lt;&gt;"Serviço",AND(AUTOEVENTO="Manual",$M104=$A$15),$M104&gt;(ROW(PLE.lastrow)-ROW(PLE.firstrow))),0,
           IF(OFFSET(PLE!$G$15,$M104-$A$15,CG$13)="",10^12,OFFSET(PLE!$G$15,$M104-$A$15,CG$13)))</f>
        <v>1000000000000</v>
      </c>
      <c r="CH104" s="172">
        <f ca="1">IF(OR($D104&lt;&gt;"Serviço",AND(AUTOEVENTO="Manual",$M104=$A$15),$M104&gt;(ROW(PLE.lastrow)-ROW(PLE.firstrow))),0,
           IF(OFFSET(PLE!$G$15,$M104-$A$15,CH$13)="",10^12,OFFSET(PLE!$G$15,$M104-$A$15,CH$13)))</f>
        <v>1000000000000</v>
      </c>
      <c r="CI104" s="172">
        <f ca="1">IF(OR($D104&lt;&gt;"Serviço",AND(AUTOEVENTO="Manual",$M104=$A$15),$M104&gt;(ROW(PLE.lastrow)-ROW(PLE.firstrow))),0,
           IF(OFFSET(PLE!$G$15,$M104-$A$15,CI$13)="",10^12,OFFSET(PLE!$G$15,$M104-$A$15,CI$13)))</f>
        <v>1000000000000</v>
      </c>
      <c r="CJ104" s="172">
        <f ca="1">IF(OR($D104&lt;&gt;"Serviço",AND(AUTOEVENTO="Manual",$M104=$A$15),$M104&gt;(ROW(PLE.lastrow)-ROW(PLE.firstrow))),0,
           IF(OFFSET(PLE!$G$15,$M104-$A$15,CJ$13)="",10^12,OFFSET(PLE!$G$15,$M104-$A$15,CJ$13)))</f>
        <v>1000000000000</v>
      </c>
      <c r="CK104" s="172">
        <f ca="1">IF(OR($D104&lt;&gt;"Serviço",AND(AUTOEVENTO="Manual",$M104=$A$15),$M104&gt;(ROW(PLE.lastrow)-ROW(PLE.firstrow))),0,
           IF(OFFSET(PLE!$G$15,$M104-$A$15,CK$13)="",10^12,OFFSET(PLE!$G$15,$M104-$A$15,CK$13)))</f>
        <v>1000000000000</v>
      </c>
      <c r="CL104" s="172">
        <f ca="1">IF(OR($D104&lt;&gt;"Serviço",AND(AUTOEVENTO="Manual",$M104=$A$15),$M104&gt;(ROW(PLE.lastrow)-ROW(PLE.firstrow))),0,
           IF(OFFSET(PLE!$G$15,$M104-$A$15,CL$13)="",10^12,OFFSET(PLE!$G$15,$M104-$A$15,CL$13)))</f>
        <v>1000000000000</v>
      </c>
      <c r="CM104" s="172">
        <f ca="1">IF(OR($D104&lt;&gt;"Serviço",AND(AUTOEVENTO="Manual",$M104=$A$15),$M104&gt;(ROW(PLE.lastrow)-ROW(PLE.firstrow))),0,
           IF(OFFSET(PLE!$G$15,$M104-$A$15,CM$13)="",10^12,OFFSET(PLE!$G$15,$M104-$A$15,CM$13)))</f>
        <v>1000000000000</v>
      </c>
    </row>
    <row r="105" spans="1:91" ht="13.2" x14ac:dyDescent="0.25">
      <c r="A105" s="7" t="str">
        <f t="shared" ca="1" si="11"/>
        <v>86</v>
      </c>
      <c r="B105" s="7" t="str">
        <f ca="1">OFFSET(ORÇAMENTO!C$15,ROW(B105)-ROW(B$15),0)</f>
        <v>S</v>
      </c>
      <c r="C105" s="7" t="str">
        <f ca="1">OFFSET(ORÇAMENTO!L$15,ROW(C105)-ROW(C$15),0)</f>
        <v>F</v>
      </c>
      <c r="D105" s="116" t="str">
        <f ca="1">OFFSET(ORÇAMENTO!N$15,ROW(D105)-ROW(D$15),0)</f>
        <v>Serviço</v>
      </c>
      <c r="E105" s="117" t="str">
        <f ca="1">OFFSET(ORÇAMENTO!O$15,ROW(E105)-ROW(E$15),0)</f>
        <v>3.2.4.</v>
      </c>
      <c r="F105" s="163" t="str">
        <f ca="1">OFFSET(ORÇAMENTO!R$15,ROW(F105)-ROW(F$15),0)</f>
        <v>Transporte com caminhão basculante de 10 m³ - rodovia pavimentada</v>
      </c>
      <c r="G105" s="164" t="str">
        <f ca="1">IF($D105&lt;&gt;"Serviço","",OFFSET(ORÇAMENTO!S$15,ROW(G105)-ROW(G$15),0))</f>
        <v>tkm</v>
      </c>
      <c r="H105" s="122" cm="1">
        <f t="array" aca="1" ref="H105" ca="1">IF($D105&lt;&gt;"Serviço",0,IF(ACOMPANHAMENTO="BM",ROUND(OFFSET(ORÇAMENTO!AJ$15,ROW(H105)-ROW(H$15),0),15-13*ORÇAMENTO!$AF$7),SUMPRODUCT(($Q$1:$AI$1=1)*ROUND($Q105:$AI105,15-13*ORÇAMENTO!$AF$7))))</f>
        <v>6199.2</v>
      </c>
      <c r="I105" s="468"/>
      <c r="J105" s="651" t="e" cm="1">
        <f t="array" aca="1" ref="J105" ca="1">IF(OR(B105&lt;&gt;"S",CÁLCULO.FrentesPreenchidas=0),"",IF(AND(ACOMPANHAMENTO="PLE",AUTOEVENTO="Manual",OR(H105&gt;0,ORÇAMENTO!AC105="QUANT."),OR(K105="",M105=0,N105="")),"►E",IF(AND(ACOMPANHAMENTO="PLE",ORÇAMENTO!AC105="QUANT."),"►Q",IF(AND(ACOMPANHAMENTO="PLE",H105&lt;&gt;SUMPRODUCT(($Q$1:$AI$1=1)*ROUND(Q105:AI105,15))),"►S",IF(AND(COUNTIF($P$11:$AI$11,"▼")=0,H105&gt;0,I105=""),"◄M","")))))</f>
        <v>#NAME?</v>
      </c>
      <c r="K105" s="652"/>
      <c r="L105" s="165" t="s">
        <v>764</v>
      </c>
      <c r="M105" s="166">
        <f ca="1">IF($D105&lt;&gt;"Serviço","",
          IF(AUTOEVENTO="manual",$A105,
                IF(ISERROR(MATCH($A105,$A$15:OFFSET($A105,-1,0),0)),MAX($M$15:OFFSET(M105,-1,0))+1,
                      INDEX($M$15:OFFSET(M105,-1,0),MATCH($A105,$A$15:OFFSET($A105,-1,0),0)))))</f>
        <v>15</v>
      </c>
      <c r="N105" s="167" t="str">
        <f ca="1">IF($D105&lt;&gt;"Serviço","",
         IF(AUTOEVENTO="Manual",
                IF($A105=0,"&lt;-- defina o número do agrupador",
                       OFFSET(EVENTOS!$D$15,$A105-$A$15,0)),
                OFFSET($F$15,$A105,0)))</f>
        <v>PAVIMENTAÇÃO</v>
      </c>
      <c r="O105" s="168"/>
      <c r="Q105" s="168"/>
      <c r="R105" s="169"/>
      <c r="S105" s="169"/>
      <c r="T105" s="169"/>
      <c r="U105" s="169">
        <f>U104*1.5*21</f>
        <v>6199.2</v>
      </c>
      <c r="V105" s="169"/>
      <c r="W105" s="169"/>
      <c r="X105" s="169"/>
      <c r="Y105" s="169"/>
      <c r="Z105" s="170"/>
      <c r="AA105" s="169"/>
      <c r="AB105" s="169"/>
      <c r="AC105" s="169"/>
      <c r="AD105" s="169"/>
      <c r="AE105" s="169"/>
      <c r="AF105" s="169"/>
      <c r="AG105" s="169"/>
      <c r="AH105" s="170"/>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L105" s="453">
        <f ca="1">IF(AND($D105="Serviço",AL$12&lt;&gt;0,$H105&gt;0,OR(AUTOEVENTO&lt;&gt;"manual",$M105&lt;&gt;$A$15)),
        IF(Import.TipoArredondamento&lt;&gt;"TransfereGOV",
              ROUND(OFFSET($P105,0,AL$13),15-13*ORÇAMENTO!$AF$7)/$H105*OFFSET(ORÇAMENTO!$X$15,ROW(AL105)-ROW(AL$15),0),
              ROUND(ROUND(OFFSET($P105,0,AL$13),15-13*ORÇAMENTO!$AF$7)*OFFSET(ORÇAMENTO!$W$15,ROW(AL105)-ROW(AL$15),0),15-13*ORÇAMENTO!$AF$11)),
         0)</f>
        <v>0</v>
      </c>
      <c r="AM105" s="453">
        <f ca="1">IF(AND($D105="Serviço",AM$12&lt;&gt;0,$H105&gt;0,OR(AUTOEVENTO&lt;&gt;"manual",$M105&lt;&gt;$A$15)),
        IF(Import.TipoArredondamento&lt;&gt;"TransfereGOV",
              ROUND(OFFSET($P105,0,AM$13),15-13*ORÇAMENTO!$AF$7)/$H105*OFFSET(ORÇAMENTO!$X$15,ROW(AM105)-ROW(AM$15),0),
              ROUND(ROUND(OFFSET($P105,0,AM$13),15-13*ORÇAMENTO!$AF$7)*OFFSET(ORÇAMENTO!$W$15,ROW(AM105)-ROW(AM$15),0),15-13*ORÇAMENTO!$AF$11)),
         0)</f>
        <v>0</v>
      </c>
      <c r="AN105" s="453">
        <f ca="1">IF(AND($D105="Serviço",AN$12&lt;&gt;0,$H105&gt;0,OR(AUTOEVENTO&lt;&gt;"manual",$M105&lt;&gt;$A$15)),
        IF(Import.TipoArredondamento&lt;&gt;"TransfereGOV",
              ROUND(OFFSET($P105,0,AN$13),15-13*ORÇAMENTO!$AF$7)/$H105*OFFSET(ORÇAMENTO!$X$15,ROW(AN105)-ROW(AN$15),0),
              ROUND(ROUND(OFFSET($P105,0,AN$13),15-13*ORÇAMENTO!$AF$7)*OFFSET(ORÇAMENTO!$W$15,ROW(AN105)-ROW(AN$15),0),15-13*ORÇAMENTO!$AF$11)),
         0)</f>
        <v>6261.19</v>
      </c>
      <c r="AO105" s="453">
        <f ca="1">IF(AND($D105="Serviço",AO$12&lt;&gt;0,$H105&gt;0,OR(AUTOEVENTO&lt;&gt;"manual",$M105&lt;&gt;$A$15)),
        IF(Import.TipoArredondamento&lt;&gt;"TransfereGOV",
              ROUND(OFFSET($P105,0,AO$13),15-13*ORÇAMENTO!$AF$7)/$H105*OFFSET(ORÇAMENTO!$X$15,ROW(AO105)-ROW(AO$15),0),
              ROUND(ROUND(OFFSET($P105,0,AO$13),15-13*ORÇAMENTO!$AF$7)*OFFSET(ORÇAMENTO!$W$15,ROW(AO105)-ROW(AO$15),0),15-13*ORÇAMENTO!$AF$11)),
         0)</f>
        <v>0</v>
      </c>
      <c r="AP105" s="453">
        <f ca="1">IF(AND($D105="Serviço",AP$12&lt;&gt;0,$H105&gt;0,OR(AUTOEVENTO&lt;&gt;"manual",$M105&lt;&gt;$A$15)),
        IF(Import.TipoArredondamento&lt;&gt;"TransfereGOV",
              ROUND(OFFSET($P105,0,AP$13),15-13*ORÇAMENTO!$AF$7)/$H105*OFFSET(ORÇAMENTO!$X$15,ROW(AP105)-ROW(AP$15),0),
              ROUND(ROUND(OFFSET($P105,0,AP$13),15-13*ORÇAMENTO!$AF$7)*OFFSET(ORÇAMENTO!$W$15,ROW(AP105)-ROW(AP$15),0),15-13*ORÇAMENTO!$AF$11)),
         0)</f>
        <v>0</v>
      </c>
      <c r="AQ105" s="453">
        <f ca="1">IF(AND($D105="Serviço",AQ$12&lt;&gt;0,$H105&gt;0,OR(AUTOEVENTO&lt;&gt;"manual",$M105&lt;&gt;$A$15)),
        IF(Import.TipoArredondamento&lt;&gt;"TransfereGOV",
              ROUND(OFFSET($P105,0,AQ$13),15-13*ORÇAMENTO!$AF$7)/$H105*OFFSET(ORÇAMENTO!$X$15,ROW(AQ105)-ROW(AQ$15),0),
              ROUND(ROUND(OFFSET($P105,0,AQ$13),15-13*ORÇAMENTO!$AF$7)*OFFSET(ORÇAMENTO!$W$15,ROW(AQ105)-ROW(AQ$15),0),15-13*ORÇAMENTO!$AF$11)),
         0)</f>
        <v>0</v>
      </c>
      <c r="AR105" s="453">
        <f ca="1">IF(AND($D105="Serviço",AR$12&lt;&gt;0,$H105&gt;0,OR(AUTOEVENTO&lt;&gt;"manual",$M105&lt;&gt;$A$15)),
        IF(Import.TipoArredondamento&lt;&gt;"TransfereGOV",
              ROUND(OFFSET($P105,0,AR$13),15-13*ORÇAMENTO!$AF$7)/$H105*OFFSET(ORÇAMENTO!$X$15,ROW(AR105)-ROW(AR$15),0),
              ROUND(ROUND(OFFSET($P105,0,AR$13),15-13*ORÇAMENTO!$AF$7)*OFFSET(ORÇAMENTO!$W$15,ROW(AR105)-ROW(AR$15),0),15-13*ORÇAMENTO!$AF$11)),
         0)</f>
        <v>0</v>
      </c>
      <c r="AS105" s="453">
        <f ca="1">IF(AND($D105="Serviço",AS$12&lt;&gt;0,$H105&gt;0,OR(AUTOEVENTO&lt;&gt;"manual",$M105&lt;&gt;$A$15)),
        IF(Import.TipoArredondamento&lt;&gt;"TransfereGOV",
              ROUND(OFFSET($P105,0,AS$13),15-13*ORÇAMENTO!$AF$7)/$H105*OFFSET(ORÇAMENTO!$X$15,ROW(AS105)-ROW(AS$15),0),
              ROUND(ROUND(OFFSET($P105,0,AS$13),15-13*ORÇAMENTO!$AF$7)*OFFSET(ORÇAMENTO!$W$15,ROW(AS105)-ROW(AS$15),0),15-13*ORÇAMENTO!$AF$11)),
         0)</f>
        <v>0</v>
      </c>
      <c r="AT105" s="453">
        <f ca="1">IF(AND($D105="Serviço",AT$12&lt;&gt;0,$H105&gt;0,OR(AUTOEVENTO&lt;&gt;"manual",$M105&lt;&gt;$A$15)),
        IF(Import.TipoArredondamento&lt;&gt;"TransfereGOV",
              ROUND(OFFSET($P105,0,AT$13),15-13*ORÇAMENTO!$AF$7)/$H105*OFFSET(ORÇAMENTO!$X$15,ROW(AT105)-ROW(AT$15),0),
              ROUND(ROUND(OFFSET($P105,0,AT$13),15-13*ORÇAMENTO!$AF$7)*OFFSET(ORÇAMENTO!$W$15,ROW(AT105)-ROW(AT$15),0),15-13*ORÇAMENTO!$AF$11)),
         0)</f>
        <v>0</v>
      </c>
      <c r="AU105" s="453">
        <f ca="1">IF(AND($D105="Serviço",AU$12&lt;&gt;0,$H105&gt;0,OR(AUTOEVENTO&lt;&gt;"manual",$M105&lt;&gt;$A$15)),
        IF(Import.TipoArredondamento&lt;&gt;"TransfereGOV",
              ROUND(OFFSET($P105,0,AU$13),15-13*ORÇAMENTO!$AF$7)/$H105*OFFSET(ORÇAMENTO!$X$15,ROW(AU105)-ROW(AU$15),0),
              ROUND(ROUND(OFFSET($P105,0,AU$13),15-13*ORÇAMENTO!$AF$7)*OFFSET(ORÇAMENTO!$W$15,ROW(AU105)-ROW(AU$15),0),15-13*ORÇAMENTO!$AF$11)),
         0)</f>
        <v>0</v>
      </c>
      <c r="AV105" s="453">
        <f ca="1">IF(AND($D105="Serviço",AV$12&lt;&gt;0,$H105&gt;0,OR(AUTOEVENTO&lt;&gt;"manual",$M105&lt;&gt;$A$15)),
        IF(Import.TipoArredondamento&lt;&gt;"TransfereGOV",
              ROUND(OFFSET($P105,0,AV$13),15-13*ORÇAMENTO!$AF$7)/$H105*OFFSET(ORÇAMENTO!$X$15,ROW(AV105)-ROW(AV$15),0),
              ROUND(ROUND(OFFSET($P105,0,AV$13),15-13*ORÇAMENTO!$AF$7)*OFFSET(ORÇAMENTO!$W$15,ROW(AV105)-ROW(AV$15),0),15-13*ORÇAMENTO!$AF$11)),
         0)</f>
        <v>0</v>
      </c>
      <c r="AW105" s="453">
        <f ca="1">IF(AND($D105="Serviço",AW$12&lt;&gt;0,$H105&gt;0,OR(AUTOEVENTO&lt;&gt;"manual",$M105&lt;&gt;$A$15)),
        IF(Import.TipoArredondamento&lt;&gt;"TransfereGOV",
              ROUND(OFFSET($P105,0,AW$13),15-13*ORÇAMENTO!$AF$7)/$H105*OFFSET(ORÇAMENTO!$X$15,ROW(AW105)-ROW(AW$15),0),
              ROUND(ROUND(OFFSET($P105,0,AW$13),15-13*ORÇAMENTO!$AF$7)*OFFSET(ORÇAMENTO!$W$15,ROW(AW105)-ROW(AW$15),0),15-13*ORÇAMENTO!$AF$11)),
         0)</f>
        <v>0</v>
      </c>
      <c r="AX105" s="453">
        <f ca="1">IF(AND($D105="Serviço",AX$12&lt;&gt;0,$H105&gt;0,OR(AUTOEVENTO&lt;&gt;"manual",$M105&lt;&gt;$A$15)),
        IF(Import.TipoArredondamento&lt;&gt;"TransfereGOV",
              ROUND(OFFSET($P105,0,AX$13),15-13*ORÇAMENTO!$AF$7)/$H105*OFFSET(ORÇAMENTO!$X$15,ROW(AX105)-ROW(AX$15),0),
              ROUND(ROUND(OFFSET($P105,0,AX$13),15-13*ORÇAMENTO!$AF$7)*OFFSET(ORÇAMENTO!$W$15,ROW(AX105)-ROW(AX$15),0),15-13*ORÇAMENTO!$AF$11)),
         0)</f>
        <v>0</v>
      </c>
      <c r="AY105" s="453">
        <f ca="1">IF(AND($D105="Serviço",AY$12&lt;&gt;0,$H105&gt;0,OR(AUTOEVENTO&lt;&gt;"manual",$M105&lt;&gt;$A$15)),
        IF(Import.TipoArredondamento&lt;&gt;"TransfereGOV",
              ROUND(OFFSET($P105,0,AY$13),15-13*ORÇAMENTO!$AF$7)/$H105*OFFSET(ORÇAMENTO!$X$15,ROW(AY105)-ROW(AY$15),0),
              ROUND(ROUND(OFFSET($P105,0,AY$13),15-13*ORÇAMENTO!$AF$7)*OFFSET(ORÇAMENTO!$W$15,ROW(AY105)-ROW(AY$15),0),15-13*ORÇAMENTO!$AF$11)),
         0)</f>
        <v>0</v>
      </c>
      <c r="AZ105" s="453">
        <f ca="1">IF(AND($D105="Serviço",AZ$12&lt;&gt;0,$H105&gt;0,OR(AUTOEVENTO&lt;&gt;"manual",$M105&lt;&gt;$A$15)),
        IF(Import.TipoArredondamento&lt;&gt;"TransfereGOV",
              ROUND(OFFSET($P105,0,AZ$13),15-13*ORÇAMENTO!$AF$7)/$H105*OFFSET(ORÇAMENTO!$X$15,ROW(AZ105)-ROW(AZ$15),0),
              ROUND(ROUND(OFFSET($P105,0,AZ$13),15-13*ORÇAMENTO!$AF$7)*OFFSET(ORÇAMENTO!$W$15,ROW(AZ105)-ROW(AZ$15),0),15-13*ORÇAMENTO!$AF$11)),
         0)</f>
        <v>0</v>
      </c>
      <c r="BA105" s="453">
        <f ca="1">IF(AND($D105="Serviço",BA$12&lt;&gt;0,$H105&gt;0,OR(AUTOEVENTO&lt;&gt;"manual",$M105&lt;&gt;$A$15)),
        IF(Import.TipoArredondamento&lt;&gt;"TransfereGOV",
              ROUND(OFFSET($P105,0,BA$13),15-13*ORÇAMENTO!$AF$7)/$H105*OFFSET(ORÇAMENTO!$X$15,ROW(BA105)-ROW(BA$15),0),
              ROUND(ROUND(OFFSET($P105,0,BA$13),15-13*ORÇAMENTO!$AF$7)*OFFSET(ORÇAMENTO!$W$15,ROW(BA105)-ROW(BA$15),0),15-13*ORÇAMENTO!$AF$11)),
         0)</f>
        <v>0</v>
      </c>
      <c r="BC105" s="171">
        <f ca="1">IF(OR($D105&lt;&gt;"Serviço",AND(AUTOEVENTO="Manual",$M105=$A$15)),0,
         IF(OFFSET(CRONOPLE!$F$15,$M105-$A$15,BC$13)=0,10^12,OFFSET(CRONOPLE!$F$15,$M105-$A$15,BC$13)))</f>
        <v>1000000000000</v>
      </c>
      <c r="BD105" s="171">
        <f ca="1">IF(OR($D105&lt;&gt;"Serviço",AND(AUTOEVENTO="Manual",$M105=$A$15)),0,
         IF(OFFSET(CRONOPLE!$F$15,$M105-$A$15,BD$13)=0,10^12,OFFSET(CRONOPLE!$F$15,$M105-$A$15,BD$13)))</f>
        <v>1000000000000</v>
      </c>
      <c r="BE105" s="171">
        <f ca="1">IF(OR($D105&lt;&gt;"Serviço",AND(AUTOEVENTO="Manual",$M105=$A$15)),0,
         IF(OFFSET(CRONOPLE!$F$15,$M105-$A$15,BE$13)=0,10^12,OFFSET(CRONOPLE!$F$15,$M105-$A$15,BE$13)))</f>
        <v>1000000000000</v>
      </c>
      <c r="BF105" s="171">
        <f ca="1">IF(OR($D105&lt;&gt;"Serviço",AND(AUTOEVENTO="Manual",$M105=$A$15)),0,
         IF(OFFSET(CRONOPLE!$F$15,$M105-$A$15,BF$13)=0,10^12,OFFSET(CRONOPLE!$F$15,$M105-$A$15,BF$13)))</f>
        <v>1000000000000</v>
      </c>
      <c r="BG105" s="171">
        <f ca="1">IF(OR($D105&lt;&gt;"Serviço",AND(AUTOEVENTO="Manual",$M105=$A$15)),0,
         IF(OFFSET(CRONOPLE!$F$15,$M105-$A$15,BG$13)=0,10^12,OFFSET(CRONOPLE!$F$15,$M105-$A$15,BG$13)))</f>
        <v>4</v>
      </c>
      <c r="BH105" s="171">
        <f ca="1">IF(OR($D105&lt;&gt;"Serviço",AND(AUTOEVENTO="Manual",$M105=$A$15)),0,
         IF(OFFSET(CRONOPLE!$F$15,$M105-$A$15,BH$13)=0,10^12,OFFSET(CRONOPLE!$F$15,$M105-$A$15,BH$13)))</f>
        <v>1000000000000</v>
      </c>
      <c r="BI105" s="171">
        <f ca="1">IF(OR($D105&lt;&gt;"Serviço",AND(AUTOEVENTO="Manual",$M105=$A$15)),0,
         IF(OFFSET(CRONOPLE!$F$15,$M105-$A$15,BI$13)=0,10^12,OFFSET(CRONOPLE!$F$15,$M105-$A$15,BI$13)))</f>
        <v>1000000000000</v>
      </c>
      <c r="BJ105" s="171">
        <f ca="1">IF(OR($D105&lt;&gt;"Serviço",AND(AUTOEVENTO="Manual",$M105=$A$15)),0,
         IF(OFFSET(CRONOPLE!$F$15,$M105-$A$15,BJ$13)=0,10^12,OFFSET(CRONOPLE!$F$15,$M105-$A$15,BJ$13)))</f>
        <v>1000000000000</v>
      </c>
      <c r="BK105" s="171">
        <f ca="1">IF(OR($D105&lt;&gt;"Serviço",AND(AUTOEVENTO="Manual",$M105=$A$15)),0,
         IF(OFFSET(CRONOPLE!$F$15,$M105-$A$15,BK$13)=0,10^12,OFFSET(CRONOPLE!$F$15,$M105-$A$15,BK$13)))</f>
        <v>1000000000000</v>
      </c>
      <c r="BL105" s="171">
        <f ca="1">IF(OR($D105&lt;&gt;"Serviço",AND(AUTOEVENTO="Manual",$M105=$A$15)),0,
         IF(OFFSET(CRONOPLE!$F$15,$M105-$A$15,BL$13)=0,10^12,OFFSET(CRONOPLE!$F$15,$M105-$A$15,BL$13)))</f>
        <v>1000000000000</v>
      </c>
      <c r="BM105" s="171">
        <f ca="1">IF(OR($D105&lt;&gt;"Serviço",AND(AUTOEVENTO="Manual",$M105=$A$15)),0,
         IF(OFFSET(CRONOPLE!$F$15,$M105-$A$15,BM$13)=0,10^12,OFFSET(CRONOPLE!$F$15,$M105-$A$15,BM$13)))</f>
        <v>1000000000000</v>
      </c>
      <c r="BN105" s="171">
        <f ca="1">IF(OR($D105&lt;&gt;"Serviço",AND(AUTOEVENTO="Manual",$M105=$A$15)),0,
         IF(OFFSET(CRONOPLE!$F$15,$M105-$A$15,BN$13)=0,10^12,OFFSET(CRONOPLE!$F$15,$M105-$A$15,BN$13)))</f>
        <v>1000000000000</v>
      </c>
      <c r="BO105" s="171">
        <f ca="1">IF(OR($D105&lt;&gt;"Serviço",AND(AUTOEVENTO="Manual",$M105=$A$15)),0,
         IF(OFFSET(CRONOPLE!$F$15,$M105-$A$15,BO$13)=0,10^12,OFFSET(CRONOPLE!$F$15,$M105-$A$15,BO$13)))</f>
        <v>1000000000000</v>
      </c>
      <c r="BP105" s="171">
        <f ca="1">IF(OR($D105&lt;&gt;"Serviço",AND(AUTOEVENTO="Manual",$M105=$A$15)),0,
         IF(OFFSET(CRONOPLE!$F$15,$M105-$A$15,BP$13)=0,10^12,OFFSET(CRONOPLE!$F$15,$M105-$A$15,BP$13)))</f>
        <v>1000000000000</v>
      </c>
      <c r="BQ105" s="171">
        <f ca="1">IF(OR($D105&lt;&gt;"Serviço",AND(AUTOEVENTO="Manual",$M105=$A$15)),0,
         IF(OFFSET(CRONOPLE!$F$15,$M105-$A$15,BQ$13)=0,10^12,OFFSET(CRONOPLE!$F$15,$M105-$A$15,BQ$13)))</f>
        <v>1000000000000</v>
      </c>
      <c r="BR105" s="171">
        <f ca="1">IF(OR($D105&lt;&gt;"Serviço",AND(AUTOEVENTO="Manual",$M105=$A$15)),0,
         IF(OFFSET(CRONOPLE!$F$15,$M105-$A$15,BR$13)=0,10^12,OFFSET(CRONOPLE!$F$15,$M105-$A$15,BR$13)))</f>
        <v>1000000000000</v>
      </c>
      <c r="BS105" s="171">
        <f ca="1">IF(OR($D105&lt;&gt;"Serviço",AND(AUTOEVENTO="Manual",$M105=$A$15)),0,
         IF(OFFSET(CRONOPLE!$F$15,$M105-$A$15,BS$13)=0,10^12,OFFSET(CRONOPLE!$F$15,$M105-$A$15,BS$13)))</f>
        <v>1000000000000</v>
      </c>
      <c r="BT105" s="171">
        <f ca="1">IF(OR($D105&lt;&gt;"Serviço",AND(AUTOEVENTO="Manual",$M105=$A$15)),0,
         IF(OFFSET(CRONOPLE!$F$15,$M105-$A$15,BT$13)=0,10^12,OFFSET(CRONOPLE!$F$15,$M105-$A$15,BT$13)))</f>
        <v>1000000000000</v>
      </c>
      <c r="BV105" s="172">
        <f ca="1">IF(OR($D105&lt;&gt;"Serviço",AND(AUTOEVENTO="Manual",$M105=$A$15),$M105&gt;(ROW(PLE.lastrow)-ROW(PLE.firstrow))),0,
           IF(OFFSET(PLE!$G$15,$M105-$A$15,BV$13)="",10^12,OFFSET(PLE!$G$15,$M105-$A$15,BV$13)))</f>
        <v>1000000000000</v>
      </c>
      <c r="BW105" s="172">
        <f ca="1">IF(OR($D105&lt;&gt;"Serviço",AND(AUTOEVENTO="Manual",$M105=$A$15),$M105&gt;(ROW(PLE.lastrow)-ROW(PLE.firstrow))),0,
           IF(OFFSET(PLE!$G$15,$M105-$A$15,BW$13)="",10^12,OFFSET(PLE!$G$15,$M105-$A$15,BW$13)))</f>
        <v>1000000000000</v>
      </c>
      <c r="BX105" s="172">
        <f ca="1">IF(OR($D105&lt;&gt;"Serviço",AND(AUTOEVENTO="Manual",$M105=$A$15),$M105&gt;(ROW(PLE.lastrow)-ROW(PLE.firstrow))),0,
           IF(OFFSET(PLE!$G$15,$M105-$A$15,BX$13)="",10^12,OFFSET(PLE!$G$15,$M105-$A$15,BX$13)))</f>
        <v>1000000000000</v>
      </c>
      <c r="BY105" s="172">
        <f ca="1">IF(OR($D105&lt;&gt;"Serviço",AND(AUTOEVENTO="Manual",$M105=$A$15),$M105&gt;(ROW(PLE.lastrow)-ROW(PLE.firstrow))),0,
           IF(OFFSET(PLE!$G$15,$M105-$A$15,BY$13)="",10^12,OFFSET(PLE!$G$15,$M105-$A$15,BY$13)))</f>
        <v>1000000000000</v>
      </c>
      <c r="BZ105" s="172">
        <f ca="1">IF(OR($D105&lt;&gt;"Serviço",AND(AUTOEVENTO="Manual",$M105=$A$15),$M105&gt;(ROW(PLE.lastrow)-ROW(PLE.firstrow))),0,
           IF(OFFSET(PLE!$G$15,$M105-$A$15,BZ$13)="",10^12,OFFSET(PLE!$G$15,$M105-$A$15,BZ$13)))</f>
        <v>1000000000000</v>
      </c>
      <c r="CA105" s="172">
        <f ca="1">IF(OR($D105&lt;&gt;"Serviço",AND(AUTOEVENTO="Manual",$M105=$A$15),$M105&gt;(ROW(PLE.lastrow)-ROW(PLE.firstrow))),0,
           IF(OFFSET(PLE!$G$15,$M105-$A$15,CA$13)="",10^12,OFFSET(PLE!$G$15,$M105-$A$15,CA$13)))</f>
        <v>1000000000000</v>
      </c>
      <c r="CB105" s="172">
        <f ca="1">IF(OR($D105&lt;&gt;"Serviço",AND(AUTOEVENTO="Manual",$M105=$A$15),$M105&gt;(ROW(PLE.lastrow)-ROW(PLE.firstrow))),0,
           IF(OFFSET(PLE!$G$15,$M105-$A$15,CB$13)="",10^12,OFFSET(PLE!$G$15,$M105-$A$15,CB$13)))</f>
        <v>1000000000000</v>
      </c>
      <c r="CC105" s="172">
        <f ca="1">IF(OR($D105&lt;&gt;"Serviço",AND(AUTOEVENTO="Manual",$M105=$A$15),$M105&gt;(ROW(PLE.lastrow)-ROW(PLE.firstrow))),0,
           IF(OFFSET(PLE!$G$15,$M105-$A$15,CC$13)="",10^12,OFFSET(PLE!$G$15,$M105-$A$15,CC$13)))</f>
        <v>1000000000000</v>
      </c>
      <c r="CD105" s="172">
        <f ca="1">IF(OR($D105&lt;&gt;"Serviço",AND(AUTOEVENTO="Manual",$M105=$A$15),$M105&gt;(ROW(PLE.lastrow)-ROW(PLE.firstrow))),0,
           IF(OFFSET(PLE!$G$15,$M105-$A$15,CD$13)="",10^12,OFFSET(PLE!$G$15,$M105-$A$15,CD$13)))</f>
        <v>1000000000000</v>
      </c>
      <c r="CE105" s="172">
        <f ca="1">IF(OR($D105&lt;&gt;"Serviço",AND(AUTOEVENTO="Manual",$M105=$A$15),$M105&gt;(ROW(PLE.lastrow)-ROW(PLE.firstrow))),0,
           IF(OFFSET(PLE!$G$15,$M105-$A$15,CE$13)="",10^12,OFFSET(PLE!$G$15,$M105-$A$15,CE$13)))</f>
        <v>1000000000000</v>
      </c>
      <c r="CF105" s="172">
        <f ca="1">IF(OR($D105&lt;&gt;"Serviço",AND(AUTOEVENTO="Manual",$M105=$A$15),$M105&gt;(ROW(PLE.lastrow)-ROW(PLE.firstrow))),0,
           IF(OFFSET(PLE!$G$15,$M105-$A$15,CF$13)="",10^12,OFFSET(PLE!$G$15,$M105-$A$15,CF$13)))</f>
        <v>1000000000000</v>
      </c>
      <c r="CG105" s="172">
        <f ca="1">IF(OR($D105&lt;&gt;"Serviço",AND(AUTOEVENTO="Manual",$M105=$A$15),$M105&gt;(ROW(PLE.lastrow)-ROW(PLE.firstrow))),0,
           IF(OFFSET(PLE!$G$15,$M105-$A$15,CG$13)="",10^12,OFFSET(PLE!$G$15,$M105-$A$15,CG$13)))</f>
        <v>1000000000000</v>
      </c>
      <c r="CH105" s="172">
        <f ca="1">IF(OR($D105&lt;&gt;"Serviço",AND(AUTOEVENTO="Manual",$M105=$A$15),$M105&gt;(ROW(PLE.lastrow)-ROW(PLE.firstrow))),0,
           IF(OFFSET(PLE!$G$15,$M105-$A$15,CH$13)="",10^12,OFFSET(PLE!$G$15,$M105-$A$15,CH$13)))</f>
        <v>1000000000000</v>
      </c>
      <c r="CI105" s="172">
        <f ca="1">IF(OR($D105&lt;&gt;"Serviço",AND(AUTOEVENTO="Manual",$M105=$A$15),$M105&gt;(ROW(PLE.lastrow)-ROW(PLE.firstrow))),0,
           IF(OFFSET(PLE!$G$15,$M105-$A$15,CI$13)="",10^12,OFFSET(PLE!$G$15,$M105-$A$15,CI$13)))</f>
        <v>1000000000000</v>
      </c>
      <c r="CJ105" s="172">
        <f ca="1">IF(OR($D105&lt;&gt;"Serviço",AND(AUTOEVENTO="Manual",$M105=$A$15),$M105&gt;(ROW(PLE.lastrow)-ROW(PLE.firstrow))),0,
           IF(OFFSET(PLE!$G$15,$M105-$A$15,CJ$13)="",10^12,OFFSET(PLE!$G$15,$M105-$A$15,CJ$13)))</f>
        <v>1000000000000</v>
      </c>
      <c r="CK105" s="172">
        <f ca="1">IF(OR($D105&lt;&gt;"Serviço",AND(AUTOEVENTO="Manual",$M105=$A$15),$M105&gt;(ROW(PLE.lastrow)-ROW(PLE.firstrow))),0,
           IF(OFFSET(PLE!$G$15,$M105-$A$15,CK$13)="",10^12,OFFSET(PLE!$G$15,$M105-$A$15,CK$13)))</f>
        <v>1000000000000</v>
      </c>
      <c r="CL105" s="172">
        <f ca="1">IF(OR($D105&lt;&gt;"Serviço",AND(AUTOEVENTO="Manual",$M105=$A$15),$M105&gt;(ROW(PLE.lastrow)-ROW(PLE.firstrow))),0,
           IF(OFFSET(PLE!$G$15,$M105-$A$15,CL$13)="",10^12,OFFSET(PLE!$G$15,$M105-$A$15,CL$13)))</f>
        <v>1000000000000</v>
      </c>
      <c r="CM105" s="172">
        <f ca="1">IF(OR($D105&lt;&gt;"Serviço",AND(AUTOEVENTO="Manual",$M105=$A$15),$M105&gt;(ROW(PLE.lastrow)-ROW(PLE.firstrow))),0,
           IF(OFFSET(PLE!$G$15,$M105-$A$15,CM$13)="",10^12,OFFSET(PLE!$G$15,$M105-$A$15,CM$13)))</f>
        <v>1000000000000</v>
      </c>
    </row>
    <row r="106" spans="1:91" ht="13.2" x14ac:dyDescent="0.25">
      <c r="A106" s="7" t="str">
        <f t="shared" ca="1" si="11"/>
        <v>86</v>
      </c>
      <c r="B106" s="7" t="str">
        <f ca="1">OFFSET(ORÇAMENTO!C$15,ROW(B106)-ROW(B$15),0)</f>
        <v>S</v>
      </c>
      <c r="C106" s="7" t="str">
        <f ca="1">OFFSET(ORÇAMENTO!L$15,ROW(C106)-ROW(C$15),0)</f>
        <v>F</v>
      </c>
      <c r="D106" s="116" t="str">
        <f ca="1">OFFSET(ORÇAMENTO!N$15,ROW(D106)-ROW(D$15),0)</f>
        <v>Serviço</v>
      </c>
      <c r="E106" s="117" t="str">
        <f ca="1">OFFSET(ORÇAMENTO!O$15,ROW(E106)-ROW(E$15),0)</f>
        <v>3.2.5.</v>
      </c>
      <c r="F106" s="163" t="str">
        <f ca="1">OFFSET(ORÇAMENTO!R$15,ROW(F106)-ROW(F$15),0)</f>
        <v>Imprimação com emulsão asfáltica</v>
      </c>
      <c r="G106" s="164" t="str">
        <f ca="1">IF($D106&lt;&gt;"Serviço","",OFFSET(ORÇAMENTO!S$15,ROW(G106)-ROW(G$15),0))</f>
        <v>m²</v>
      </c>
      <c r="H106" s="122" cm="1">
        <f t="array" aca="1" ref="H106" ca="1">IF($D106&lt;&gt;"Serviço",0,IF(ACOMPANHAMENTO="BM",ROUND(OFFSET(ORÇAMENTO!AJ$15,ROW(H106)-ROW(H$15),0),15-13*ORÇAMENTO!$AF$7),SUMPRODUCT(($Q$1:$AI$1=1)*ROUND($Q106:$AI106,15-13*ORÇAMENTO!$AF$7))))</f>
        <v>1640</v>
      </c>
      <c r="I106" s="468"/>
      <c r="J106" s="651" t="e" cm="1">
        <f t="array" aca="1" ref="J106" ca="1">IF(OR(B106&lt;&gt;"S",CÁLCULO.FrentesPreenchidas=0),"",IF(AND(ACOMPANHAMENTO="PLE",AUTOEVENTO="Manual",OR(H106&gt;0,ORÇAMENTO!AC106="QUANT."),OR(K106="",M106=0,N106="")),"►E",IF(AND(ACOMPANHAMENTO="PLE",ORÇAMENTO!AC106="QUANT."),"►Q",IF(AND(ACOMPANHAMENTO="PLE",H106&lt;&gt;SUMPRODUCT(($Q$1:$AI$1=1)*ROUND(Q106:AI106,15))),"►S",IF(AND(COUNTIF($P$11:$AI$11,"▼")=0,H106&gt;0,I106=""),"◄M","")))))</f>
        <v>#NAME?</v>
      </c>
      <c r="K106" s="652"/>
      <c r="L106" s="165" t="s">
        <v>764</v>
      </c>
      <c r="M106" s="166">
        <f ca="1">IF($D106&lt;&gt;"Serviço","",
          IF(AUTOEVENTO="manual",$A106,
                IF(ISERROR(MATCH($A106,$A$15:OFFSET($A106,-1,0),0)),MAX($M$15:OFFSET(M106,-1,0))+1,
                      INDEX($M$15:OFFSET(M106,-1,0),MATCH($A106,$A$15:OFFSET($A106,-1,0),0)))))</f>
        <v>15</v>
      </c>
      <c r="N106" s="167" t="str">
        <f ca="1">IF($D106&lt;&gt;"Serviço","",
         IF(AUTOEVENTO="Manual",
                IF($A106=0,"&lt;-- defina o número do agrupador",
                       OFFSET(EVENTOS!$D$15,$A106-$A$15,0)),
                OFFSET($F$15,$A106,0)))</f>
        <v>PAVIMENTAÇÃO</v>
      </c>
      <c r="O106" s="168"/>
      <c r="Q106" s="168"/>
      <c r="R106" s="169"/>
      <c r="S106" s="169"/>
      <c r="T106" s="169"/>
      <c r="U106" s="169">
        <v>1640</v>
      </c>
      <c r="V106" s="169"/>
      <c r="W106" s="169"/>
      <c r="X106" s="169"/>
      <c r="Y106" s="169"/>
      <c r="Z106" s="170"/>
      <c r="AA106" s="169"/>
      <c r="AB106" s="169"/>
      <c r="AC106" s="169"/>
      <c r="AD106" s="169"/>
      <c r="AE106" s="169"/>
      <c r="AF106" s="169"/>
      <c r="AG106" s="169"/>
      <c r="AH106" s="170"/>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L106" s="453">
        <f ca="1">IF(AND($D106="Serviço",AL$12&lt;&gt;0,$H106&gt;0,OR(AUTOEVENTO&lt;&gt;"manual",$M106&lt;&gt;$A$15)),
        IF(Import.TipoArredondamento&lt;&gt;"TransfereGOV",
              ROUND(OFFSET($P106,0,AL$13),15-13*ORÇAMENTO!$AF$7)/$H106*OFFSET(ORÇAMENTO!$X$15,ROW(AL106)-ROW(AL$15),0),
              ROUND(ROUND(OFFSET($P106,0,AL$13),15-13*ORÇAMENTO!$AF$7)*OFFSET(ORÇAMENTO!$W$15,ROW(AL106)-ROW(AL$15),0),15-13*ORÇAMENTO!$AF$11)),
         0)</f>
        <v>0</v>
      </c>
      <c r="AM106" s="453">
        <f ca="1">IF(AND($D106="Serviço",AM$12&lt;&gt;0,$H106&gt;0,OR(AUTOEVENTO&lt;&gt;"manual",$M106&lt;&gt;$A$15)),
        IF(Import.TipoArredondamento&lt;&gt;"TransfereGOV",
              ROUND(OFFSET($P106,0,AM$13),15-13*ORÇAMENTO!$AF$7)/$H106*OFFSET(ORÇAMENTO!$X$15,ROW(AM106)-ROW(AM$15),0),
              ROUND(ROUND(OFFSET($P106,0,AM$13),15-13*ORÇAMENTO!$AF$7)*OFFSET(ORÇAMENTO!$W$15,ROW(AM106)-ROW(AM$15),0),15-13*ORÇAMENTO!$AF$11)),
         0)</f>
        <v>0</v>
      </c>
      <c r="AN106" s="453">
        <f ca="1">IF(AND($D106="Serviço",AN$12&lt;&gt;0,$H106&gt;0,OR(AUTOEVENTO&lt;&gt;"manual",$M106&lt;&gt;$A$15)),
        IF(Import.TipoArredondamento&lt;&gt;"TransfereGOV",
              ROUND(OFFSET($P106,0,AN$13),15-13*ORÇAMENTO!$AF$7)/$H106*OFFSET(ORÇAMENTO!$X$15,ROW(AN106)-ROW(AN$15),0),
              ROUND(ROUND(OFFSET($P106,0,AN$13),15-13*ORÇAMENTO!$AF$7)*OFFSET(ORÇAMENTO!$W$15,ROW(AN106)-ROW(AN$15),0),15-13*ORÇAMENTO!$AF$11)),
         0)</f>
        <v>1328.4</v>
      </c>
      <c r="AO106" s="453">
        <f ca="1">IF(AND($D106="Serviço",AO$12&lt;&gt;0,$H106&gt;0,OR(AUTOEVENTO&lt;&gt;"manual",$M106&lt;&gt;$A$15)),
        IF(Import.TipoArredondamento&lt;&gt;"TransfereGOV",
              ROUND(OFFSET($P106,0,AO$13),15-13*ORÇAMENTO!$AF$7)/$H106*OFFSET(ORÇAMENTO!$X$15,ROW(AO106)-ROW(AO$15),0),
              ROUND(ROUND(OFFSET($P106,0,AO$13),15-13*ORÇAMENTO!$AF$7)*OFFSET(ORÇAMENTO!$W$15,ROW(AO106)-ROW(AO$15),0),15-13*ORÇAMENTO!$AF$11)),
         0)</f>
        <v>0</v>
      </c>
      <c r="AP106" s="453">
        <f ca="1">IF(AND($D106="Serviço",AP$12&lt;&gt;0,$H106&gt;0,OR(AUTOEVENTO&lt;&gt;"manual",$M106&lt;&gt;$A$15)),
        IF(Import.TipoArredondamento&lt;&gt;"TransfereGOV",
              ROUND(OFFSET($P106,0,AP$13),15-13*ORÇAMENTO!$AF$7)/$H106*OFFSET(ORÇAMENTO!$X$15,ROW(AP106)-ROW(AP$15),0),
              ROUND(ROUND(OFFSET($P106,0,AP$13),15-13*ORÇAMENTO!$AF$7)*OFFSET(ORÇAMENTO!$W$15,ROW(AP106)-ROW(AP$15),0),15-13*ORÇAMENTO!$AF$11)),
         0)</f>
        <v>0</v>
      </c>
      <c r="AQ106" s="453">
        <f ca="1">IF(AND($D106="Serviço",AQ$12&lt;&gt;0,$H106&gt;0,OR(AUTOEVENTO&lt;&gt;"manual",$M106&lt;&gt;$A$15)),
        IF(Import.TipoArredondamento&lt;&gt;"TransfereGOV",
              ROUND(OFFSET($P106,0,AQ$13),15-13*ORÇAMENTO!$AF$7)/$H106*OFFSET(ORÇAMENTO!$X$15,ROW(AQ106)-ROW(AQ$15),0),
              ROUND(ROUND(OFFSET($P106,0,AQ$13),15-13*ORÇAMENTO!$AF$7)*OFFSET(ORÇAMENTO!$W$15,ROW(AQ106)-ROW(AQ$15),0),15-13*ORÇAMENTO!$AF$11)),
         0)</f>
        <v>0</v>
      </c>
      <c r="AR106" s="453">
        <f ca="1">IF(AND($D106="Serviço",AR$12&lt;&gt;0,$H106&gt;0,OR(AUTOEVENTO&lt;&gt;"manual",$M106&lt;&gt;$A$15)),
        IF(Import.TipoArredondamento&lt;&gt;"TransfereGOV",
              ROUND(OFFSET($P106,0,AR$13),15-13*ORÇAMENTO!$AF$7)/$H106*OFFSET(ORÇAMENTO!$X$15,ROW(AR106)-ROW(AR$15),0),
              ROUND(ROUND(OFFSET($P106,0,AR$13),15-13*ORÇAMENTO!$AF$7)*OFFSET(ORÇAMENTO!$W$15,ROW(AR106)-ROW(AR$15),0),15-13*ORÇAMENTO!$AF$11)),
         0)</f>
        <v>0</v>
      </c>
      <c r="AS106" s="453">
        <f ca="1">IF(AND($D106="Serviço",AS$12&lt;&gt;0,$H106&gt;0,OR(AUTOEVENTO&lt;&gt;"manual",$M106&lt;&gt;$A$15)),
        IF(Import.TipoArredondamento&lt;&gt;"TransfereGOV",
              ROUND(OFFSET($P106,0,AS$13),15-13*ORÇAMENTO!$AF$7)/$H106*OFFSET(ORÇAMENTO!$X$15,ROW(AS106)-ROW(AS$15),0),
              ROUND(ROUND(OFFSET($P106,0,AS$13),15-13*ORÇAMENTO!$AF$7)*OFFSET(ORÇAMENTO!$W$15,ROW(AS106)-ROW(AS$15),0),15-13*ORÇAMENTO!$AF$11)),
         0)</f>
        <v>0</v>
      </c>
      <c r="AT106" s="453">
        <f ca="1">IF(AND($D106="Serviço",AT$12&lt;&gt;0,$H106&gt;0,OR(AUTOEVENTO&lt;&gt;"manual",$M106&lt;&gt;$A$15)),
        IF(Import.TipoArredondamento&lt;&gt;"TransfereGOV",
              ROUND(OFFSET($P106,0,AT$13),15-13*ORÇAMENTO!$AF$7)/$H106*OFFSET(ORÇAMENTO!$X$15,ROW(AT106)-ROW(AT$15),0),
              ROUND(ROUND(OFFSET($P106,0,AT$13),15-13*ORÇAMENTO!$AF$7)*OFFSET(ORÇAMENTO!$W$15,ROW(AT106)-ROW(AT$15),0),15-13*ORÇAMENTO!$AF$11)),
         0)</f>
        <v>0</v>
      </c>
      <c r="AU106" s="453">
        <f ca="1">IF(AND($D106="Serviço",AU$12&lt;&gt;0,$H106&gt;0,OR(AUTOEVENTO&lt;&gt;"manual",$M106&lt;&gt;$A$15)),
        IF(Import.TipoArredondamento&lt;&gt;"TransfereGOV",
              ROUND(OFFSET($P106,0,AU$13),15-13*ORÇAMENTO!$AF$7)/$H106*OFFSET(ORÇAMENTO!$X$15,ROW(AU106)-ROW(AU$15),0),
              ROUND(ROUND(OFFSET($P106,0,AU$13),15-13*ORÇAMENTO!$AF$7)*OFFSET(ORÇAMENTO!$W$15,ROW(AU106)-ROW(AU$15),0),15-13*ORÇAMENTO!$AF$11)),
         0)</f>
        <v>0</v>
      </c>
      <c r="AV106" s="453">
        <f ca="1">IF(AND($D106="Serviço",AV$12&lt;&gt;0,$H106&gt;0,OR(AUTOEVENTO&lt;&gt;"manual",$M106&lt;&gt;$A$15)),
        IF(Import.TipoArredondamento&lt;&gt;"TransfereGOV",
              ROUND(OFFSET($P106,0,AV$13),15-13*ORÇAMENTO!$AF$7)/$H106*OFFSET(ORÇAMENTO!$X$15,ROW(AV106)-ROW(AV$15),0),
              ROUND(ROUND(OFFSET($P106,0,AV$13),15-13*ORÇAMENTO!$AF$7)*OFFSET(ORÇAMENTO!$W$15,ROW(AV106)-ROW(AV$15),0),15-13*ORÇAMENTO!$AF$11)),
         0)</f>
        <v>0</v>
      </c>
      <c r="AW106" s="453">
        <f ca="1">IF(AND($D106="Serviço",AW$12&lt;&gt;0,$H106&gt;0,OR(AUTOEVENTO&lt;&gt;"manual",$M106&lt;&gt;$A$15)),
        IF(Import.TipoArredondamento&lt;&gt;"TransfereGOV",
              ROUND(OFFSET($P106,0,AW$13),15-13*ORÇAMENTO!$AF$7)/$H106*OFFSET(ORÇAMENTO!$X$15,ROW(AW106)-ROW(AW$15),0),
              ROUND(ROUND(OFFSET($P106,0,AW$13),15-13*ORÇAMENTO!$AF$7)*OFFSET(ORÇAMENTO!$W$15,ROW(AW106)-ROW(AW$15),0),15-13*ORÇAMENTO!$AF$11)),
         0)</f>
        <v>0</v>
      </c>
      <c r="AX106" s="453">
        <f ca="1">IF(AND($D106="Serviço",AX$12&lt;&gt;0,$H106&gt;0,OR(AUTOEVENTO&lt;&gt;"manual",$M106&lt;&gt;$A$15)),
        IF(Import.TipoArredondamento&lt;&gt;"TransfereGOV",
              ROUND(OFFSET($P106,0,AX$13),15-13*ORÇAMENTO!$AF$7)/$H106*OFFSET(ORÇAMENTO!$X$15,ROW(AX106)-ROW(AX$15),0),
              ROUND(ROUND(OFFSET($P106,0,AX$13),15-13*ORÇAMENTO!$AF$7)*OFFSET(ORÇAMENTO!$W$15,ROW(AX106)-ROW(AX$15),0),15-13*ORÇAMENTO!$AF$11)),
         0)</f>
        <v>0</v>
      </c>
      <c r="AY106" s="453">
        <f ca="1">IF(AND($D106="Serviço",AY$12&lt;&gt;0,$H106&gt;0,OR(AUTOEVENTO&lt;&gt;"manual",$M106&lt;&gt;$A$15)),
        IF(Import.TipoArredondamento&lt;&gt;"TransfereGOV",
              ROUND(OFFSET($P106,0,AY$13),15-13*ORÇAMENTO!$AF$7)/$H106*OFFSET(ORÇAMENTO!$X$15,ROW(AY106)-ROW(AY$15),0),
              ROUND(ROUND(OFFSET($P106,0,AY$13),15-13*ORÇAMENTO!$AF$7)*OFFSET(ORÇAMENTO!$W$15,ROW(AY106)-ROW(AY$15),0),15-13*ORÇAMENTO!$AF$11)),
         0)</f>
        <v>0</v>
      </c>
      <c r="AZ106" s="453">
        <f ca="1">IF(AND($D106="Serviço",AZ$12&lt;&gt;0,$H106&gt;0,OR(AUTOEVENTO&lt;&gt;"manual",$M106&lt;&gt;$A$15)),
        IF(Import.TipoArredondamento&lt;&gt;"TransfereGOV",
              ROUND(OFFSET($P106,0,AZ$13),15-13*ORÇAMENTO!$AF$7)/$H106*OFFSET(ORÇAMENTO!$X$15,ROW(AZ106)-ROW(AZ$15),0),
              ROUND(ROUND(OFFSET($P106,0,AZ$13),15-13*ORÇAMENTO!$AF$7)*OFFSET(ORÇAMENTO!$W$15,ROW(AZ106)-ROW(AZ$15),0),15-13*ORÇAMENTO!$AF$11)),
         0)</f>
        <v>0</v>
      </c>
      <c r="BA106" s="453">
        <f ca="1">IF(AND($D106="Serviço",BA$12&lt;&gt;0,$H106&gt;0,OR(AUTOEVENTO&lt;&gt;"manual",$M106&lt;&gt;$A$15)),
        IF(Import.TipoArredondamento&lt;&gt;"TransfereGOV",
              ROUND(OFFSET($P106,0,BA$13),15-13*ORÇAMENTO!$AF$7)/$H106*OFFSET(ORÇAMENTO!$X$15,ROW(BA106)-ROW(BA$15),0),
              ROUND(ROUND(OFFSET($P106,0,BA$13),15-13*ORÇAMENTO!$AF$7)*OFFSET(ORÇAMENTO!$W$15,ROW(BA106)-ROW(BA$15),0),15-13*ORÇAMENTO!$AF$11)),
         0)</f>
        <v>0</v>
      </c>
      <c r="BC106" s="171">
        <f ca="1">IF(OR($D106&lt;&gt;"Serviço",AND(AUTOEVENTO="Manual",$M106=$A$15)),0,
         IF(OFFSET(CRONOPLE!$F$15,$M106-$A$15,BC$13)=0,10^12,OFFSET(CRONOPLE!$F$15,$M106-$A$15,BC$13)))</f>
        <v>1000000000000</v>
      </c>
      <c r="BD106" s="171">
        <f ca="1">IF(OR($D106&lt;&gt;"Serviço",AND(AUTOEVENTO="Manual",$M106=$A$15)),0,
         IF(OFFSET(CRONOPLE!$F$15,$M106-$A$15,BD$13)=0,10^12,OFFSET(CRONOPLE!$F$15,$M106-$A$15,BD$13)))</f>
        <v>1000000000000</v>
      </c>
      <c r="BE106" s="171">
        <f ca="1">IF(OR($D106&lt;&gt;"Serviço",AND(AUTOEVENTO="Manual",$M106=$A$15)),0,
         IF(OFFSET(CRONOPLE!$F$15,$M106-$A$15,BE$13)=0,10^12,OFFSET(CRONOPLE!$F$15,$M106-$A$15,BE$13)))</f>
        <v>1000000000000</v>
      </c>
      <c r="BF106" s="171">
        <f ca="1">IF(OR($D106&lt;&gt;"Serviço",AND(AUTOEVENTO="Manual",$M106=$A$15)),0,
         IF(OFFSET(CRONOPLE!$F$15,$M106-$A$15,BF$13)=0,10^12,OFFSET(CRONOPLE!$F$15,$M106-$A$15,BF$13)))</f>
        <v>1000000000000</v>
      </c>
      <c r="BG106" s="171">
        <f ca="1">IF(OR($D106&lt;&gt;"Serviço",AND(AUTOEVENTO="Manual",$M106=$A$15)),0,
         IF(OFFSET(CRONOPLE!$F$15,$M106-$A$15,BG$13)=0,10^12,OFFSET(CRONOPLE!$F$15,$M106-$A$15,BG$13)))</f>
        <v>4</v>
      </c>
      <c r="BH106" s="171">
        <f ca="1">IF(OR($D106&lt;&gt;"Serviço",AND(AUTOEVENTO="Manual",$M106=$A$15)),0,
         IF(OFFSET(CRONOPLE!$F$15,$M106-$A$15,BH$13)=0,10^12,OFFSET(CRONOPLE!$F$15,$M106-$A$15,BH$13)))</f>
        <v>1000000000000</v>
      </c>
      <c r="BI106" s="171">
        <f ca="1">IF(OR($D106&lt;&gt;"Serviço",AND(AUTOEVENTO="Manual",$M106=$A$15)),0,
         IF(OFFSET(CRONOPLE!$F$15,$M106-$A$15,BI$13)=0,10^12,OFFSET(CRONOPLE!$F$15,$M106-$A$15,BI$13)))</f>
        <v>1000000000000</v>
      </c>
      <c r="BJ106" s="171">
        <f ca="1">IF(OR($D106&lt;&gt;"Serviço",AND(AUTOEVENTO="Manual",$M106=$A$15)),0,
         IF(OFFSET(CRONOPLE!$F$15,$M106-$A$15,BJ$13)=0,10^12,OFFSET(CRONOPLE!$F$15,$M106-$A$15,BJ$13)))</f>
        <v>1000000000000</v>
      </c>
      <c r="BK106" s="171">
        <f ca="1">IF(OR($D106&lt;&gt;"Serviço",AND(AUTOEVENTO="Manual",$M106=$A$15)),0,
         IF(OFFSET(CRONOPLE!$F$15,$M106-$A$15,BK$13)=0,10^12,OFFSET(CRONOPLE!$F$15,$M106-$A$15,BK$13)))</f>
        <v>1000000000000</v>
      </c>
      <c r="BL106" s="171">
        <f ca="1">IF(OR($D106&lt;&gt;"Serviço",AND(AUTOEVENTO="Manual",$M106=$A$15)),0,
         IF(OFFSET(CRONOPLE!$F$15,$M106-$A$15,BL$13)=0,10^12,OFFSET(CRONOPLE!$F$15,$M106-$A$15,BL$13)))</f>
        <v>1000000000000</v>
      </c>
      <c r="BM106" s="171">
        <f ca="1">IF(OR($D106&lt;&gt;"Serviço",AND(AUTOEVENTO="Manual",$M106=$A$15)),0,
         IF(OFFSET(CRONOPLE!$F$15,$M106-$A$15,BM$13)=0,10^12,OFFSET(CRONOPLE!$F$15,$M106-$A$15,BM$13)))</f>
        <v>1000000000000</v>
      </c>
      <c r="BN106" s="171">
        <f ca="1">IF(OR($D106&lt;&gt;"Serviço",AND(AUTOEVENTO="Manual",$M106=$A$15)),0,
         IF(OFFSET(CRONOPLE!$F$15,$M106-$A$15,BN$13)=0,10^12,OFFSET(CRONOPLE!$F$15,$M106-$A$15,BN$13)))</f>
        <v>1000000000000</v>
      </c>
      <c r="BO106" s="171">
        <f ca="1">IF(OR($D106&lt;&gt;"Serviço",AND(AUTOEVENTO="Manual",$M106=$A$15)),0,
         IF(OFFSET(CRONOPLE!$F$15,$M106-$A$15,BO$13)=0,10^12,OFFSET(CRONOPLE!$F$15,$M106-$A$15,BO$13)))</f>
        <v>1000000000000</v>
      </c>
      <c r="BP106" s="171">
        <f ca="1">IF(OR($D106&lt;&gt;"Serviço",AND(AUTOEVENTO="Manual",$M106=$A$15)),0,
         IF(OFFSET(CRONOPLE!$F$15,$M106-$A$15,BP$13)=0,10^12,OFFSET(CRONOPLE!$F$15,$M106-$A$15,BP$13)))</f>
        <v>1000000000000</v>
      </c>
      <c r="BQ106" s="171">
        <f ca="1">IF(OR($D106&lt;&gt;"Serviço",AND(AUTOEVENTO="Manual",$M106=$A$15)),0,
         IF(OFFSET(CRONOPLE!$F$15,$M106-$A$15,BQ$13)=0,10^12,OFFSET(CRONOPLE!$F$15,$M106-$A$15,BQ$13)))</f>
        <v>1000000000000</v>
      </c>
      <c r="BR106" s="171">
        <f ca="1">IF(OR($D106&lt;&gt;"Serviço",AND(AUTOEVENTO="Manual",$M106=$A$15)),0,
         IF(OFFSET(CRONOPLE!$F$15,$M106-$A$15,BR$13)=0,10^12,OFFSET(CRONOPLE!$F$15,$M106-$A$15,BR$13)))</f>
        <v>1000000000000</v>
      </c>
      <c r="BS106" s="171">
        <f ca="1">IF(OR($D106&lt;&gt;"Serviço",AND(AUTOEVENTO="Manual",$M106=$A$15)),0,
         IF(OFFSET(CRONOPLE!$F$15,$M106-$A$15,BS$13)=0,10^12,OFFSET(CRONOPLE!$F$15,$M106-$A$15,BS$13)))</f>
        <v>1000000000000</v>
      </c>
      <c r="BT106" s="171">
        <f ca="1">IF(OR($D106&lt;&gt;"Serviço",AND(AUTOEVENTO="Manual",$M106=$A$15)),0,
         IF(OFFSET(CRONOPLE!$F$15,$M106-$A$15,BT$13)=0,10^12,OFFSET(CRONOPLE!$F$15,$M106-$A$15,BT$13)))</f>
        <v>1000000000000</v>
      </c>
      <c r="BV106" s="172">
        <f ca="1">IF(OR($D106&lt;&gt;"Serviço",AND(AUTOEVENTO="Manual",$M106=$A$15),$M106&gt;(ROW(PLE.lastrow)-ROW(PLE.firstrow))),0,
           IF(OFFSET(PLE!$G$15,$M106-$A$15,BV$13)="",10^12,OFFSET(PLE!$G$15,$M106-$A$15,BV$13)))</f>
        <v>1000000000000</v>
      </c>
      <c r="BW106" s="172">
        <f ca="1">IF(OR($D106&lt;&gt;"Serviço",AND(AUTOEVENTO="Manual",$M106=$A$15),$M106&gt;(ROW(PLE.lastrow)-ROW(PLE.firstrow))),0,
           IF(OFFSET(PLE!$G$15,$M106-$A$15,BW$13)="",10^12,OFFSET(PLE!$G$15,$M106-$A$15,BW$13)))</f>
        <v>1000000000000</v>
      </c>
      <c r="BX106" s="172">
        <f ca="1">IF(OR($D106&lt;&gt;"Serviço",AND(AUTOEVENTO="Manual",$M106=$A$15),$M106&gt;(ROW(PLE.lastrow)-ROW(PLE.firstrow))),0,
           IF(OFFSET(PLE!$G$15,$M106-$A$15,BX$13)="",10^12,OFFSET(PLE!$G$15,$M106-$A$15,BX$13)))</f>
        <v>1000000000000</v>
      </c>
      <c r="BY106" s="172">
        <f ca="1">IF(OR($D106&lt;&gt;"Serviço",AND(AUTOEVENTO="Manual",$M106=$A$15),$M106&gt;(ROW(PLE.lastrow)-ROW(PLE.firstrow))),0,
           IF(OFFSET(PLE!$G$15,$M106-$A$15,BY$13)="",10^12,OFFSET(PLE!$G$15,$M106-$A$15,BY$13)))</f>
        <v>1000000000000</v>
      </c>
      <c r="BZ106" s="172">
        <f ca="1">IF(OR($D106&lt;&gt;"Serviço",AND(AUTOEVENTO="Manual",$M106=$A$15),$M106&gt;(ROW(PLE.lastrow)-ROW(PLE.firstrow))),0,
           IF(OFFSET(PLE!$G$15,$M106-$A$15,BZ$13)="",10^12,OFFSET(PLE!$G$15,$M106-$A$15,BZ$13)))</f>
        <v>1000000000000</v>
      </c>
      <c r="CA106" s="172">
        <f ca="1">IF(OR($D106&lt;&gt;"Serviço",AND(AUTOEVENTO="Manual",$M106=$A$15),$M106&gt;(ROW(PLE.lastrow)-ROW(PLE.firstrow))),0,
           IF(OFFSET(PLE!$G$15,$M106-$A$15,CA$13)="",10^12,OFFSET(PLE!$G$15,$M106-$A$15,CA$13)))</f>
        <v>1000000000000</v>
      </c>
      <c r="CB106" s="172">
        <f ca="1">IF(OR($D106&lt;&gt;"Serviço",AND(AUTOEVENTO="Manual",$M106=$A$15),$M106&gt;(ROW(PLE.lastrow)-ROW(PLE.firstrow))),0,
           IF(OFFSET(PLE!$G$15,$M106-$A$15,CB$13)="",10^12,OFFSET(PLE!$G$15,$M106-$A$15,CB$13)))</f>
        <v>1000000000000</v>
      </c>
      <c r="CC106" s="172">
        <f ca="1">IF(OR($D106&lt;&gt;"Serviço",AND(AUTOEVENTO="Manual",$M106=$A$15),$M106&gt;(ROW(PLE.lastrow)-ROW(PLE.firstrow))),0,
           IF(OFFSET(PLE!$G$15,$M106-$A$15,CC$13)="",10^12,OFFSET(PLE!$G$15,$M106-$A$15,CC$13)))</f>
        <v>1000000000000</v>
      </c>
      <c r="CD106" s="172">
        <f ca="1">IF(OR($D106&lt;&gt;"Serviço",AND(AUTOEVENTO="Manual",$M106=$A$15),$M106&gt;(ROW(PLE.lastrow)-ROW(PLE.firstrow))),0,
           IF(OFFSET(PLE!$G$15,$M106-$A$15,CD$13)="",10^12,OFFSET(PLE!$G$15,$M106-$A$15,CD$13)))</f>
        <v>1000000000000</v>
      </c>
      <c r="CE106" s="172">
        <f ca="1">IF(OR($D106&lt;&gt;"Serviço",AND(AUTOEVENTO="Manual",$M106=$A$15),$M106&gt;(ROW(PLE.lastrow)-ROW(PLE.firstrow))),0,
           IF(OFFSET(PLE!$G$15,$M106-$A$15,CE$13)="",10^12,OFFSET(PLE!$G$15,$M106-$A$15,CE$13)))</f>
        <v>1000000000000</v>
      </c>
      <c r="CF106" s="172">
        <f ca="1">IF(OR($D106&lt;&gt;"Serviço",AND(AUTOEVENTO="Manual",$M106=$A$15),$M106&gt;(ROW(PLE.lastrow)-ROW(PLE.firstrow))),0,
           IF(OFFSET(PLE!$G$15,$M106-$A$15,CF$13)="",10^12,OFFSET(PLE!$G$15,$M106-$A$15,CF$13)))</f>
        <v>1000000000000</v>
      </c>
      <c r="CG106" s="172">
        <f ca="1">IF(OR($D106&lt;&gt;"Serviço",AND(AUTOEVENTO="Manual",$M106=$A$15),$M106&gt;(ROW(PLE.lastrow)-ROW(PLE.firstrow))),0,
           IF(OFFSET(PLE!$G$15,$M106-$A$15,CG$13)="",10^12,OFFSET(PLE!$G$15,$M106-$A$15,CG$13)))</f>
        <v>1000000000000</v>
      </c>
      <c r="CH106" s="172">
        <f ca="1">IF(OR($D106&lt;&gt;"Serviço",AND(AUTOEVENTO="Manual",$M106=$A$15),$M106&gt;(ROW(PLE.lastrow)-ROW(PLE.firstrow))),0,
           IF(OFFSET(PLE!$G$15,$M106-$A$15,CH$13)="",10^12,OFFSET(PLE!$G$15,$M106-$A$15,CH$13)))</f>
        <v>1000000000000</v>
      </c>
      <c r="CI106" s="172">
        <f ca="1">IF(OR($D106&lt;&gt;"Serviço",AND(AUTOEVENTO="Manual",$M106=$A$15),$M106&gt;(ROW(PLE.lastrow)-ROW(PLE.firstrow))),0,
           IF(OFFSET(PLE!$G$15,$M106-$A$15,CI$13)="",10^12,OFFSET(PLE!$G$15,$M106-$A$15,CI$13)))</f>
        <v>1000000000000</v>
      </c>
      <c r="CJ106" s="172">
        <f ca="1">IF(OR($D106&lt;&gt;"Serviço",AND(AUTOEVENTO="Manual",$M106=$A$15),$M106&gt;(ROW(PLE.lastrow)-ROW(PLE.firstrow))),0,
           IF(OFFSET(PLE!$G$15,$M106-$A$15,CJ$13)="",10^12,OFFSET(PLE!$G$15,$M106-$A$15,CJ$13)))</f>
        <v>1000000000000</v>
      </c>
      <c r="CK106" s="172">
        <f ca="1">IF(OR($D106&lt;&gt;"Serviço",AND(AUTOEVENTO="Manual",$M106=$A$15),$M106&gt;(ROW(PLE.lastrow)-ROW(PLE.firstrow))),0,
           IF(OFFSET(PLE!$G$15,$M106-$A$15,CK$13)="",10^12,OFFSET(PLE!$G$15,$M106-$A$15,CK$13)))</f>
        <v>1000000000000</v>
      </c>
      <c r="CL106" s="172">
        <f ca="1">IF(OR($D106&lt;&gt;"Serviço",AND(AUTOEVENTO="Manual",$M106=$A$15),$M106&gt;(ROW(PLE.lastrow)-ROW(PLE.firstrow))),0,
           IF(OFFSET(PLE!$G$15,$M106-$A$15,CL$13)="",10^12,OFFSET(PLE!$G$15,$M106-$A$15,CL$13)))</f>
        <v>1000000000000</v>
      </c>
      <c r="CM106" s="172">
        <f ca="1">IF(OR($D106&lt;&gt;"Serviço",AND(AUTOEVENTO="Manual",$M106=$A$15),$M106&gt;(ROW(PLE.lastrow)-ROW(PLE.firstrow))),0,
           IF(OFFSET(PLE!$G$15,$M106-$A$15,CM$13)="",10^12,OFFSET(PLE!$G$15,$M106-$A$15,CM$13)))</f>
        <v>1000000000000</v>
      </c>
    </row>
    <row r="107" spans="1:91" ht="26.4" x14ac:dyDescent="0.25">
      <c r="A107" s="7" t="str">
        <f t="shared" ca="1" si="11"/>
        <v>86</v>
      </c>
      <c r="B107" s="7" t="str">
        <f ca="1">OFFSET(ORÇAMENTO!C$15,ROW(B107)-ROW(B$15),0)</f>
        <v>S</v>
      </c>
      <c r="C107" s="7" t="str">
        <f ca="1">OFFSET(ORÇAMENTO!L$15,ROW(C107)-ROW(C$15),0)</f>
        <v>F</v>
      </c>
      <c r="D107" s="116" t="str">
        <f ca="1">OFFSET(ORÇAMENTO!N$15,ROW(D107)-ROW(D$15),0)</f>
        <v>Serviço</v>
      </c>
      <c r="E107" s="117" t="str">
        <f ca="1">OFFSET(ORÇAMENTO!O$15,ROW(E107)-ROW(E$15),0)</f>
        <v>3.2.6.</v>
      </c>
      <c r="F107" s="163" t="str">
        <f ca="1">OFFSET(ORÇAMENTO!R$15,ROW(F107)-ROW(F$15),0)</f>
        <v>EMULSÃO ASFÁLTICA PARA SERVIÇO DE IMPRIMAÇÃO COLETADO NA ANP ACRESCIDO DE IMPOSTOS (ICMS, PIS, COFINS)</v>
      </c>
      <c r="G107" s="164" t="str">
        <f ca="1">IF($D107&lt;&gt;"Serviço","",OFFSET(ORÇAMENTO!S$15,ROW(G107)-ROW(G$15),0))</f>
        <v>KG</v>
      </c>
      <c r="H107" s="122" cm="1">
        <f t="array" aca="1" ref="H107" ca="1">IF($D107&lt;&gt;"Serviço",0,IF(ACOMPANHAMENTO="BM",ROUND(OFFSET(ORÇAMENTO!AJ$15,ROW(H107)-ROW(H$15),0),15-13*ORÇAMENTO!$AF$7),SUMPRODUCT(($Q$1:$AI$1=1)*ROUND($Q107:$AI107,15-13*ORÇAMENTO!$AF$7))))</f>
        <v>2132</v>
      </c>
      <c r="I107" s="468"/>
      <c r="J107" s="651" t="e" cm="1">
        <f t="array" aca="1" ref="J107" ca="1">IF(OR(B107&lt;&gt;"S",CÁLCULO.FrentesPreenchidas=0),"",IF(AND(ACOMPANHAMENTO="PLE",AUTOEVENTO="Manual",OR(H107&gt;0,ORÇAMENTO!AC107="QUANT."),OR(K107="",M107=0,N107="")),"►E",IF(AND(ACOMPANHAMENTO="PLE",ORÇAMENTO!AC107="QUANT."),"►Q",IF(AND(ACOMPANHAMENTO="PLE",H107&lt;&gt;SUMPRODUCT(($Q$1:$AI$1=1)*ROUND(Q107:AI107,15))),"►S",IF(AND(COUNTIF($P$11:$AI$11,"▼")=0,H107&gt;0,I107=""),"◄M","")))))</f>
        <v>#NAME?</v>
      </c>
      <c r="K107" s="652"/>
      <c r="L107" s="165" t="s">
        <v>764</v>
      </c>
      <c r="M107" s="166">
        <f ca="1">IF($D107&lt;&gt;"Serviço","",
          IF(AUTOEVENTO="manual",$A107,
                IF(ISERROR(MATCH($A107,$A$15:OFFSET($A107,-1,0),0)),MAX($M$15:OFFSET(M107,-1,0))+1,
                      INDEX($M$15:OFFSET(M107,-1,0),MATCH($A107,$A$15:OFFSET($A107,-1,0),0)))))</f>
        <v>15</v>
      </c>
      <c r="N107" s="167" t="str">
        <f ca="1">IF($D107&lt;&gt;"Serviço","",
         IF(AUTOEVENTO="Manual",
                IF($A107=0,"&lt;-- defina o número do agrupador",
                       OFFSET(EVENTOS!$D$15,$A107-$A$15,0)),
                OFFSET($F$15,$A107,0)))</f>
        <v>PAVIMENTAÇÃO</v>
      </c>
      <c r="O107" s="168"/>
      <c r="Q107" s="168"/>
      <c r="R107" s="169"/>
      <c r="S107" s="169"/>
      <c r="T107" s="169"/>
      <c r="U107" s="169">
        <f>U106*1.3</f>
        <v>2132</v>
      </c>
      <c r="V107" s="169"/>
      <c r="W107" s="169"/>
      <c r="X107" s="169"/>
      <c r="Y107" s="169"/>
      <c r="Z107" s="170"/>
      <c r="AA107" s="169"/>
      <c r="AB107" s="169"/>
      <c r="AC107" s="169"/>
      <c r="AD107" s="169"/>
      <c r="AE107" s="169"/>
      <c r="AF107" s="169"/>
      <c r="AG107" s="169"/>
      <c r="AH107" s="170"/>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L107" s="453">
        <f ca="1">IF(AND($D107="Serviço",AL$12&lt;&gt;0,$H107&gt;0,OR(AUTOEVENTO&lt;&gt;"manual",$M107&lt;&gt;$A$15)),
        IF(Import.TipoArredondamento&lt;&gt;"TransfereGOV",
              ROUND(OFFSET($P107,0,AL$13),15-13*ORÇAMENTO!$AF$7)/$H107*OFFSET(ORÇAMENTO!$X$15,ROW(AL107)-ROW(AL$15),0),
              ROUND(ROUND(OFFSET($P107,0,AL$13),15-13*ORÇAMENTO!$AF$7)*OFFSET(ORÇAMENTO!$W$15,ROW(AL107)-ROW(AL$15),0),15-13*ORÇAMENTO!$AF$11)),
         0)</f>
        <v>0</v>
      </c>
      <c r="AM107" s="453">
        <f ca="1">IF(AND($D107="Serviço",AM$12&lt;&gt;0,$H107&gt;0,OR(AUTOEVENTO&lt;&gt;"manual",$M107&lt;&gt;$A$15)),
        IF(Import.TipoArredondamento&lt;&gt;"TransfereGOV",
              ROUND(OFFSET($P107,0,AM$13),15-13*ORÇAMENTO!$AF$7)/$H107*OFFSET(ORÇAMENTO!$X$15,ROW(AM107)-ROW(AM$15),0),
              ROUND(ROUND(OFFSET($P107,0,AM$13),15-13*ORÇAMENTO!$AF$7)*OFFSET(ORÇAMENTO!$W$15,ROW(AM107)-ROW(AM$15),0),15-13*ORÇAMENTO!$AF$11)),
         0)</f>
        <v>0</v>
      </c>
      <c r="AN107" s="453">
        <f ca="1">IF(AND($D107="Serviço",AN$12&lt;&gt;0,$H107&gt;0,OR(AUTOEVENTO&lt;&gt;"manual",$M107&lt;&gt;$A$15)),
        IF(Import.TipoArredondamento&lt;&gt;"TransfereGOV",
              ROUND(OFFSET($P107,0,AN$13),15-13*ORÇAMENTO!$AF$7)/$H107*OFFSET(ORÇAMENTO!$X$15,ROW(AN107)-ROW(AN$15),0),
              ROUND(ROUND(OFFSET($P107,0,AN$13),15-13*ORÇAMENTO!$AF$7)*OFFSET(ORÇAMENTO!$W$15,ROW(AN107)-ROW(AN$15),0),15-13*ORÇAMENTO!$AF$11)),
         0)</f>
        <v>8442.7199999999993</v>
      </c>
      <c r="AO107" s="453">
        <f ca="1">IF(AND($D107="Serviço",AO$12&lt;&gt;0,$H107&gt;0,OR(AUTOEVENTO&lt;&gt;"manual",$M107&lt;&gt;$A$15)),
        IF(Import.TipoArredondamento&lt;&gt;"TransfereGOV",
              ROUND(OFFSET($P107,0,AO$13),15-13*ORÇAMENTO!$AF$7)/$H107*OFFSET(ORÇAMENTO!$X$15,ROW(AO107)-ROW(AO$15),0),
              ROUND(ROUND(OFFSET($P107,0,AO$13),15-13*ORÇAMENTO!$AF$7)*OFFSET(ORÇAMENTO!$W$15,ROW(AO107)-ROW(AO$15),0),15-13*ORÇAMENTO!$AF$11)),
         0)</f>
        <v>0</v>
      </c>
      <c r="AP107" s="453">
        <f ca="1">IF(AND($D107="Serviço",AP$12&lt;&gt;0,$H107&gt;0,OR(AUTOEVENTO&lt;&gt;"manual",$M107&lt;&gt;$A$15)),
        IF(Import.TipoArredondamento&lt;&gt;"TransfereGOV",
              ROUND(OFFSET($P107,0,AP$13),15-13*ORÇAMENTO!$AF$7)/$H107*OFFSET(ORÇAMENTO!$X$15,ROW(AP107)-ROW(AP$15),0),
              ROUND(ROUND(OFFSET($P107,0,AP$13),15-13*ORÇAMENTO!$AF$7)*OFFSET(ORÇAMENTO!$W$15,ROW(AP107)-ROW(AP$15),0),15-13*ORÇAMENTO!$AF$11)),
         0)</f>
        <v>0</v>
      </c>
      <c r="AQ107" s="453">
        <f ca="1">IF(AND($D107="Serviço",AQ$12&lt;&gt;0,$H107&gt;0,OR(AUTOEVENTO&lt;&gt;"manual",$M107&lt;&gt;$A$15)),
        IF(Import.TipoArredondamento&lt;&gt;"TransfereGOV",
              ROUND(OFFSET($P107,0,AQ$13),15-13*ORÇAMENTO!$AF$7)/$H107*OFFSET(ORÇAMENTO!$X$15,ROW(AQ107)-ROW(AQ$15),0),
              ROUND(ROUND(OFFSET($P107,0,AQ$13),15-13*ORÇAMENTO!$AF$7)*OFFSET(ORÇAMENTO!$W$15,ROW(AQ107)-ROW(AQ$15),0),15-13*ORÇAMENTO!$AF$11)),
         0)</f>
        <v>0</v>
      </c>
      <c r="AR107" s="453">
        <f ca="1">IF(AND($D107="Serviço",AR$12&lt;&gt;0,$H107&gt;0,OR(AUTOEVENTO&lt;&gt;"manual",$M107&lt;&gt;$A$15)),
        IF(Import.TipoArredondamento&lt;&gt;"TransfereGOV",
              ROUND(OFFSET($P107,0,AR$13),15-13*ORÇAMENTO!$AF$7)/$H107*OFFSET(ORÇAMENTO!$X$15,ROW(AR107)-ROW(AR$15),0),
              ROUND(ROUND(OFFSET($P107,0,AR$13),15-13*ORÇAMENTO!$AF$7)*OFFSET(ORÇAMENTO!$W$15,ROW(AR107)-ROW(AR$15),0),15-13*ORÇAMENTO!$AF$11)),
         0)</f>
        <v>0</v>
      </c>
      <c r="AS107" s="453">
        <f ca="1">IF(AND($D107="Serviço",AS$12&lt;&gt;0,$H107&gt;0,OR(AUTOEVENTO&lt;&gt;"manual",$M107&lt;&gt;$A$15)),
        IF(Import.TipoArredondamento&lt;&gt;"TransfereGOV",
              ROUND(OFFSET($P107,0,AS$13),15-13*ORÇAMENTO!$AF$7)/$H107*OFFSET(ORÇAMENTO!$X$15,ROW(AS107)-ROW(AS$15),0),
              ROUND(ROUND(OFFSET($P107,0,AS$13),15-13*ORÇAMENTO!$AF$7)*OFFSET(ORÇAMENTO!$W$15,ROW(AS107)-ROW(AS$15),0),15-13*ORÇAMENTO!$AF$11)),
         0)</f>
        <v>0</v>
      </c>
      <c r="AT107" s="453">
        <f ca="1">IF(AND($D107="Serviço",AT$12&lt;&gt;0,$H107&gt;0,OR(AUTOEVENTO&lt;&gt;"manual",$M107&lt;&gt;$A$15)),
        IF(Import.TipoArredondamento&lt;&gt;"TransfereGOV",
              ROUND(OFFSET($P107,0,AT$13),15-13*ORÇAMENTO!$AF$7)/$H107*OFFSET(ORÇAMENTO!$X$15,ROW(AT107)-ROW(AT$15),0),
              ROUND(ROUND(OFFSET($P107,0,AT$13),15-13*ORÇAMENTO!$AF$7)*OFFSET(ORÇAMENTO!$W$15,ROW(AT107)-ROW(AT$15),0),15-13*ORÇAMENTO!$AF$11)),
         0)</f>
        <v>0</v>
      </c>
      <c r="AU107" s="453">
        <f ca="1">IF(AND($D107="Serviço",AU$12&lt;&gt;0,$H107&gt;0,OR(AUTOEVENTO&lt;&gt;"manual",$M107&lt;&gt;$A$15)),
        IF(Import.TipoArredondamento&lt;&gt;"TransfereGOV",
              ROUND(OFFSET($P107,0,AU$13),15-13*ORÇAMENTO!$AF$7)/$H107*OFFSET(ORÇAMENTO!$X$15,ROW(AU107)-ROW(AU$15),0),
              ROUND(ROUND(OFFSET($P107,0,AU$13),15-13*ORÇAMENTO!$AF$7)*OFFSET(ORÇAMENTO!$W$15,ROW(AU107)-ROW(AU$15),0),15-13*ORÇAMENTO!$AF$11)),
         0)</f>
        <v>0</v>
      </c>
      <c r="AV107" s="453">
        <f ca="1">IF(AND($D107="Serviço",AV$12&lt;&gt;0,$H107&gt;0,OR(AUTOEVENTO&lt;&gt;"manual",$M107&lt;&gt;$A$15)),
        IF(Import.TipoArredondamento&lt;&gt;"TransfereGOV",
              ROUND(OFFSET($P107,0,AV$13),15-13*ORÇAMENTO!$AF$7)/$H107*OFFSET(ORÇAMENTO!$X$15,ROW(AV107)-ROW(AV$15),0),
              ROUND(ROUND(OFFSET($P107,0,AV$13),15-13*ORÇAMENTO!$AF$7)*OFFSET(ORÇAMENTO!$W$15,ROW(AV107)-ROW(AV$15),0),15-13*ORÇAMENTO!$AF$11)),
         0)</f>
        <v>0</v>
      </c>
      <c r="AW107" s="453">
        <f ca="1">IF(AND($D107="Serviço",AW$12&lt;&gt;0,$H107&gt;0,OR(AUTOEVENTO&lt;&gt;"manual",$M107&lt;&gt;$A$15)),
        IF(Import.TipoArredondamento&lt;&gt;"TransfereGOV",
              ROUND(OFFSET($P107,0,AW$13),15-13*ORÇAMENTO!$AF$7)/$H107*OFFSET(ORÇAMENTO!$X$15,ROW(AW107)-ROW(AW$15),0),
              ROUND(ROUND(OFFSET($P107,0,AW$13),15-13*ORÇAMENTO!$AF$7)*OFFSET(ORÇAMENTO!$W$15,ROW(AW107)-ROW(AW$15),0),15-13*ORÇAMENTO!$AF$11)),
         0)</f>
        <v>0</v>
      </c>
      <c r="AX107" s="453">
        <f ca="1">IF(AND($D107="Serviço",AX$12&lt;&gt;0,$H107&gt;0,OR(AUTOEVENTO&lt;&gt;"manual",$M107&lt;&gt;$A$15)),
        IF(Import.TipoArredondamento&lt;&gt;"TransfereGOV",
              ROUND(OFFSET($P107,0,AX$13),15-13*ORÇAMENTO!$AF$7)/$H107*OFFSET(ORÇAMENTO!$X$15,ROW(AX107)-ROW(AX$15),0),
              ROUND(ROUND(OFFSET($P107,0,AX$13),15-13*ORÇAMENTO!$AF$7)*OFFSET(ORÇAMENTO!$W$15,ROW(AX107)-ROW(AX$15),0),15-13*ORÇAMENTO!$AF$11)),
         0)</f>
        <v>0</v>
      </c>
      <c r="AY107" s="453">
        <f ca="1">IF(AND($D107="Serviço",AY$12&lt;&gt;0,$H107&gt;0,OR(AUTOEVENTO&lt;&gt;"manual",$M107&lt;&gt;$A$15)),
        IF(Import.TipoArredondamento&lt;&gt;"TransfereGOV",
              ROUND(OFFSET($P107,0,AY$13),15-13*ORÇAMENTO!$AF$7)/$H107*OFFSET(ORÇAMENTO!$X$15,ROW(AY107)-ROW(AY$15),0),
              ROUND(ROUND(OFFSET($P107,0,AY$13),15-13*ORÇAMENTO!$AF$7)*OFFSET(ORÇAMENTO!$W$15,ROW(AY107)-ROW(AY$15),0),15-13*ORÇAMENTO!$AF$11)),
         0)</f>
        <v>0</v>
      </c>
      <c r="AZ107" s="453">
        <f ca="1">IF(AND($D107="Serviço",AZ$12&lt;&gt;0,$H107&gt;0,OR(AUTOEVENTO&lt;&gt;"manual",$M107&lt;&gt;$A$15)),
        IF(Import.TipoArredondamento&lt;&gt;"TransfereGOV",
              ROUND(OFFSET($P107,0,AZ$13),15-13*ORÇAMENTO!$AF$7)/$H107*OFFSET(ORÇAMENTO!$X$15,ROW(AZ107)-ROW(AZ$15),0),
              ROUND(ROUND(OFFSET($P107,0,AZ$13),15-13*ORÇAMENTO!$AF$7)*OFFSET(ORÇAMENTO!$W$15,ROW(AZ107)-ROW(AZ$15),0),15-13*ORÇAMENTO!$AF$11)),
         0)</f>
        <v>0</v>
      </c>
      <c r="BA107" s="453">
        <f ca="1">IF(AND($D107="Serviço",BA$12&lt;&gt;0,$H107&gt;0,OR(AUTOEVENTO&lt;&gt;"manual",$M107&lt;&gt;$A$15)),
        IF(Import.TipoArredondamento&lt;&gt;"TransfereGOV",
              ROUND(OFFSET($P107,0,BA$13),15-13*ORÇAMENTO!$AF$7)/$H107*OFFSET(ORÇAMENTO!$X$15,ROW(BA107)-ROW(BA$15),0),
              ROUND(ROUND(OFFSET($P107,0,BA$13),15-13*ORÇAMENTO!$AF$7)*OFFSET(ORÇAMENTO!$W$15,ROW(BA107)-ROW(BA$15),0),15-13*ORÇAMENTO!$AF$11)),
         0)</f>
        <v>0</v>
      </c>
      <c r="BC107" s="171">
        <f ca="1">IF(OR($D107&lt;&gt;"Serviço",AND(AUTOEVENTO="Manual",$M107=$A$15)),0,
         IF(OFFSET(CRONOPLE!$F$15,$M107-$A$15,BC$13)=0,10^12,OFFSET(CRONOPLE!$F$15,$M107-$A$15,BC$13)))</f>
        <v>1000000000000</v>
      </c>
      <c r="BD107" s="171">
        <f ca="1">IF(OR($D107&lt;&gt;"Serviço",AND(AUTOEVENTO="Manual",$M107=$A$15)),0,
         IF(OFFSET(CRONOPLE!$F$15,$M107-$A$15,BD$13)=0,10^12,OFFSET(CRONOPLE!$F$15,$M107-$A$15,BD$13)))</f>
        <v>1000000000000</v>
      </c>
      <c r="BE107" s="171">
        <f ca="1">IF(OR($D107&lt;&gt;"Serviço",AND(AUTOEVENTO="Manual",$M107=$A$15)),0,
         IF(OFFSET(CRONOPLE!$F$15,$M107-$A$15,BE$13)=0,10^12,OFFSET(CRONOPLE!$F$15,$M107-$A$15,BE$13)))</f>
        <v>1000000000000</v>
      </c>
      <c r="BF107" s="171">
        <f ca="1">IF(OR($D107&lt;&gt;"Serviço",AND(AUTOEVENTO="Manual",$M107=$A$15)),0,
         IF(OFFSET(CRONOPLE!$F$15,$M107-$A$15,BF$13)=0,10^12,OFFSET(CRONOPLE!$F$15,$M107-$A$15,BF$13)))</f>
        <v>1000000000000</v>
      </c>
      <c r="BG107" s="171">
        <f ca="1">IF(OR($D107&lt;&gt;"Serviço",AND(AUTOEVENTO="Manual",$M107=$A$15)),0,
         IF(OFFSET(CRONOPLE!$F$15,$M107-$A$15,BG$13)=0,10^12,OFFSET(CRONOPLE!$F$15,$M107-$A$15,BG$13)))</f>
        <v>4</v>
      </c>
      <c r="BH107" s="171">
        <f ca="1">IF(OR($D107&lt;&gt;"Serviço",AND(AUTOEVENTO="Manual",$M107=$A$15)),0,
         IF(OFFSET(CRONOPLE!$F$15,$M107-$A$15,BH$13)=0,10^12,OFFSET(CRONOPLE!$F$15,$M107-$A$15,BH$13)))</f>
        <v>1000000000000</v>
      </c>
      <c r="BI107" s="171">
        <f ca="1">IF(OR($D107&lt;&gt;"Serviço",AND(AUTOEVENTO="Manual",$M107=$A$15)),0,
         IF(OFFSET(CRONOPLE!$F$15,$M107-$A$15,BI$13)=0,10^12,OFFSET(CRONOPLE!$F$15,$M107-$A$15,BI$13)))</f>
        <v>1000000000000</v>
      </c>
      <c r="BJ107" s="171">
        <f ca="1">IF(OR($D107&lt;&gt;"Serviço",AND(AUTOEVENTO="Manual",$M107=$A$15)),0,
         IF(OFFSET(CRONOPLE!$F$15,$M107-$A$15,BJ$13)=0,10^12,OFFSET(CRONOPLE!$F$15,$M107-$A$15,BJ$13)))</f>
        <v>1000000000000</v>
      </c>
      <c r="BK107" s="171">
        <f ca="1">IF(OR($D107&lt;&gt;"Serviço",AND(AUTOEVENTO="Manual",$M107=$A$15)),0,
         IF(OFFSET(CRONOPLE!$F$15,$M107-$A$15,BK$13)=0,10^12,OFFSET(CRONOPLE!$F$15,$M107-$A$15,BK$13)))</f>
        <v>1000000000000</v>
      </c>
      <c r="BL107" s="171">
        <f ca="1">IF(OR($D107&lt;&gt;"Serviço",AND(AUTOEVENTO="Manual",$M107=$A$15)),0,
         IF(OFFSET(CRONOPLE!$F$15,$M107-$A$15,BL$13)=0,10^12,OFFSET(CRONOPLE!$F$15,$M107-$A$15,BL$13)))</f>
        <v>1000000000000</v>
      </c>
      <c r="BM107" s="171">
        <f ca="1">IF(OR($D107&lt;&gt;"Serviço",AND(AUTOEVENTO="Manual",$M107=$A$15)),0,
         IF(OFFSET(CRONOPLE!$F$15,$M107-$A$15,BM$13)=0,10^12,OFFSET(CRONOPLE!$F$15,$M107-$A$15,BM$13)))</f>
        <v>1000000000000</v>
      </c>
      <c r="BN107" s="171">
        <f ca="1">IF(OR($D107&lt;&gt;"Serviço",AND(AUTOEVENTO="Manual",$M107=$A$15)),0,
         IF(OFFSET(CRONOPLE!$F$15,$M107-$A$15,BN$13)=0,10^12,OFFSET(CRONOPLE!$F$15,$M107-$A$15,BN$13)))</f>
        <v>1000000000000</v>
      </c>
      <c r="BO107" s="171">
        <f ca="1">IF(OR($D107&lt;&gt;"Serviço",AND(AUTOEVENTO="Manual",$M107=$A$15)),0,
         IF(OFFSET(CRONOPLE!$F$15,$M107-$A$15,BO$13)=0,10^12,OFFSET(CRONOPLE!$F$15,$M107-$A$15,BO$13)))</f>
        <v>1000000000000</v>
      </c>
      <c r="BP107" s="171">
        <f ca="1">IF(OR($D107&lt;&gt;"Serviço",AND(AUTOEVENTO="Manual",$M107=$A$15)),0,
         IF(OFFSET(CRONOPLE!$F$15,$M107-$A$15,BP$13)=0,10^12,OFFSET(CRONOPLE!$F$15,$M107-$A$15,BP$13)))</f>
        <v>1000000000000</v>
      </c>
      <c r="BQ107" s="171">
        <f ca="1">IF(OR($D107&lt;&gt;"Serviço",AND(AUTOEVENTO="Manual",$M107=$A$15)),0,
         IF(OFFSET(CRONOPLE!$F$15,$M107-$A$15,BQ$13)=0,10^12,OFFSET(CRONOPLE!$F$15,$M107-$A$15,BQ$13)))</f>
        <v>1000000000000</v>
      </c>
      <c r="BR107" s="171">
        <f ca="1">IF(OR($D107&lt;&gt;"Serviço",AND(AUTOEVENTO="Manual",$M107=$A$15)),0,
         IF(OFFSET(CRONOPLE!$F$15,$M107-$A$15,BR$13)=0,10^12,OFFSET(CRONOPLE!$F$15,$M107-$A$15,BR$13)))</f>
        <v>1000000000000</v>
      </c>
      <c r="BS107" s="171">
        <f ca="1">IF(OR($D107&lt;&gt;"Serviço",AND(AUTOEVENTO="Manual",$M107=$A$15)),0,
         IF(OFFSET(CRONOPLE!$F$15,$M107-$A$15,BS$13)=0,10^12,OFFSET(CRONOPLE!$F$15,$M107-$A$15,BS$13)))</f>
        <v>1000000000000</v>
      </c>
      <c r="BT107" s="171">
        <f ca="1">IF(OR($D107&lt;&gt;"Serviço",AND(AUTOEVENTO="Manual",$M107=$A$15)),0,
         IF(OFFSET(CRONOPLE!$F$15,$M107-$A$15,BT$13)=0,10^12,OFFSET(CRONOPLE!$F$15,$M107-$A$15,BT$13)))</f>
        <v>1000000000000</v>
      </c>
      <c r="BV107" s="172">
        <f ca="1">IF(OR($D107&lt;&gt;"Serviço",AND(AUTOEVENTO="Manual",$M107=$A$15),$M107&gt;(ROW(PLE.lastrow)-ROW(PLE.firstrow))),0,
           IF(OFFSET(PLE!$G$15,$M107-$A$15,BV$13)="",10^12,OFFSET(PLE!$G$15,$M107-$A$15,BV$13)))</f>
        <v>1000000000000</v>
      </c>
      <c r="BW107" s="172">
        <f ca="1">IF(OR($D107&lt;&gt;"Serviço",AND(AUTOEVENTO="Manual",$M107=$A$15),$M107&gt;(ROW(PLE.lastrow)-ROW(PLE.firstrow))),0,
           IF(OFFSET(PLE!$G$15,$M107-$A$15,BW$13)="",10^12,OFFSET(PLE!$G$15,$M107-$A$15,BW$13)))</f>
        <v>1000000000000</v>
      </c>
      <c r="BX107" s="172">
        <f ca="1">IF(OR($D107&lt;&gt;"Serviço",AND(AUTOEVENTO="Manual",$M107=$A$15),$M107&gt;(ROW(PLE.lastrow)-ROW(PLE.firstrow))),0,
           IF(OFFSET(PLE!$G$15,$M107-$A$15,BX$13)="",10^12,OFFSET(PLE!$G$15,$M107-$A$15,BX$13)))</f>
        <v>1000000000000</v>
      </c>
      <c r="BY107" s="172">
        <f ca="1">IF(OR($D107&lt;&gt;"Serviço",AND(AUTOEVENTO="Manual",$M107=$A$15),$M107&gt;(ROW(PLE.lastrow)-ROW(PLE.firstrow))),0,
           IF(OFFSET(PLE!$G$15,$M107-$A$15,BY$13)="",10^12,OFFSET(PLE!$G$15,$M107-$A$15,BY$13)))</f>
        <v>1000000000000</v>
      </c>
      <c r="BZ107" s="172">
        <f ca="1">IF(OR($D107&lt;&gt;"Serviço",AND(AUTOEVENTO="Manual",$M107=$A$15),$M107&gt;(ROW(PLE.lastrow)-ROW(PLE.firstrow))),0,
           IF(OFFSET(PLE!$G$15,$M107-$A$15,BZ$13)="",10^12,OFFSET(PLE!$G$15,$M107-$A$15,BZ$13)))</f>
        <v>1000000000000</v>
      </c>
      <c r="CA107" s="172">
        <f ca="1">IF(OR($D107&lt;&gt;"Serviço",AND(AUTOEVENTO="Manual",$M107=$A$15),$M107&gt;(ROW(PLE.lastrow)-ROW(PLE.firstrow))),0,
           IF(OFFSET(PLE!$G$15,$M107-$A$15,CA$13)="",10^12,OFFSET(PLE!$G$15,$M107-$A$15,CA$13)))</f>
        <v>1000000000000</v>
      </c>
      <c r="CB107" s="172">
        <f ca="1">IF(OR($D107&lt;&gt;"Serviço",AND(AUTOEVENTO="Manual",$M107=$A$15),$M107&gt;(ROW(PLE.lastrow)-ROW(PLE.firstrow))),0,
           IF(OFFSET(PLE!$G$15,$M107-$A$15,CB$13)="",10^12,OFFSET(PLE!$G$15,$M107-$A$15,CB$13)))</f>
        <v>1000000000000</v>
      </c>
      <c r="CC107" s="172">
        <f ca="1">IF(OR($D107&lt;&gt;"Serviço",AND(AUTOEVENTO="Manual",$M107=$A$15),$M107&gt;(ROW(PLE.lastrow)-ROW(PLE.firstrow))),0,
           IF(OFFSET(PLE!$G$15,$M107-$A$15,CC$13)="",10^12,OFFSET(PLE!$G$15,$M107-$A$15,CC$13)))</f>
        <v>1000000000000</v>
      </c>
      <c r="CD107" s="172">
        <f ca="1">IF(OR($D107&lt;&gt;"Serviço",AND(AUTOEVENTO="Manual",$M107=$A$15),$M107&gt;(ROW(PLE.lastrow)-ROW(PLE.firstrow))),0,
           IF(OFFSET(PLE!$G$15,$M107-$A$15,CD$13)="",10^12,OFFSET(PLE!$G$15,$M107-$A$15,CD$13)))</f>
        <v>1000000000000</v>
      </c>
      <c r="CE107" s="172">
        <f ca="1">IF(OR($D107&lt;&gt;"Serviço",AND(AUTOEVENTO="Manual",$M107=$A$15),$M107&gt;(ROW(PLE.lastrow)-ROW(PLE.firstrow))),0,
           IF(OFFSET(PLE!$G$15,$M107-$A$15,CE$13)="",10^12,OFFSET(PLE!$G$15,$M107-$A$15,CE$13)))</f>
        <v>1000000000000</v>
      </c>
      <c r="CF107" s="172">
        <f ca="1">IF(OR($D107&lt;&gt;"Serviço",AND(AUTOEVENTO="Manual",$M107=$A$15),$M107&gt;(ROW(PLE.lastrow)-ROW(PLE.firstrow))),0,
           IF(OFFSET(PLE!$G$15,$M107-$A$15,CF$13)="",10^12,OFFSET(PLE!$G$15,$M107-$A$15,CF$13)))</f>
        <v>1000000000000</v>
      </c>
      <c r="CG107" s="172">
        <f ca="1">IF(OR($D107&lt;&gt;"Serviço",AND(AUTOEVENTO="Manual",$M107=$A$15),$M107&gt;(ROW(PLE.lastrow)-ROW(PLE.firstrow))),0,
           IF(OFFSET(PLE!$G$15,$M107-$A$15,CG$13)="",10^12,OFFSET(PLE!$G$15,$M107-$A$15,CG$13)))</f>
        <v>1000000000000</v>
      </c>
      <c r="CH107" s="172">
        <f ca="1">IF(OR($D107&lt;&gt;"Serviço",AND(AUTOEVENTO="Manual",$M107=$A$15),$M107&gt;(ROW(PLE.lastrow)-ROW(PLE.firstrow))),0,
           IF(OFFSET(PLE!$G$15,$M107-$A$15,CH$13)="",10^12,OFFSET(PLE!$G$15,$M107-$A$15,CH$13)))</f>
        <v>1000000000000</v>
      </c>
      <c r="CI107" s="172">
        <f ca="1">IF(OR($D107&lt;&gt;"Serviço",AND(AUTOEVENTO="Manual",$M107=$A$15),$M107&gt;(ROW(PLE.lastrow)-ROW(PLE.firstrow))),0,
           IF(OFFSET(PLE!$G$15,$M107-$A$15,CI$13)="",10^12,OFFSET(PLE!$G$15,$M107-$A$15,CI$13)))</f>
        <v>1000000000000</v>
      </c>
      <c r="CJ107" s="172">
        <f ca="1">IF(OR($D107&lt;&gt;"Serviço",AND(AUTOEVENTO="Manual",$M107=$A$15),$M107&gt;(ROW(PLE.lastrow)-ROW(PLE.firstrow))),0,
           IF(OFFSET(PLE!$G$15,$M107-$A$15,CJ$13)="",10^12,OFFSET(PLE!$G$15,$M107-$A$15,CJ$13)))</f>
        <v>1000000000000</v>
      </c>
      <c r="CK107" s="172">
        <f ca="1">IF(OR($D107&lt;&gt;"Serviço",AND(AUTOEVENTO="Manual",$M107=$A$15),$M107&gt;(ROW(PLE.lastrow)-ROW(PLE.firstrow))),0,
           IF(OFFSET(PLE!$G$15,$M107-$A$15,CK$13)="",10^12,OFFSET(PLE!$G$15,$M107-$A$15,CK$13)))</f>
        <v>1000000000000</v>
      </c>
      <c r="CL107" s="172">
        <f ca="1">IF(OR($D107&lt;&gt;"Serviço",AND(AUTOEVENTO="Manual",$M107=$A$15),$M107&gt;(ROW(PLE.lastrow)-ROW(PLE.firstrow))),0,
           IF(OFFSET(PLE!$G$15,$M107-$A$15,CL$13)="",10^12,OFFSET(PLE!$G$15,$M107-$A$15,CL$13)))</f>
        <v>1000000000000</v>
      </c>
      <c r="CM107" s="172">
        <f ca="1">IF(OR($D107&lt;&gt;"Serviço",AND(AUTOEVENTO="Manual",$M107=$A$15),$M107&gt;(ROW(PLE.lastrow)-ROW(PLE.firstrow))),0,
           IF(OFFSET(PLE!$G$15,$M107-$A$15,CM$13)="",10^12,OFFSET(PLE!$G$15,$M107-$A$15,CM$13)))</f>
        <v>1000000000000</v>
      </c>
    </row>
    <row r="108" spans="1:91" ht="26.4" x14ac:dyDescent="0.25">
      <c r="A108" s="7" t="str">
        <f t="shared" ca="1" si="11"/>
        <v>86</v>
      </c>
      <c r="B108" s="7" t="str">
        <f ca="1">OFFSET(ORÇAMENTO!C$15,ROW(B108)-ROW(B$15),0)</f>
        <v>S</v>
      </c>
      <c r="C108" s="7" t="str">
        <f ca="1">OFFSET(ORÇAMENTO!L$15,ROW(C108)-ROW(C$15),0)</f>
        <v>F</v>
      </c>
      <c r="D108" s="116" t="str">
        <f ca="1">OFFSET(ORÇAMENTO!N$15,ROW(D108)-ROW(D$15),0)</f>
        <v>Serviço</v>
      </c>
      <c r="E108" s="117" t="str">
        <f ca="1">OFFSET(ORÇAMENTO!O$15,ROW(E108)-ROW(E$15),0)</f>
        <v>3.2.7.</v>
      </c>
      <c r="F108" s="163" t="str">
        <f ca="1">OFFSET(ORÇAMENTO!R$15,ROW(F108)-ROW(F$15),0)</f>
        <v>Transporte de material betuminoso com caminhão tanque distribuidor - rodovia pavimentada</v>
      </c>
      <c r="G108" s="164" t="str">
        <f ca="1">IF($D108&lt;&gt;"Serviço","",OFFSET(ORÇAMENTO!S$15,ROW(G108)-ROW(G$15),0))</f>
        <v>tkm</v>
      </c>
      <c r="H108" s="122" cm="1">
        <f t="array" aca="1" ref="H108" ca="1">IF($D108&lt;&gt;"Serviço",0,IF(ACOMPANHAMENTO="BM",ROUND(OFFSET(ORÇAMENTO!AJ$15,ROW(H108)-ROW(H$15),0),15-13*ORÇAMENTO!$AF$7),SUMPRODUCT(($Q$1:$AI$1=1)*ROUND($Q108:$AI108,15-13*ORÇAMENTO!$AF$7))))</f>
        <v>718.48</v>
      </c>
      <c r="I108" s="468"/>
      <c r="J108" s="651" t="e" cm="1">
        <f t="array" aca="1" ref="J108" ca="1">IF(OR(B108&lt;&gt;"S",CÁLCULO.FrentesPreenchidas=0),"",IF(AND(ACOMPANHAMENTO="PLE",AUTOEVENTO="Manual",OR(H108&gt;0,ORÇAMENTO!AC108="QUANT."),OR(K108="",M108=0,N108="")),"►E",IF(AND(ACOMPANHAMENTO="PLE",ORÇAMENTO!AC108="QUANT."),"►Q",IF(AND(ACOMPANHAMENTO="PLE",H108&lt;&gt;SUMPRODUCT(($Q$1:$AI$1=1)*ROUND(Q108:AI108,15))),"►S",IF(AND(COUNTIF($P$11:$AI$11,"▼")=0,H108&gt;0,I108=""),"◄M","")))))</f>
        <v>#NAME?</v>
      </c>
      <c r="K108" s="652"/>
      <c r="L108" s="165" t="s">
        <v>764</v>
      </c>
      <c r="M108" s="166">
        <f ca="1">IF($D108&lt;&gt;"Serviço","",
          IF(AUTOEVENTO="manual",$A108,
                IF(ISERROR(MATCH($A108,$A$15:OFFSET($A108,-1,0),0)),MAX($M$15:OFFSET(M108,-1,0))+1,
                      INDEX($M$15:OFFSET(M108,-1,0),MATCH($A108,$A$15:OFFSET($A108,-1,0),0)))))</f>
        <v>15</v>
      </c>
      <c r="N108" s="167" t="str">
        <f ca="1">IF($D108&lt;&gt;"Serviço","",
         IF(AUTOEVENTO="Manual",
                IF($A108=0,"&lt;-- defina o número do agrupador",
                       OFFSET(EVENTOS!$D$15,$A108-$A$15,0)),
                OFFSET($F$15,$A108,0)))</f>
        <v>PAVIMENTAÇÃO</v>
      </c>
      <c r="O108" s="168"/>
      <c r="Q108" s="168"/>
      <c r="R108" s="169"/>
      <c r="S108" s="169"/>
      <c r="T108" s="169"/>
      <c r="U108" s="169">
        <f>TRUNC(U107/1000*337,2)</f>
        <v>718.48</v>
      </c>
      <c r="V108" s="169"/>
      <c r="W108" s="169"/>
      <c r="X108" s="169"/>
      <c r="Y108" s="169"/>
      <c r="Z108" s="170"/>
      <c r="AA108" s="169"/>
      <c r="AB108" s="169"/>
      <c r="AC108" s="169"/>
      <c r="AD108" s="169"/>
      <c r="AE108" s="169"/>
      <c r="AF108" s="169"/>
      <c r="AG108" s="169"/>
      <c r="AH108" s="170"/>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L108" s="453">
        <f ca="1">IF(AND($D108="Serviço",AL$12&lt;&gt;0,$H108&gt;0,OR(AUTOEVENTO&lt;&gt;"manual",$M108&lt;&gt;$A$15)),
        IF(Import.TipoArredondamento&lt;&gt;"TransfereGOV",
              ROUND(OFFSET($P108,0,AL$13),15-13*ORÇAMENTO!$AF$7)/$H108*OFFSET(ORÇAMENTO!$X$15,ROW(AL108)-ROW(AL$15),0),
              ROUND(ROUND(OFFSET($P108,0,AL$13),15-13*ORÇAMENTO!$AF$7)*OFFSET(ORÇAMENTO!$W$15,ROW(AL108)-ROW(AL$15),0),15-13*ORÇAMENTO!$AF$11)),
         0)</f>
        <v>0</v>
      </c>
      <c r="AM108" s="453">
        <f ca="1">IF(AND($D108="Serviço",AM$12&lt;&gt;0,$H108&gt;0,OR(AUTOEVENTO&lt;&gt;"manual",$M108&lt;&gt;$A$15)),
        IF(Import.TipoArredondamento&lt;&gt;"TransfereGOV",
              ROUND(OFFSET($P108,0,AM$13),15-13*ORÇAMENTO!$AF$7)/$H108*OFFSET(ORÇAMENTO!$X$15,ROW(AM108)-ROW(AM$15),0),
              ROUND(ROUND(OFFSET($P108,0,AM$13),15-13*ORÇAMENTO!$AF$7)*OFFSET(ORÇAMENTO!$W$15,ROW(AM108)-ROW(AM$15),0),15-13*ORÇAMENTO!$AF$11)),
         0)</f>
        <v>0</v>
      </c>
      <c r="AN108" s="453">
        <f ca="1">IF(AND($D108="Serviço",AN$12&lt;&gt;0,$H108&gt;0,OR(AUTOEVENTO&lt;&gt;"manual",$M108&lt;&gt;$A$15)),
        IF(Import.TipoArredondamento&lt;&gt;"TransfereGOV",
              ROUND(OFFSET($P108,0,AN$13),15-13*ORÇAMENTO!$AF$7)/$H108*OFFSET(ORÇAMENTO!$X$15,ROW(AN108)-ROW(AN$15),0),
              ROUND(ROUND(OFFSET($P108,0,AN$13),15-13*ORÇAMENTO!$AF$7)*OFFSET(ORÇAMENTO!$W$15,ROW(AN108)-ROW(AN$15),0),15-13*ORÇAMENTO!$AF$11)),
         0)</f>
        <v>1832.12</v>
      </c>
      <c r="AO108" s="453">
        <f ca="1">IF(AND($D108="Serviço",AO$12&lt;&gt;0,$H108&gt;0,OR(AUTOEVENTO&lt;&gt;"manual",$M108&lt;&gt;$A$15)),
        IF(Import.TipoArredondamento&lt;&gt;"TransfereGOV",
              ROUND(OFFSET($P108,0,AO$13),15-13*ORÇAMENTO!$AF$7)/$H108*OFFSET(ORÇAMENTO!$X$15,ROW(AO108)-ROW(AO$15),0),
              ROUND(ROUND(OFFSET($P108,0,AO$13),15-13*ORÇAMENTO!$AF$7)*OFFSET(ORÇAMENTO!$W$15,ROW(AO108)-ROW(AO$15),0),15-13*ORÇAMENTO!$AF$11)),
         0)</f>
        <v>0</v>
      </c>
      <c r="AP108" s="453">
        <f ca="1">IF(AND($D108="Serviço",AP$12&lt;&gt;0,$H108&gt;0,OR(AUTOEVENTO&lt;&gt;"manual",$M108&lt;&gt;$A$15)),
        IF(Import.TipoArredondamento&lt;&gt;"TransfereGOV",
              ROUND(OFFSET($P108,0,AP$13),15-13*ORÇAMENTO!$AF$7)/$H108*OFFSET(ORÇAMENTO!$X$15,ROW(AP108)-ROW(AP$15),0),
              ROUND(ROUND(OFFSET($P108,0,AP$13),15-13*ORÇAMENTO!$AF$7)*OFFSET(ORÇAMENTO!$W$15,ROW(AP108)-ROW(AP$15),0),15-13*ORÇAMENTO!$AF$11)),
         0)</f>
        <v>0</v>
      </c>
      <c r="AQ108" s="453">
        <f ca="1">IF(AND($D108="Serviço",AQ$12&lt;&gt;0,$H108&gt;0,OR(AUTOEVENTO&lt;&gt;"manual",$M108&lt;&gt;$A$15)),
        IF(Import.TipoArredondamento&lt;&gt;"TransfereGOV",
              ROUND(OFFSET($P108,0,AQ$13),15-13*ORÇAMENTO!$AF$7)/$H108*OFFSET(ORÇAMENTO!$X$15,ROW(AQ108)-ROW(AQ$15),0),
              ROUND(ROUND(OFFSET($P108,0,AQ$13),15-13*ORÇAMENTO!$AF$7)*OFFSET(ORÇAMENTO!$W$15,ROW(AQ108)-ROW(AQ$15),0),15-13*ORÇAMENTO!$AF$11)),
         0)</f>
        <v>0</v>
      </c>
      <c r="AR108" s="453">
        <f ca="1">IF(AND($D108="Serviço",AR$12&lt;&gt;0,$H108&gt;0,OR(AUTOEVENTO&lt;&gt;"manual",$M108&lt;&gt;$A$15)),
        IF(Import.TipoArredondamento&lt;&gt;"TransfereGOV",
              ROUND(OFFSET($P108,0,AR$13),15-13*ORÇAMENTO!$AF$7)/$H108*OFFSET(ORÇAMENTO!$X$15,ROW(AR108)-ROW(AR$15),0),
              ROUND(ROUND(OFFSET($P108,0,AR$13),15-13*ORÇAMENTO!$AF$7)*OFFSET(ORÇAMENTO!$W$15,ROW(AR108)-ROW(AR$15),0),15-13*ORÇAMENTO!$AF$11)),
         0)</f>
        <v>0</v>
      </c>
      <c r="AS108" s="453">
        <f ca="1">IF(AND($D108="Serviço",AS$12&lt;&gt;0,$H108&gt;0,OR(AUTOEVENTO&lt;&gt;"manual",$M108&lt;&gt;$A$15)),
        IF(Import.TipoArredondamento&lt;&gt;"TransfereGOV",
              ROUND(OFFSET($P108,0,AS$13),15-13*ORÇAMENTO!$AF$7)/$H108*OFFSET(ORÇAMENTO!$X$15,ROW(AS108)-ROW(AS$15),0),
              ROUND(ROUND(OFFSET($P108,0,AS$13),15-13*ORÇAMENTO!$AF$7)*OFFSET(ORÇAMENTO!$W$15,ROW(AS108)-ROW(AS$15),0),15-13*ORÇAMENTO!$AF$11)),
         0)</f>
        <v>0</v>
      </c>
      <c r="AT108" s="453">
        <f ca="1">IF(AND($D108="Serviço",AT$12&lt;&gt;0,$H108&gt;0,OR(AUTOEVENTO&lt;&gt;"manual",$M108&lt;&gt;$A$15)),
        IF(Import.TipoArredondamento&lt;&gt;"TransfereGOV",
              ROUND(OFFSET($P108,0,AT$13),15-13*ORÇAMENTO!$AF$7)/$H108*OFFSET(ORÇAMENTO!$X$15,ROW(AT108)-ROW(AT$15),0),
              ROUND(ROUND(OFFSET($P108,0,AT$13),15-13*ORÇAMENTO!$AF$7)*OFFSET(ORÇAMENTO!$W$15,ROW(AT108)-ROW(AT$15),0),15-13*ORÇAMENTO!$AF$11)),
         0)</f>
        <v>0</v>
      </c>
      <c r="AU108" s="453">
        <f ca="1">IF(AND($D108="Serviço",AU$12&lt;&gt;0,$H108&gt;0,OR(AUTOEVENTO&lt;&gt;"manual",$M108&lt;&gt;$A$15)),
        IF(Import.TipoArredondamento&lt;&gt;"TransfereGOV",
              ROUND(OFFSET($P108,0,AU$13),15-13*ORÇAMENTO!$AF$7)/$H108*OFFSET(ORÇAMENTO!$X$15,ROW(AU108)-ROW(AU$15),0),
              ROUND(ROUND(OFFSET($P108,0,AU$13),15-13*ORÇAMENTO!$AF$7)*OFFSET(ORÇAMENTO!$W$15,ROW(AU108)-ROW(AU$15),0),15-13*ORÇAMENTO!$AF$11)),
         0)</f>
        <v>0</v>
      </c>
      <c r="AV108" s="453">
        <f ca="1">IF(AND($D108="Serviço",AV$12&lt;&gt;0,$H108&gt;0,OR(AUTOEVENTO&lt;&gt;"manual",$M108&lt;&gt;$A$15)),
        IF(Import.TipoArredondamento&lt;&gt;"TransfereGOV",
              ROUND(OFFSET($P108,0,AV$13),15-13*ORÇAMENTO!$AF$7)/$H108*OFFSET(ORÇAMENTO!$X$15,ROW(AV108)-ROW(AV$15),0),
              ROUND(ROUND(OFFSET($P108,0,AV$13),15-13*ORÇAMENTO!$AF$7)*OFFSET(ORÇAMENTO!$W$15,ROW(AV108)-ROW(AV$15),0),15-13*ORÇAMENTO!$AF$11)),
         0)</f>
        <v>0</v>
      </c>
      <c r="AW108" s="453">
        <f ca="1">IF(AND($D108="Serviço",AW$12&lt;&gt;0,$H108&gt;0,OR(AUTOEVENTO&lt;&gt;"manual",$M108&lt;&gt;$A$15)),
        IF(Import.TipoArredondamento&lt;&gt;"TransfereGOV",
              ROUND(OFFSET($P108,0,AW$13),15-13*ORÇAMENTO!$AF$7)/$H108*OFFSET(ORÇAMENTO!$X$15,ROW(AW108)-ROW(AW$15),0),
              ROUND(ROUND(OFFSET($P108,0,AW$13),15-13*ORÇAMENTO!$AF$7)*OFFSET(ORÇAMENTO!$W$15,ROW(AW108)-ROW(AW$15),0),15-13*ORÇAMENTO!$AF$11)),
         0)</f>
        <v>0</v>
      </c>
      <c r="AX108" s="453">
        <f ca="1">IF(AND($D108="Serviço",AX$12&lt;&gt;0,$H108&gt;0,OR(AUTOEVENTO&lt;&gt;"manual",$M108&lt;&gt;$A$15)),
        IF(Import.TipoArredondamento&lt;&gt;"TransfereGOV",
              ROUND(OFFSET($P108,0,AX$13),15-13*ORÇAMENTO!$AF$7)/$H108*OFFSET(ORÇAMENTO!$X$15,ROW(AX108)-ROW(AX$15),0),
              ROUND(ROUND(OFFSET($P108,0,AX$13),15-13*ORÇAMENTO!$AF$7)*OFFSET(ORÇAMENTO!$W$15,ROW(AX108)-ROW(AX$15),0),15-13*ORÇAMENTO!$AF$11)),
         0)</f>
        <v>0</v>
      </c>
      <c r="AY108" s="453">
        <f ca="1">IF(AND($D108="Serviço",AY$12&lt;&gt;0,$H108&gt;0,OR(AUTOEVENTO&lt;&gt;"manual",$M108&lt;&gt;$A$15)),
        IF(Import.TipoArredondamento&lt;&gt;"TransfereGOV",
              ROUND(OFFSET($P108,0,AY$13),15-13*ORÇAMENTO!$AF$7)/$H108*OFFSET(ORÇAMENTO!$X$15,ROW(AY108)-ROW(AY$15),0),
              ROUND(ROUND(OFFSET($P108,0,AY$13),15-13*ORÇAMENTO!$AF$7)*OFFSET(ORÇAMENTO!$W$15,ROW(AY108)-ROW(AY$15),0),15-13*ORÇAMENTO!$AF$11)),
         0)</f>
        <v>0</v>
      </c>
      <c r="AZ108" s="453">
        <f ca="1">IF(AND($D108="Serviço",AZ$12&lt;&gt;0,$H108&gt;0,OR(AUTOEVENTO&lt;&gt;"manual",$M108&lt;&gt;$A$15)),
        IF(Import.TipoArredondamento&lt;&gt;"TransfereGOV",
              ROUND(OFFSET($P108,0,AZ$13),15-13*ORÇAMENTO!$AF$7)/$H108*OFFSET(ORÇAMENTO!$X$15,ROW(AZ108)-ROW(AZ$15),0),
              ROUND(ROUND(OFFSET($P108,0,AZ$13),15-13*ORÇAMENTO!$AF$7)*OFFSET(ORÇAMENTO!$W$15,ROW(AZ108)-ROW(AZ$15),0),15-13*ORÇAMENTO!$AF$11)),
         0)</f>
        <v>0</v>
      </c>
      <c r="BA108" s="453">
        <f ca="1">IF(AND($D108="Serviço",BA$12&lt;&gt;0,$H108&gt;0,OR(AUTOEVENTO&lt;&gt;"manual",$M108&lt;&gt;$A$15)),
        IF(Import.TipoArredondamento&lt;&gt;"TransfereGOV",
              ROUND(OFFSET($P108,0,BA$13),15-13*ORÇAMENTO!$AF$7)/$H108*OFFSET(ORÇAMENTO!$X$15,ROW(BA108)-ROW(BA$15),0),
              ROUND(ROUND(OFFSET($P108,0,BA$13),15-13*ORÇAMENTO!$AF$7)*OFFSET(ORÇAMENTO!$W$15,ROW(BA108)-ROW(BA$15),0),15-13*ORÇAMENTO!$AF$11)),
         0)</f>
        <v>0</v>
      </c>
      <c r="BC108" s="171">
        <f ca="1">IF(OR($D108&lt;&gt;"Serviço",AND(AUTOEVENTO="Manual",$M108=$A$15)),0,
         IF(OFFSET(CRONOPLE!$F$15,$M108-$A$15,BC$13)=0,10^12,OFFSET(CRONOPLE!$F$15,$M108-$A$15,BC$13)))</f>
        <v>1000000000000</v>
      </c>
      <c r="BD108" s="171">
        <f ca="1">IF(OR($D108&lt;&gt;"Serviço",AND(AUTOEVENTO="Manual",$M108=$A$15)),0,
         IF(OFFSET(CRONOPLE!$F$15,$M108-$A$15,BD$13)=0,10^12,OFFSET(CRONOPLE!$F$15,$M108-$A$15,BD$13)))</f>
        <v>1000000000000</v>
      </c>
      <c r="BE108" s="171">
        <f ca="1">IF(OR($D108&lt;&gt;"Serviço",AND(AUTOEVENTO="Manual",$M108=$A$15)),0,
         IF(OFFSET(CRONOPLE!$F$15,$M108-$A$15,BE$13)=0,10^12,OFFSET(CRONOPLE!$F$15,$M108-$A$15,BE$13)))</f>
        <v>1000000000000</v>
      </c>
      <c r="BF108" s="171">
        <f ca="1">IF(OR($D108&lt;&gt;"Serviço",AND(AUTOEVENTO="Manual",$M108=$A$15)),0,
         IF(OFFSET(CRONOPLE!$F$15,$M108-$A$15,BF$13)=0,10^12,OFFSET(CRONOPLE!$F$15,$M108-$A$15,BF$13)))</f>
        <v>1000000000000</v>
      </c>
      <c r="BG108" s="171">
        <f ca="1">IF(OR($D108&lt;&gt;"Serviço",AND(AUTOEVENTO="Manual",$M108=$A$15)),0,
         IF(OFFSET(CRONOPLE!$F$15,$M108-$A$15,BG$13)=0,10^12,OFFSET(CRONOPLE!$F$15,$M108-$A$15,BG$13)))</f>
        <v>4</v>
      </c>
      <c r="BH108" s="171">
        <f ca="1">IF(OR($D108&lt;&gt;"Serviço",AND(AUTOEVENTO="Manual",$M108=$A$15)),0,
         IF(OFFSET(CRONOPLE!$F$15,$M108-$A$15,BH$13)=0,10^12,OFFSET(CRONOPLE!$F$15,$M108-$A$15,BH$13)))</f>
        <v>1000000000000</v>
      </c>
      <c r="BI108" s="171">
        <f ca="1">IF(OR($D108&lt;&gt;"Serviço",AND(AUTOEVENTO="Manual",$M108=$A$15)),0,
         IF(OFFSET(CRONOPLE!$F$15,$M108-$A$15,BI$13)=0,10^12,OFFSET(CRONOPLE!$F$15,$M108-$A$15,BI$13)))</f>
        <v>1000000000000</v>
      </c>
      <c r="BJ108" s="171">
        <f ca="1">IF(OR($D108&lt;&gt;"Serviço",AND(AUTOEVENTO="Manual",$M108=$A$15)),0,
         IF(OFFSET(CRONOPLE!$F$15,$M108-$A$15,BJ$13)=0,10^12,OFFSET(CRONOPLE!$F$15,$M108-$A$15,BJ$13)))</f>
        <v>1000000000000</v>
      </c>
      <c r="BK108" s="171">
        <f ca="1">IF(OR($D108&lt;&gt;"Serviço",AND(AUTOEVENTO="Manual",$M108=$A$15)),0,
         IF(OFFSET(CRONOPLE!$F$15,$M108-$A$15,BK$13)=0,10^12,OFFSET(CRONOPLE!$F$15,$M108-$A$15,BK$13)))</f>
        <v>1000000000000</v>
      </c>
      <c r="BL108" s="171">
        <f ca="1">IF(OR($D108&lt;&gt;"Serviço",AND(AUTOEVENTO="Manual",$M108=$A$15)),0,
         IF(OFFSET(CRONOPLE!$F$15,$M108-$A$15,BL$13)=0,10^12,OFFSET(CRONOPLE!$F$15,$M108-$A$15,BL$13)))</f>
        <v>1000000000000</v>
      </c>
      <c r="BM108" s="171">
        <f ca="1">IF(OR($D108&lt;&gt;"Serviço",AND(AUTOEVENTO="Manual",$M108=$A$15)),0,
         IF(OFFSET(CRONOPLE!$F$15,$M108-$A$15,BM$13)=0,10^12,OFFSET(CRONOPLE!$F$15,$M108-$A$15,BM$13)))</f>
        <v>1000000000000</v>
      </c>
      <c r="BN108" s="171">
        <f ca="1">IF(OR($D108&lt;&gt;"Serviço",AND(AUTOEVENTO="Manual",$M108=$A$15)),0,
         IF(OFFSET(CRONOPLE!$F$15,$M108-$A$15,BN$13)=0,10^12,OFFSET(CRONOPLE!$F$15,$M108-$A$15,BN$13)))</f>
        <v>1000000000000</v>
      </c>
      <c r="BO108" s="171">
        <f ca="1">IF(OR($D108&lt;&gt;"Serviço",AND(AUTOEVENTO="Manual",$M108=$A$15)),0,
         IF(OFFSET(CRONOPLE!$F$15,$M108-$A$15,BO$13)=0,10^12,OFFSET(CRONOPLE!$F$15,$M108-$A$15,BO$13)))</f>
        <v>1000000000000</v>
      </c>
      <c r="BP108" s="171">
        <f ca="1">IF(OR($D108&lt;&gt;"Serviço",AND(AUTOEVENTO="Manual",$M108=$A$15)),0,
         IF(OFFSET(CRONOPLE!$F$15,$M108-$A$15,BP$13)=0,10^12,OFFSET(CRONOPLE!$F$15,$M108-$A$15,BP$13)))</f>
        <v>1000000000000</v>
      </c>
      <c r="BQ108" s="171">
        <f ca="1">IF(OR($D108&lt;&gt;"Serviço",AND(AUTOEVENTO="Manual",$M108=$A$15)),0,
         IF(OFFSET(CRONOPLE!$F$15,$M108-$A$15,BQ$13)=0,10^12,OFFSET(CRONOPLE!$F$15,$M108-$A$15,BQ$13)))</f>
        <v>1000000000000</v>
      </c>
      <c r="BR108" s="171">
        <f ca="1">IF(OR($D108&lt;&gt;"Serviço",AND(AUTOEVENTO="Manual",$M108=$A$15)),0,
         IF(OFFSET(CRONOPLE!$F$15,$M108-$A$15,BR$13)=0,10^12,OFFSET(CRONOPLE!$F$15,$M108-$A$15,BR$13)))</f>
        <v>1000000000000</v>
      </c>
      <c r="BS108" s="171">
        <f ca="1">IF(OR($D108&lt;&gt;"Serviço",AND(AUTOEVENTO="Manual",$M108=$A$15)),0,
         IF(OFFSET(CRONOPLE!$F$15,$M108-$A$15,BS$13)=0,10^12,OFFSET(CRONOPLE!$F$15,$M108-$A$15,BS$13)))</f>
        <v>1000000000000</v>
      </c>
      <c r="BT108" s="171">
        <f ca="1">IF(OR($D108&lt;&gt;"Serviço",AND(AUTOEVENTO="Manual",$M108=$A$15)),0,
         IF(OFFSET(CRONOPLE!$F$15,$M108-$A$15,BT$13)=0,10^12,OFFSET(CRONOPLE!$F$15,$M108-$A$15,BT$13)))</f>
        <v>1000000000000</v>
      </c>
      <c r="BV108" s="172">
        <f ca="1">IF(OR($D108&lt;&gt;"Serviço",AND(AUTOEVENTO="Manual",$M108=$A$15),$M108&gt;(ROW(PLE.lastrow)-ROW(PLE.firstrow))),0,
           IF(OFFSET(PLE!$G$15,$M108-$A$15,BV$13)="",10^12,OFFSET(PLE!$G$15,$M108-$A$15,BV$13)))</f>
        <v>1000000000000</v>
      </c>
      <c r="BW108" s="172">
        <f ca="1">IF(OR($D108&lt;&gt;"Serviço",AND(AUTOEVENTO="Manual",$M108=$A$15),$M108&gt;(ROW(PLE.lastrow)-ROW(PLE.firstrow))),0,
           IF(OFFSET(PLE!$G$15,$M108-$A$15,BW$13)="",10^12,OFFSET(PLE!$G$15,$M108-$A$15,BW$13)))</f>
        <v>1000000000000</v>
      </c>
      <c r="BX108" s="172">
        <f ca="1">IF(OR($D108&lt;&gt;"Serviço",AND(AUTOEVENTO="Manual",$M108=$A$15),$M108&gt;(ROW(PLE.lastrow)-ROW(PLE.firstrow))),0,
           IF(OFFSET(PLE!$G$15,$M108-$A$15,BX$13)="",10^12,OFFSET(PLE!$G$15,$M108-$A$15,BX$13)))</f>
        <v>1000000000000</v>
      </c>
      <c r="BY108" s="172">
        <f ca="1">IF(OR($D108&lt;&gt;"Serviço",AND(AUTOEVENTO="Manual",$M108=$A$15),$M108&gt;(ROW(PLE.lastrow)-ROW(PLE.firstrow))),0,
           IF(OFFSET(PLE!$G$15,$M108-$A$15,BY$13)="",10^12,OFFSET(PLE!$G$15,$M108-$A$15,BY$13)))</f>
        <v>1000000000000</v>
      </c>
      <c r="BZ108" s="172">
        <f ca="1">IF(OR($D108&lt;&gt;"Serviço",AND(AUTOEVENTO="Manual",$M108=$A$15),$M108&gt;(ROW(PLE.lastrow)-ROW(PLE.firstrow))),0,
           IF(OFFSET(PLE!$G$15,$M108-$A$15,BZ$13)="",10^12,OFFSET(PLE!$G$15,$M108-$A$15,BZ$13)))</f>
        <v>1000000000000</v>
      </c>
      <c r="CA108" s="172">
        <f ca="1">IF(OR($D108&lt;&gt;"Serviço",AND(AUTOEVENTO="Manual",$M108=$A$15),$M108&gt;(ROW(PLE.lastrow)-ROW(PLE.firstrow))),0,
           IF(OFFSET(PLE!$G$15,$M108-$A$15,CA$13)="",10^12,OFFSET(PLE!$G$15,$M108-$A$15,CA$13)))</f>
        <v>1000000000000</v>
      </c>
      <c r="CB108" s="172">
        <f ca="1">IF(OR($D108&lt;&gt;"Serviço",AND(AUTOEVENTO="Manual",$M108=$A$15),$M108&gt;(ROW(PLE.lastrow)-ROW(PLE.firstrow))),0,
           IF(OFFSET(PLE!$G$15,$M108-$A$15,CB$13)="",10^12,OFFSET(PLE!$G$15,$M108-$A$15,CB$13)))</f>
        <v>1000000000000</v>
      </c>
      <c r="CC108" s="172">
        <f ca="1">IF(OR($D108&lt;&gt;"Serviço",AND(AUTOEVENTO="Manual",$M108=$A$15),$M108&gt;(ROW(PLE.lastrow)-ROW(PLE.firstrow))),0,
           IF(OFFSET(PLE!$G$15,$M108-$A$15,CC$13)="",10^12,OFFSET(PLE!$G$15,$M108-$A$15,CC$13)))</f>
        <v>1000000000000</v>
      </c>
      <c r="CD108" s="172">
        <f ca="1">IF(OR($D108&lt;&gt;"Serviço",AND(AUTOEVENTO="Manual",$M108=$A$15),$M108&gt;(ROW(PLE.lastrow)-ROW(PLE.firstrow))),0,
           IF(OFFSET(PLE!$G$15,$M108-$A$15,CD$13)="",10^12,OFFSET(PLE!$G$15,$M108-$A$15,CD$13)))</f>
        <v>1000000000000</v>
      </c>
      <c r="CE108" s="172">
        <f ca="1">IF(OR($D108&lt;&gt;"Serviço",AND(AUTOEVENTO="Manual",$M108=$A$15),$M108&gt;(ROW(PLE.lastrow)-ROW(PLE.firstrow))),0,
           IF(OFFSET(PLE!$G$15,$M108-$A$15,CE$13)="",10^12,OFFSET(PLE!$G$15,$M108-$A$15,CE$13)))</f>
        <v>1000000000000</v>
      </c>
      <c r="CF108" s="172">
        <f ca="1">IF(OR($D108&lt;&gt;"Serviço",AND(AUTOEVENTO="Manual",$M108=$A$15),$M108&gt;(ROW(PLE.lastrow)-ROW(PLE.firstrow))),0,
           IF(OFFSET(PLE!$G$15,$M108-$A$15,CF$13)="",10^12,OFFSET(PLE!$G$15,$M108-$A$15,CF$13)))</f>
        <v>1000000000000</v>
      </c>
      <c r="CG108" s="172">
        <f ca="1">IF(OR($D108&lt;&gt;"Serviço",AND(AUTOEVENTO="Manual",$M108=$A$15),$M108&gt;(ROW(PLE.lastrow)-ROW(PLE.firstrow))),0,
           IF(OFFSET(PLE!$G$15,$M108-$A$15,CG$13)="",10^12,OFFSET(PLE!$G$15,$M108-$A$15,CG$13)))</f>
        <v>1000000000000</v>
      </c>
      <c r="CH108" s="172">
        <f ca="1">IF(OR($D108&lt;&gt;"Serviço",AND(AUTOEVENTO="Manual",$M108=$A$15),$M108&gt;(ROW(PLE.lastrow)-ROW(PLE.firstrow))),0,
           IF(OFFSET(PLE!$G$15,$M108-$A$15,CH$13)="",10^12,OFFSET(PLE!$G$15,$M108-$A$15,CH$13)))</f>
        <v>1000000000000</v>
      </c>
      <c r="CI108" s="172">
        <f ca="1">IF(OR($D108&lt;&gt;"Serviço",AND(AUTOEVENTO="Manual",$M108=$A$15),$M108&gt;(ROW(PLE.lastrow)-ROW(PLE.firstrow))),0,
           IF(OFFSET(PLE!$G$15,$M108-$A$15,CI$13)="",10^12,OFFSET(PLE!$G$15,$M108-$A$15,CI$13)))</f>
        <v>1000000000000</v>
      </c>
      <c r="CJ108" s="172">
        <f ca="1">IF(OR($D108&lt;&gt;"Serviço",AND(AUTOEVENTO="Manual",$M108=$A$15),$M108&gt;(ROW(PLE.lastrow)-ROW(PLE.firstrow))),0,
           IF(OFFSET(PLE!$G$15,$M108-$A$15,CJ$13)="",10^12,OFFSET(PLE!$G$15,$M108-$A$15,CJ$13)))</f>
        <v>1000000000000</v>
      </c>
      <c r="CK108" s="172">
        <f ca="1">IF(OR($D108&lt;&gt;"Serviço",AND(AUTOEVENTO="Manual",$M108=$A$15),$M108&gt;(ROW(PLE.lastrow)-ROW(PLE.firstrow))),0,
           IF(OFFSET(PLE!$G$15,$M108-$A$15,CK$13)="",10^12,OFFSET(PLE!$G$15,$M108-$A$15,CK$13)))</f>
        <v>1000000000000</v>
      </c>
      <c r="CL108" s="172">
        <f ca="1">IF(OR($D108&lt;&gt;"Serviço",AND(AUTOEVENTO="Manual",$M108=$A$15),$M108&gt;(ROW(PLE.lastrow)-ROW(PLE.firstrow))),0,
           IF(OFFSET(PLE!$G$15,$M108-$A$15,CL$13)="",10^12,OFFSET(PLE!$G$15,$M108-$A$15,CL$13)))</f>
        <v>1000000000000</v>
      </c>
      <c r="CM108" s="172">
        <f ca="1">IF(OR($D108&lt;&gt;"Serviço",AND(AUTOEVENTO="Manual",$M108=$A$15),$M108&gt;(ROW(PLE.lastrow)-ROW(PLE.firstrow))),0,
           IF(OFFSET(PLE!$G$15,$M108-$A$15,CM$13)="",10^12,OFFSET(PLE!$G$15,$M108-$A$15,CM$13)))</f>
        <v>1000000000000</v>
      </c>
    </row>
    <row r="109" spans="1:91" ht="13.2" x14ac:dyDescent="0.25">
      <c r="A109" s="7" t="str">
        <f t="shared" ca="1" si="11"/>
        <v>86</v>
      </c>
      <c r="B109" s="7" t="str">
        <f ca="1">OFFSET(ORÇAMENTO!C$15,ROW(B109)-ROW(B$15),0)</f>
        <v>S</v>
      </c>
      <c r="C109" s="7" t="str">
        <f ca="1">OFFSET(ORÇAMENTO!L$15,ROW(C109)-ROW(C$15),0)</f>
        <v>F</v>
      </c>
      <c r="D109" s="116" t="str">
        <f ca="1">OFFSET(ORÇAMENTO!N$15,ROW(D109)-ROW(D$15),0)</f>
        <v>Serviço</v>
      </c>
      <c r="E109" s="117" t="str">
        <f ca="1">OFFSET(ORÇAMENTO!O$15,ROW(E109)-ROW(E$15),0)</f>
        <v>3.2.8.</v>
      </c>
      <c r="F109" s="163" t="str">
        <f ca="1">OFFSET(ORÇAMENTO!R$15,ROW(F109)-ROW(F$15),0)</f>
        <v>Pintura de ligação</v>
      </c>
      <c r="G109" s="164" t="str">
        <f ca="1">IF($D109&lt;&gt;"Serviço","",OFFSET(ORÇAMENTO!S$15,ROW(G109)-ROW(G$15),0))</f>
        <v>m²</v>
      </c>
      <c r="H109" s="122" cm="1">
        <f t="array" aca="1" ref="H109" ca="1">IF($D109&lt;&gt;"Serviço",0,IF(ACOMPANHAMENTO="BM",ROUND(OFFSET(ORÇAMENTO!AJ$15,ROW(H109)-ROW(H$15),0),15-13*ORÇAMENTO!$AF$7),SUMPRODUCT(($Q$1:$AI$1=1)*ROUND($Q109:$AI109,15-13*ORÇAMENTO!$AF$7))))</f>
        <v>1640</v>
      </c>
      <c r="I109" s="468"/>
      <c r="J109" s="651" t="e" cm="1">
        <f t="array" aca="1" ref="J109" ca="1">IF(OR(B109&lt;&gt;"S",CÁLCULO.FrentesPreenchidas=0),"",IF(AND(ACOMPANHAMENTO="PLE",AUTOEVENTO="Manual",OR(H109&gt;0,ORÇAMENTO!AC109="QUANT."),OR(K109="",M109=0,N109="")),"►E",IF(AND(ACOMPANHAMENTO="PLE",ORÇAMENTO!AC109="QUANT."),"►Q",IF(AND(ACOMPANHAMENTO="PLE",H109&lt;&gt;SUMPRODUCT(($Q$1:$AI$1=1)*ROUND(Q109:AI109,15))),"►S",IF(AND(COUNTIF($P$11:$AI$11,"▼")=0,H109&gt;0,I109=""),"◄M","")))))</f>
        <v>#NAME?</v>
      </c>
      <c r="K109" s="652"/>
      <c r="L109" s="165" t="s">
        <v>764</v>
      </c>
      <c r="M109" s="166">
        <f ca="1">IF($D109&lt;&gt;"Serviço","",
          IF(AUTOEVENTO="manual",$A109,
                IF(ISERROR(MATCH($A109,$A$15:OFFSET($A109,-1,0),0)),MAX($M$15:OFFSET(M109,-1,0))+1,
                      INDEX($M$15:OFFSET(M109,-1,0),MATCH($A109,$A$15:OFFSET($A109,-1,0),0)))))</f>
        <v>15</v>
      </c>
      <c r="N109" s="167" t="str">
        <f ca="1">IF($D109&lt;&gt;"Serviço","",
         IF(AUTOEVENTO="Manual",
                IF($A109=0,"&lt;-- defina o número do agrupador",
                       OFFSET(EVENTOS!$D$15,$A109-$A$15,0)),
                OFFSET($F$15,$A109,0)))</f>
        <v>PAVIMENTAÇÃO</v>
      </c>
      <c r="O109" s="168"/>
      <c r="Q109" s="168"/>
      <c r="R109" s="169"/>
      <c r="S109" s="169"/>
      <c r="T109" s="169"/>
      <c r="U109" s="169">
        <f>U106</f>
        <v>1640</v>
      </c>
      <c r="V109" s="169"/>
      <c r="W109" s="169"/>
      <c r="X109" s="169"/>
      <c r="Y109" s="169"/>
      <c r="Z109" s="170"/>
      <c r="AA109" s="169"/>
      <c r="AB109" s="169"/>
      <c r="AC109" s="169"/>
      <c r="AD109" s="169"/>
      <c r="AE109" s="169"/>
      <c r="AF109" s="169"/>
      <c r="AG109" s="169"/>
      <c r="AH109" s="170"/>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L109" s="453">
        <f ca="1">IF(AND($D109="Serviço",AL$12&lt;&gt;0,$H109&gt;0,OR(AUTOEVENTO&lt;&gt;"manual",$M109&lt;&gt;$A$15)),
        IF(Import.TipoArredondamento&lt;&gt;"TransfereGOV",
              ROUND(OFFSET($P109,0,AL$13),15-13*ORÇAMENTO!$AF$7)/$H109*OFFSET(ORÇAMENTO!$X$15,ROW(AL109)-ROW(AL$15),0),
              ROUND(ROUND(OFFSET($P109,0,AL$13),15-13*ORÇAMENTO!$AF$7)*OFFSET(ORÇAMENTO!$W$15,ROW(AL109)-ROW(AL$15),0),15-13*ORÇAMENTO!$AF$11)),
         0)</f>
        <v>0</v>
      </c>
      <c r="AM109" s="453">
        <f ca="1">IF(AND($D109="Serviço",AM$12&lt;&gt;0,$H109&gt;0,OR(AUTOEVENTO&lt;&gt;"manual",$M109&lt;&gt;$A$15)),
        IF(Import.TipoArredondamento&lt;&gt;"TransfereGOV",
              ROUND(OFFSET($P109,0,AM$13),15-13*ORÇAMENTO!$AF$7)/$H109*OFFSET(ORÇAMENTO!$X$15,ROW(AM109)-ROW(AM$15),0),
              ROUND(ROUND(OFFSET($P109,0,AM$13),15-13*ORÇAMENTO!$AF$7)*OFFSET(ORÇAMENTO!$W$15,ROW(AM109)-ROW(AM$15),0),15-13*ORÇAMENTO!$AF$11)),
         0)</f>
        <v>0</v>
      </c>
      <c r="AN109" s="453">
        <f ca="1">IF(AND($D109="Serviço",AN$12&lt;&gt;0,$H109&gt;0,OR(AUTOEVENTO&lt;&gt;"manual",$M109&lt;&gt;$A$15)),
        IF(Import.TipoArredondamento&lt;&gt;"TransfereGOV",
              ROUND(OFFSET($P109,0,AN$13),15-13*ORÇAMENTO!$AF$7)/$H109*OFFSET(ORÇAMENTO!$X$15,ROW(AN109)-ROW(AN$15),0),
              ROUND(ROUND(OFFSET($P109,0,AN$13),15-13*ORÇAMENTO!$AF$7)*OFFSET(ORÇAMENTO!$W$15,ROW(AN109)-ROW(AN$15),0),15-13*ORÇAMENTO!$AF$11)),
         0)</f>
        <v>934.8</v>
      </c>
      <c r="AO109" s="453">
        <f ca="1">IF(AND($D109="Serviço",AO$12&lt;&gt;0,$H109&gt;0,OR(AUTOEVENTO&lt;&gt;"manual",$M109&lt;&gt;$A$15)),
        IF(Import.TipoArredondamento&lt;&gt;"TransfereGOV",
              ROUND(OFFSET($P109,0,AO$13),15-13*ORÇAMENTO!$AF$7)/$H109*OFFSET(ORÇAMENTO!$X$15,ROW(AO109)-ROW(AO$15),0),
              ROUND(ROUND(OFFSET($P109,0,AO$13),15-13*ORÇAMENTO!$AF$7)*OFFSET(ORÇAMENTO!$W$15,ROW(AO109)-ROW(AO$15),0),15-13*ORÇAMENTO!$AF$11)),
         0)</f>
        <v>0</v>
      </c>
      <c r="AP109" s="453">
        <f ca="1">IF(AND($D109="Serviço",AP$12&lt;&gt;0,$H109&gt;0,OR(AUTOEVENTO&lt;&gt;"manual",$M109&lt;&gt;$A$15)),
        IF(Import.TipoArredondamento&lt;&gt;"TransfereGOV",
              ROUND(OFFSET($P109,0,AP$13),15-13*ORÇAMENTO!$AF$7)/$H109*OFFSET(ORÇAMENTO!$X$15,ROW(AP109)-ROW(AP$15),0),
              ROUND(ROUND(OFFSET($P109,0,AP$13),15-13*ORÇAMENTO!$AF$7)*OFFSET(ORÇAMENTO!$W$15,ROW(AP109)-ROW(AP$15),0),15-13*ORÇAMENTO!$AF$11)),
         0)</f>
        <v>0</v>
      </c>
      <c r="AQ109" s="453">
        <f ca="1">IF(AND($D109="Serviço",AQ$12&lt;&gt;0,$H109&gt;0,OR(AUTOEVENTO&lt;&gt;"manual",$M109&lt;&gt;$A$15)),
        IF(Import.TipoArredondamento&lt;&gt;"TransfereGOV",
              ROUND(OFFSET($P109,0,AQ$13),15-13*ORÇAMENTO!$AF$7)/$H109*OFFSET(ORÇAMENTO!$X$15,ROW(AQ109)-ROW(AQ$15),0),
              ROUND(ROUND(OFFSET($P109,0,AQ$13),15-13*ORÇAMENTO!$AF$7)*OFFSET(ORÇAMENTO!$W$15,ROW(AQ109)-ROW(AQ$15),0),15-13*ORÇAMENTO!$AF$11)),
         0)</f>
        <v>0</v>
      </c>
      <c r="AR109" s="453">
        <f ca="1">IF(AND($D109="Serviço",AR$12&lt;&gt;0,$H109&gt;0,OR(AUTOEVENTO&lt;&gt;"manual",$M109&lt;&gt;$A$15)),
        IF(Import.TipoArredondamento&lt;&gt;"TransfereGOV",
              ROUND(OFFSET($P109,0,AR$13),15-13*ORÇAMENTO!$AF$7)/$H109*OFFSET(ORÇAMENTO!$X$15,ROW(AR109)-ROW(AR$15),0),
              ROUND(ROUND(OFFSET($P109,0,AR$13),15-13*ORÇAMENTO!$AF$7)*OFFSET(ORÇAMENTO!$W$15,ROW(AR109)-ROW(AR$15),0),15-13*ORÇAMENTO!$AF$11)),
         0)</f>
        <v>0</v>
      </c>
      <c r="AS109" s="453">
        <f ca="1">IF(AND($D109="Serviço",AS$12&lt;&gt;0,$H109&gt;0,OR(AUTOEVENTO&lt;&gt;"manual",$M109&lt;&gt;$A$15)),
        IF(Import.TipoArredondamento&lt;&gt;"TransfereGOV",
              ROUND(OFFSET($P109,0,AS$13),15-13*ORÇAMENTO!$AF$7)/$H109*OFFSET(ORÇAMENTO!$X$15,ROW(AS109)-ROW(AS$15),0),
              ROUND(ROUND(OFFSET($P109,0,AS$13),15-13*ORÇAMENTO!$AF$7)*OFFSET(ORÇAMENTO!$W$15,ROW(AS109)-ROW(AS$15),0),15-13*ORÇAMENTO!$AF$11)),
         0)</f>
        <v>0</v>
      </c>
      <c r="AT109" s="453">
        <f ca="1">IF(AND($D109="Serviço",AT$12&lt;&gt;0,$H109&gt;0,OR(AUTOEVENTO&lt;&gt;"manual",$M109&lt;&gt;$A$15)),
        IF(Import.TipoArredondamento&lt;&gt;"TransfereGOV",
              ROUND(OFFSET($P109,0,AT$13),15-13*ORÇAMENTO!$AF$7)/$H109*OFFSET(ORÇAMENTO!$X$15,ROW(AT109)-ROW(AT$15),0),
              ROUND(ROUND(OFFSET($P109,0,AT$13),15-13*ORÇAMENTO!$AF$7)*OFFSET(ORÇAMENTO!$W$15,ROW(AT109)-ROW(AT$15),0),15-13*ORÇAMENTO!$AF$11)),
         0)</f>
        <v>0</v>
      </c>
      <c r="AU109" s="453">
        <f ca="1">IF(AND($D109="Serviço",AU$12&lt;&gt;0,$H109&gt;0,OR(AUTOEVENTO&lt;&gt;"manual",$M109&lt;&gt;$A$15)),
        IF(Import.TipoArredondamento&lt;&gt;"TransfereGOV",
              ROUND(OFFSET($P109,0,AU$13),15-13*ORÇAMENTO!$AF$7)/$H109*OFFSET(ORÇAMENTO!$X$15,ROW(AU109)-ROW(AU$15),0),
              ROUND(ROUND(OFFSET($P109,0,AU$13),15-13*ORÇAMENTO!$AF$7)*OFFSET(ORÇAMENTO!$W$15,ROW(AU109)-ROW(AU$15),0),15-13*ORÇAMENTO!$AF$11)),
         0)</f>
        <v>0</v>
      </c>
      <c r="AV109" s="453">
        <f ca="1">IF(AND($D109="Serviço",AV$12&lt;&gt;0,$H109&gt;0,OR(AUTOEVENTO&lt;&gt;"manual",$M109&lt;&gt;$A$15)),
        IF(Import.TipoArredondamento&lt;&gt;"TransfereGOV",
              ROUND(OFFSET($P109,0,AV$13),15-13*ORÇAMENTO!$AF$7)/$H109*OFFSET(ORÇAMENTO!$X$15,ROW(AV109)-ROW(AV$15),0),
              ROUND(ROUND(OFFSET($P109,0,AV$13),15-13*ORÇAMENTO!$AF$7)*OFFSET(ORÇAMENTO!$W$15,ROW(AV109)-ROW(AV$15),0),15-13*ORÇAMENTO!$AF$11)),
         0)</f>
        <v>0</v>
      </c>
      <c r="AW109" s="453">
        <f ca="1">IF(AND($D109="Serviço",AW$12&lt;&gt;0,$H109&gt;0,OR(AUTOEVENTO&lt;&gt;"manual",$M109&lt;&gt;$A$15)),
        IF(Import.TipoArredondamento&lt;&gt;"TransfereGOV",
              ROUND(OFFSET($P109,0,AW$13),15-13*ORÇAMENTO!$AF$7)/$H109*OFFSET(ORÇAMENTO!$X$15,ROW(AW109)-ROW(AW$15),0),
              ROUND(ROUND(OFFSET($P109,0,AW$13),15-13*ORÇAMENTO!$AF$7)*OFFSET(ORÇAMENTO!$W$15,ROW(AW109)-ROW(AW$15),0),15-13*ORÇAMENTO!$AF$11)),
         0)</f>
        <v>0</v>
      </c>
      <c r="AX109" s="453">
        <f ca="1">IF(AND($D109="Serviço",AX$12&lt;&gt;0,$H109&gt;0,OR(AUTOEVENTO&lt;&gt;"manual",$M109&lt;&gt;$A$15)),
        IF(Import.TipoArredondamento&lt;&gt;"TransfereGOV",
              ROUND(OFFSET($P109,0,AX$13),15-13*ORÇAMENTO!$AF$7)/$H109*OFFSET(ORÇAMENTO!$X$15,ROW(AX109)-ROW(AX$15),0),
              ROUND(ROUND(OFFSET($P109,0,AX$13),15-13*ORÇAMENTO!$AF$7)*OFFSET(ORÇAMENTO!$W$15,ROW(AX109)-ROW(AX$15),0),15-13*ORÇAMENTO!$AF$11)),
         0)</f>
        <v>0</v>
      </c>
      <c r="AY109" s="453">
        <f ca="1">IF(AND($D109="Serviço",AY$12&lt;&gt;0,$H109&gt;0,OR(AUTOEVENTO&lt;&gt;"manual",$M109&lt;&gt;$A$15)),
        IF(Import.TipoArredondamento&lt;&gt;"TransfereGOV",
              ROUND(OFFSET($P109,0,AY$13),15-13*ORÇAMENTO!$AF$7)/$H109*OFFSET(ORÇAMENTO!$X$15,ROW(AY109)-ROW(AY$15),0),
              ROUND(ROUND(OFFSET($P109,0,AY$13),15-13*ORÇAMENTO!$AF$7)*OFFSET(ORÇAMENTO!$W$15,ROW(AY109)-ROW(AY$15),0),15-13*ORÇAMENTO!$AF$11)),
         0)</f>
        <v>0</v>
      </c>
      <c r="AZ109" s="453">
        <f ca="1">IF(AND($D109="Serviço",AZ$12&lt;&gt;0,$H109&gt;0,OR(AUTOEVENTO&lt;&gt;"manual",$M109&lt;&gt;$A$15)),
        IF(Import.TipoArredondamento&lt;&gt;"TransfereGOV",
              ROUND(OFFSET($P109,0,AZ$13),15-13*ORÇAMENTO!$AF$7)/$H109*OFFSET(ORÇAMENTO!$X$15,ROW(AZ109)-ROW(AZ$15),0),
              ROUND(ROUND(OFFSET($P109,0,AZ$13),15-13*ORÇAMENTO!$AF$7)*OFFSET(ORÇAMENTO!$W$15,ROW(AZ109)-ROW(AZ$15),0),15-13*ORÇAMENTO!$AF$11)),
         0)</f>
        <v>0</v>
      </c>
      <c r="BA109" s="453">
        <f ca="1">IF(AND($D109="Serviço",BA$12&lt;&gt;0,$H109&gt;0,OR(AUTOEVENTO&lt;&gt;"manual",$M109&lt;&gt;$A$15)),
        IF(Import.TipoArredondamento&lt;&gt;"TransfereGOV",
              ROUND(OFFSET($P109,0,BA$13),15-13*ORÇAMENTO!$AF$7)/$H109*OFFSET(ORÇAMENTO!$X$15,ROW(BA109)-ROW(BA$15),0),
              ROUND(ROUND(OFFSET($P109,0,BA$13),15-13*ORÇAMENTO!$AF$7)*OFFSET(ORÇAMENTO!$W$15,ROW(BA109)-ROW(BA$15),0),15-13*ORÇAMENTO!$AF$11)),
         0)</f>
        <v>0</v>
      </c>
      <c r="BC109" s="171">
        <f ca="1">IF(OR($D109&lt;&gt;"Serviço",AND(AUTOEVENTO="Manual",$M109=$A$15)),0,
         IF(OFFSET(CRONOPLE!$F$15,$M109-$A$15,BC$13)=0,10^12,OFFSET(CRONOPLE!$F$15,$M109-$A$15,BC$13)))</f>
        <v>1000000000000</v>
      </c>
      <c r="BD109" s="171">
        <f ca="1">IF(OR($D109&lt;&gt;"Serviço",AND(AUTOEVENTO="Manual",$M109=$A$15)),0,
         IF(OFFSET(CRONOPLE!$F$15,$M109-$A$15,BD$13)=0,10^12,OFFSET(CRONOPLE!$F$15,$M109-$A$15,BD$13)))</f>
        <v>1000000000000</v>
      </c>
      <c r="BE109" s="171">
        <f ca="1">IF(OR($D109&lt;&gt;"Serviço",AND(AUTOEVENTO="Manual",$M109=$A$15)),0,
         IF(OFFSET(CRONOPLE!$F$15,$M109-$A$15,BE$13)=0,10^12,OFFSET(CRONOPLE!$F$15,$M109-$A$15,BE$13)))</f>
        <v>1000000000000</v>
      </c>
      <c r="BF109" s="171">
        <f ca="1">IF(OR($D109&lt;&gt;"Serviço",AND(AUTOEVENTO="Manual",$M109=$A$15)),0,
         IF(OFFSET(CRONOPLE!$F$15,$M109-$A$15,BF$13)=0,10^12,OFFSET(CRONOPLE!$F$15,$M109-$A$15,BF$13)))</f>
        <v>1000000000000</v>
      </c>
      <c r="BG109" s="171">
        <f ca="1">IF(OR($D109&lt;&gt;"Serviço",AND(AUTOEVENTO="Manual",$M109=$A$15)),0,
         IF(OFFSET(CRONOPLE!$F$15,$M109-$A$15,BG$13)=0,10^12,OFFSET(CRONOPLE!$F$15,$M109-$A$15,BG$13)))</f>
        <v>4</v>
      </c>
      <c r="BH109" s="171">
        <f ca="1">IF(OR($D109&lt;&gt;"Serviço",AND(AUTOEVENTO="Manual",$M109=$A$15)),0,
         IF(OFFSET(CRONOPLE!$F$15,$M109-$A$15,BH$13)=0,10^12,OFFSET(CRONOPLE!$F$15,$M109-$A$15,BH$13)))</f>
        <v>1000000000000</v>
      </c>
      <c r="BI109" s="171">
        <f ca="1">IF(OR($D109&lt;&gt;"Serviço",AND(AUTOEVENTO="Manual",$M109=$A$15)),0,
         IF(OFFSET(CRONOPLE!$F$15,$M109-$A$15,BI$13)=0,10^12,OFFSET(CRONOPLE!$F$15,$M109-$A$15,BI$13)))</f>
        <v>1000000000000</v>
      </c>
      <c r="BJ109" s="171">
        <f ca="1">IF(OR($D109&lt;&gt;"Serviço",AND(AUTOEVENTO="Manual",$M109=$A$15)),0,
         IF(OFFSET(CRONOPLE!$F$15,$M109-$A$15,BJ$13)=0,10^12,OFFSET(CRONOPLE!$F$15,$M109-$A$15,BJ$13)))</f>
        <v>1000000000000</v>
      </c>
      <c r="BK109" s="171">
        <f ca="1">IF(OR($D109&lt;&gt;"Serviço",AND(AUTOEVENTO="Manual",$M109=$A$15)),0,
         IF(OFFSET(CRONOPLE!$F$15,$M109-$A$15,BK$13)=0,10^12,OFFSET(CRONOPLE!$F$15,$M109-$A$15,BK$13)))</f>
        <v>1000000000000</v>
      </c>
      <c r="BL109" s="171">
        <f ca="1">IF(OR($D109&lt;&gt;"Serviço",AND(AUTOEVENTO="Manual",$M109=$A$15)),0,
         IF(OFFSET(CRONOPLE!$F$15,$M109-$A$15,BL$13)=0,10^12,OFFSET(CRONOPLE!$F$15,$M109-$A$15,BL$13)))</f>
        <v>1000000000000</v>
      </c>
      <c r="BM109" s="171">
        <f ca="1">IF(OR($D109&lt;&gt;"Serviço",AND(AUTOEVENTO="Manual",$M109=$A$15)),0,
         IF(OFFSET(CRONOPLE!$F$15,$M109-$A$15,BM$13)=0,10^12,OFFSET(CRONOPLE!$F$15,$M109-$A$15,BM$13)))</f>
        <v>1000000000000</v>
      </c>
      <c r="BN109" s="171">
        <f ca="1">IF(OR($D109&lt;&gt;"Serviço",AND(AUTOEVENTO="Manual",$M109=$A$15)),0,
         IF(OFFSET(CRONOPLE!$F$15,$M109-$A$15,BN$13)=0,10^12,OFFSET(CRONOPLE!$F$15,$M109-$A$15,BN$13)))</f>
        <v>1000000000000</v>
      </c>
      <c r="BO109" s="171">
        <f ca="1">IF(OR($D109&lt;&gt;"Serviço",AND(AUTOEVENTO="Manual",$M109=$A$15)),0,
         IF(OFFSET(CRONOPLE!$F$15,$M109-$A$15,BO$13)=0,10^12,OFFSET(CRONOPLE!$F$15,$M109-$A$15,BO$13)))</f>
        <v>1000000000000</v>
      </c>
      <c r="BP109" s="171">
        <f ca="1">IF(OR($D109&lt;&gt;"Serviço",AND(AUTOEVENTO="Manual",$M109=$A$15)),0,
         IF(OFFSET(CRONOPLE!$F$15,$M109-$A$15,BP$13)=0,10^12,OFFSET(CRONOPLE!$F$15,$M109-$A$15,BP$13)))</f>
        <v>1000000000000</v>
      </c>
      <c r="BQ109" s="171">
        <f ca="1">IF(OR($D109&lt;&gt;"Serviço",AND(AUTOEVENTO="Manual",$M109=$A$15)),0,
         IF(OFFSET(CRONOPLE!$F$15,$M109-$A$15,BQ$13)=0,10^12,OFFSET(CRONOPLE!$F$15,$M109-$A$15,BQ$13)))</f>
        <v>1000000000000</v>
      </c>
      <c r="BR109" s="171">
        <f ca="1">IF(OR($D109&lt;&gt;"Serviço",AND(AUTOEVENTO="Manual",$M109=$A$15)),0,
         IF(OFFSET(CRONOPLE!$F$15,$M109-$A$15,BR$13)=0,10^12,OFFSET(CRONOPLE!$F$15,$M109-$A$15,BR$13)))</f>
        <v>1000000000000</v>
      </c>
      <c r="BS109" s="171">
        <f ca="1">IF(OR($D109&lt;&gt;"Serviço",AND(AUTOEVENTO="Manual",$M109=$A$15)),0,
         IF(OFFSET(CRONOPLE!$F$15,$M109-$A$15,BS$13)=0,10^12,OFFSET(CRONOPLE!$F$15,$M109-$A$15,BS$13)))</f>
        <v>1000000000000</v>
      </c>
      <c r="BT109" s="171">
        <f ca="1">IF(OR($D109&lt;&gt;"Serviço",AND(AUTOEVENTO="Manual",$M109=$A$15)),0,
         IF(OFFSET(CRONOPLE!$F$15,$M109-$A$15,BT$13)=0,10^12,OFFSET(CRONOPLE!$F$15,$M109-$A$15,BT$13)))</f>
        <v>1000000000000</v>
      </c>
      <c r="BV109" s="172">
        <f ca="1">IF(OR($D109&lt;&gt;"Serviço",AND(AUTOEVENTO="Manual",$M109=$A$15),$M109&gt;(ROW(PLE.lastrow)-ROW(PLE.firstrow))),0,
           IF(OFFSET(PLE!$G$15,$M109-$A$15,BV$13)="",10^12,OFFSET(PLE!$G$15,$M109-$A$15,BV$13)))</f>
        <v>1000000000000</v>
      </c>
      <c r="BW109" s="172">
        <f ca="1">IF(OR($D109&lt;&gt;"Serviço",AND(AUTOEVENTO="Manual",$M109=$A$15),$M109&gt;(ROW(PLE.lastrow)-ROW(PLE.firstrow))),0,
           IF(OFFSET(PLE!$G$15,$M109-$A$15,BW$13)="",10^12,OFFSET(PLE!$G$15,$M109-$A$15,BW$13)))</f>
        <v>1000000000000</v>
      </c>
      <c r="BX109" s="172">
        <f ca="1">IF(OR($D109&lt;&gt;"Serviço",AND(AUTOEVENTO="Manual",$M109=$A$15),$M109&gt;(ROW(PLE.lastrow)-ROW(PLE.firstrow))),0,
           IF(OFFSET(PLE!$G$15,$M109-$A$15,BX$13)="",10^12,OFFSET(PLE!$G$15,$M109-$A$15,BX$13)))</f>
        <v>1000000000000</v>
      </c>
      <c r="BY109" s="172">
        <f ca="1">IF(OR($D109&lt;&gt;"Serviço",AND(AUTOEVENTO="Manual",$M109=$A$15),$M109&gt;(ROW(PLE.lastrow)-ROW(PLE.firstrow))),0,
           IF(OFFSET(PLE!$G$15,$M109-$A$15,BY$13)="",10^12,OFFSET(PLE!$G$15,$M109-$A$15,BY$13)))</f>
        <v>1000000000000</v>
      </c>
      <c r="BZ109" s="172">
        <f ca="1">IF(OR($D109&lt;&gt;"Serviço",AND(AUTOEVENTO="Manual",$M109=$A$15),$M109&gt;(ROW(PLE.lastrow)-ROW(PLE.firstrow))),0,
           IF(OFFSET(PLE!$G$15,$M109-$A$15,BZ$13)="",10^12,OFFSET(PLE!$G$15,$M109-$A$15,BZ$13)))</f>
        <v>1000000000000</v>
      </c>
      <c r="CA109" s="172">
        <f ca="1">IF(OR($D109&lt;&gt;"Serviço",AND(AUTOEVENTO="Manual",$M109=$A$15),$M109&gt;(ROW(PLE.lastrow)-ROW(PLE.firstrow))),0,
           IF(OFFSET(PLE!$G$15,$M109-$A$15,CA$13)="",10^12,OFFSET(PLE!$G$15,$M109-$A$15,CA$13)))</f>
        <v>1000000000000</v>
      </c>
      <c r="CB109" s="172">
        <f ca="1">IF(OR($D109&lt;&gt;"Serviço",AND(AUTOEVENTO="Manual",$M109=$A$15),$M109&gt;(ROW(PLE.lastrow)-ROW(PLE.firstrow))),0,
           IF(OFFSET(PLE!$G$15,$M109-$A$15,CB$13)="",10^12,OFFSET(PLE!$G$15,$M109-$A$15,CB$13)))</f>
        <v>1000000000000</v>
      </c>
      <c r="CC109" s="172">
        <f ca="1">IF(OR($D109&lt;&gt;"Serviço",AND(AUTOEVENTO="Manual",$M109=$A$15),$M109&gt;(ROW(PLE.lastrow)-ROW(PLE.firstrow))),0,
           IF(OFFSET(PLE!$G$15,$M109-$A$15,CC$13)="",10^12,OFFSET(PLE!$G$15,$M109-$A$15,CC$13)))</f>
        <v>1000000000000</v>
      </c>
      <c r="CD109" s="172">
        <f ca="1">IF(OR($D109&lt;&gt;"Serviço",AND(AUTOEVENTO="Manual",$M109=$A$15),$M109&gt;(ROW(PLE.lastrow)-ROW(PLE.firstrow))),0,
           IF(OFFSET(PLE!$G$15,$M109-$A$15,CD$13)="",10^12,OFFSET(PLE!$G$15,$M109-$A$15,CD$13)))</f>
        <v>1000000000000</v>
      </c>
      <c r="CE109" s="172">
        <f ca="1">IF(OR($D109&lt;&gt;"Serviço",AND(AUTOEVENTO="Manual",$M109=$A$15),$M109&gt;(ROW(PLE.lastrow)-ROW(PLE.firstrow))),0,
           IF(OFFSET(PLE!$G$15,$M109-$A$15,CE$13)="",10^12,OFFSET(PLE!$G$15,$M109-$A$15,CE$13)))</f>
        <v>1000000000000</v>
      </c>
      <c r="CF109" s="172">
        <f ca="1">IF(OR($D109&lt;&gt;"Serviço",AND(AUTOEVENTO="Manual",$M109=$A$15),$M109&gt;(ROW(PLE.lastrow)-ROW(PLE.firstrow))),0,
           IF(OFFSET(PLE!$G$15,$M109-$A$15,CF$13)="",10^12,OFFSET(PLE!$G$15,$M109-$A$15,CF$13)))</f>
        <v>1000000000000</v>
      </c>
      <c r="CG109" s="172">
        <f ca="1">IF(OR($D109&lt;&gt;"Serviço",AND(AUTOEVENTO="Manual",$M109=$A$15),$M109&gt;(ROW(PLE.lastrow)-ROW(PLE.firstrow))),0,
           IF(OFFSET(PLE!$G$15,$M109-$A$15,CG$13)="",10^12,OFFSET(PLE!$G$15,$M109-$A$15,CG$13)))</f>
        <v>1000000000000</v>
      </c>
      <c r="CH109" s="172">
        <f ca="1">IF(OR($D109&lt;&gt;"Serviço",AND(AUTOEVENTO="Manual",$M109=$A$15),$M109&gt;(ROW(PLE.lastrow)-ROW(PLE.firstrow))),0,
           IF(OFFSET(PLE!$G$15,$M109-$A$15,CH$13)="",10^12,OFFSET(PLE!$G$15,$M109-$A$15,CH$13)))</f>
        <v>1000000000000</v>
      </c>
      <c r="CI109" s="172">
        <f ca="1">IF(OR($D109&lt;&gt;"Serviço",AND(AUTOEVENTO="Manual",$M109=$A$15),$M109&gt;(ROW(PLE.lastrow)-ROW(PLE.firstrow))),0,
           IF(OFFSET(PLE!$G$15,$M109-$A$15,CI$13)="",10^12,OFFSET(PLE!$G$15,$M109-$A$15,CI$13)))</f>
        <v>1000000000000</v>
      </c>
      <c r="CJ109" s="172">
        <f ca="1">IF(OR($D109&lt;&gt;"Serviço",AND(AUTOEVENTO="Manual",$M109=$A$15),$M109&gt;(ROW(PLE.lastrow)-ROW(PLE.firstrow))),0,
           IF(OFFSET(PLE!$G$15,$M109-$A$15,CJ$13)="",10^12,OFFSET(PLE!$G$15,$M109-$A$15,CJ$13)))</f>
        <v>1000000000000</v>
      </c>
      <c r="CK109" s="172">
        <f ca="1">IF(OR($D109&lt;&gt;"Serviço",AND(AUTOEVENTO="Manual",$M109=$A$15),$M109&gt;(ROW(PLE.lastrow)-ROW(PLE.firstrow))),0,
           IF(OFFSET(PLE!$G$15,$M109-$A$15,CK$13)="",10^12,OFFSET(PLE!$G$15,$M109-$A$15,CK$13)))</f>
        <v>1000000000000</v>
      </c>
      <c r="CL109" s="172">
        <f ca="1">IF(OR($D109&lt;&gt;"Serviço",AND(AUTOEVENTO="Manual",$M109=$A$15),$M109&gt;(ROW(PLE.lastrow)-ROW(PLE.firstrow))),0,
           IF(OFFSET(PLE!$G$15,$M109-$A$15,CL$13)="",10^12,OFFSET(PLE!$G$15,$M109-$A$15,CL$13)))</f>
        <v>1000000000000</v>
      </c>
      <c r="CM109" s="172">
        <f ca="1">IF(OR($D109&lt;&gt;"Serviço",AND(AUTOEVENTO="Manual",$M109=$A$15),$M109&gt;(ROW(PLE.lastrow)-ROW(PLE.firstrow))),0,
           IF(OFFSET(PLE!$G$15,$M109-$A$15,CM$13)="",10^12,OFFSET(PLE!$G$15,$M109-$A$15,CM$13)))</f>
        <v>1000000000000</v>
      </c>
    </row>
    <row r="110" spans="1:91" ht="26.4" x14ac:dyDescent="0.25">
      <c r="A110" s="7" t="str">
        <f t="shared" ca="1" si="11"/>
        <v>86</v>
      </c>
      <c r="B110" s="7" t="str">
        <f ca="1">OFFSET(ORÇAMENTO!C$15,ROW(B110)-ROW(B$15),0)</f>
        <v>S</v>
      </c>
      <c r="C110" s="7" t="str">
        <f ca="1">OFFSET(ORÇAMENTO!L$15,ROW(C110)-ROW(C$15),0)</f>
        <v>F</v>
      </c>
      <c r="D110" s="116" t="str">
        <f ca="1">OFFSET(ORÇAMENTO!N$15,ROW(D110)-ROW(D$15),0)</f>
        <v>Serviço</v>
      </c>
      <c r="E110" s="117" t="str">
        <f ca="1">OFFSET(ORÇAMENTO!O$15,ROW(E110)-ROW(E$15),0)</f>
        <v>3.2.9.</v>
      </c>
      <c r="F110" s="163" t="str">
        <f ca="1">OFFSET(ORÇAMENTO!R$15,ROW(F110)-ROW(F$15),0)</f>
        <v>EMULSÃO ASFÁLTICA RR-1C COLETADO NA ANP, ACRESCIDO DE IMPOSTOS (ICMS, PIS, COFINS)</v>
      </c>
      <c r="G110" s="164" t="str">
        <f ca="1">IF($D110&lt;&gt;"Serviço","",OFFSET(ORÇAMENTO!S$15,ROW(G110)-ROW(G$15),0))</f>
        <v>KG</v>
      </c>
      <c r="H110" s="122" cm="1">
        <f t="array" aca="1" ref="H110" ca="1">IF($D110&lt;&gt;"Serviço",0,IF(ACOMPANHAMENTO="BM",ROUND(OFFSET(ORÇAMENTO!AJ$15,ROW(H110)-ROW(H$15),0),15-13*ORÇAMENTO!$AF$7),SUMPRODUCT(($Q$1:$AI$1=1)*ROUND($Q110:$AI110,15-13*ORÇAMENTO!$AF$7))))</f>
        <v>738</v>
      </c>
      <c r="I110" s="468"/>
      <c r="J110" s="651" t="e" cm="1">
        <f t="array" aca="1" ref="J110" ca="1">IF(OR(B110&lt;&gt;"S",CÁLCULO.FrentesPreenchidas=0),"",IF(AND(ACOMPANHAMENTO="PLE",AUTOEVENTO="Manual",OR(H110&gt;0,ORÇAMENTO!AC110="QUANT."),OR(K110="",M110=0,N110="")),"►E",IF(AND(ACOMPANHAMENTO="PLE",ORÇAMENTO!AC110="QUANT."),"►Q",IF(AND(ACOMPANHAMENTO="PLE",H110&lt;&gt;SUMPRODUCT(($Q$1:$AI$1=1)*ROUND(Q110:AI110,15))),"►S",IF(AND(COUNTIF($P$11:$AI$11,"▼")=0,H110&gt;0,I110=""),"◄M","")))))</f>
        <v>#NAME?</v>
      </c>
      <c r="K110" s="652"/>
      <c r="L110" s="165" t="s">
        <v>764</v>
      </c>
      <c r="M110" s="166">
        <f ca="1">IF($D110&lt;&gt;"Serviço","",
          IF(AUTOEVENTO="manual",$A110,
                IF(ISERROR(MATCH($A110,$A$15:OFFSET($A110,-1,0),0)),MAX($M$15:OFFSET(M110,-1,0))+1,
                      INDEX($M$15:OFFSET(M110,-1,0),MATCH($A110,$A$15:OFFSET($A110,-1,0),0)))))</f>
        <v>15</v>
      </c>
      <c r="N110" s="167" t="str">
        <f ca="1">IF($D110&lt;&gt;"Serviço","",
         IF(AUTOEVENTO="Manual",
                IF($A110=0,"&lt;-- defina o número do agrupador",
                       OFFSET(EVENTOS!$D$15,$A110-$A$15,0)),
                OFFSET($F$15,$A110,0)))</f>
        <v>PAVIMENTAÇÃO</v>
      </c>
      <c r="O110" s="168"/>
      <c r="Q110" s="168"/>
      <c r="R110" s="169"/>
      <c r="S110" s="169"/>
      <c r="T110" s="169"/>
      <c r="U110" s="169">
        <f>U109*0.45</f>
        <v>738</v>
      </c>
      <c r="V110" s="169"/>
      <c r="W110" s="169"/>
      <c r="X110" s="169"/>
      <c r="Y110" s="169"/>
      <c r="Z110" s="170"/>
      <c r="AA110" s="169"/>
      <c r="AB110" s="169"/>
      <c r="AC110" s="169"/>
      <c r="AD110" s="169"/>
      <c r="AE110" s="169"/>
      <c r="AF110" s="169"/>
      <c r="AG110" s="169"/>
      <c r="AH110" s="170"/>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L110" s="453">
        <f ca="1">IF(AND($D110="Serviço",AL$12&lt;&gt;0,$H110&gt;0,OR(AUTOEVENTO&lt;&gt;"manual",$M110&lt;&gt;$A$15)),
        IF(Import.TipoArredondamento&lt;&gt;"TransfereGOV",
              ROUND(OFFSET($P110,0,AL$13),15-13*ORÇAMENTO!$AF$7)/$H110*OFFSET(ORÇAMENTO!$X$15,ROW(AL110)-ROW(AL$15),0),
              ROUND(ROUND(OFFSET($P110,0,AL$13),15-13*ORÇAMENTO!$AF$7)*OFFSET(ORÇAMENTO!$W$15,ROW(AL110)-ROW(AL$15),0),15-13*ORÇAMENTO!$AF$11)),
         0)</f>
        <v>0</v>
      </c>
      <c r="AM110" s="453">
        <f ca="1">IF(AND($D110="Serviço",AM$12&lt;&gt;0,$H110&gt;0,OR(AUTOEVENTO&lt;&gt;"manual",$M110&lt;&gt;$A$15)),
        IF(Import.TipoArredondamento&lt;&gt;"TransfereGOV",
              ROUND(OFFSET($P110,0,AM$13),15-13*ORÇAMENTO!$AF$7)/$H110*OFFSET(ORÇAMENTO!$X$15,ROW(AM110)-ROW(AM$15),0),
              ROUND(ROUND(OFFSET($P110,0,AM$13),15-13*ORÇAMENTO!$AF$7)*OFFSET(ORÇAMENTO!$W$15,ROW(AM110)-ROW(AM$15),0),15-13*ORÇAMENTO!$AF$11)),
         0)</f>
        <v>0</v>
      </c>
      <c r="AN110" s="453">
        <f ca="1">IF(AND($D110="Serviço",AN$12&lt;&gt;0,$H110&gt;0,OR(AUTOEVENTO&lt;&gt;"manual",$M110&lt;&gt;$A$15)),
        IF(Import.TipoArredondamento&lt;&gt;"TransfereGOV",
              ROUND(OFFSET($P110,0,AN$13),15-13*ORÇAMENTO!$AF$7)/$H110*OFFSET(ORÇAMENTO!$X$15,ROW(AN110)-ROW(AN$15),0),
              ROUND(ROUND(OFFSET($P110,0,AN$13),15-13*ORÇAMENTO!$AF$7)*OFFSET(ORÇAMENTO!$W$15,ROW(AN110)-ROW(AN$15),0),15-13*ORÇAMENTO!$AF$11)),
         0)</f>
        <v>3106.98</v>
      </c>
      <c r="AO110" s="453">
        <f ca="1">IF(AND($D110="Serviço",AO$12&lt;&gt;0,$H110&gt;0,OR(AUTOEVENTO&lt;&gt;"manual",$M110&lt;&gt;$A$15)),
        IF(Import.TipoArredondamento&lt;&gt;"TransfereGOV",
              ROUND(OFFSET($P110,0,AO$13),15-13*ORÇAMENTO!$AF$7)/$H110*OFFSET(ORÇAMENTO!$X$15,ROW(AO110)-ROW(AO$15),0),
              ROUND(ROUND(OFFSET($P110,0,AO$13),15-13*ORÇAMENTO!$AF$7)*OFFSET(ORÇAMENTO!$W$15,ROW(AO110)-ROW(AO$15),0),15-13*ORÇAMENTO!$AF$11)),
         0)</f>
        <v>0</v>
      </c>
      <c r="AP110" s="453">
        <f ca="1">IF(AND($D110="Serviço",AP$12&lt;&gt;0,$H110&gt;0,OR(AUTOEVENTO&lt;&gt;"manual",$M110&lt;&gt;$A$15)),
        IF(Import.TipoArredondamento&lt;&gt;"TransfereGOV",
              ROUND(OFFSET($P110,0,AP$13),15-13*ORÇAMENTO!$AF$7)/$H110*OFFSET(ORÇAMENTO!$X$15,ROW(AP110)-ROW(AP$15),0),
              ROUND(ROUND(OFFSET($P110,0,AP$13),15-13*ORÇAMENTO!$AF$7)*OFFSET(ORÇAMENTO!$W$15,ROW(AP110)-ROW(AP$15),0),15-13*ORÇAMENTO!$AF$11)),
         0)</f>
        <v>0</v>
      </c>
      <c r="AQ110" s="453">
        <f ca="1">IF(AND($D110="Serviço",AQ$12&lt;&gt;0,$H110&gt;0,OR(AUTOEVENTO&lt;&gt;"manual",$M110&lt;&gt;$A$15)),
        IF(Import.TipoArredondamento&lt;&gt;"TransfereGOV",
              ROUND(OFFSET($P110,0,AQ$13),15-13*ORÇAMENTO!$AF$7)/$H110*OFFSET(ORÇAMENTO!$X$15,ROW(AQ110)-ROW(AQ$15),0),
              ROUND(ROUND(OFFSET($P110,0,AQ$13),15-13*ORÇAMENTO!$AF$7)*OFFSET(ORÇAMENTO!$W$15,ROW(AQ110)-ROW(AQ$15),0),15-13*ORÇAMENTO!$AF$11)),
         0)</f>
        <v>0</v>
      </c>
      <c r="AR110" s="453">
        <f ca="1">IF(AND($D110="Serviço",AR$12&lt;&gt;0,$H110&gt;0,OR(AUTOEVENTO&lt;&gt;"manual",$M110&lt;&gt;$A$15)),
        IF(Import.TipoArredondamento&lt;&gt;"TransfereGOV",
              ROUND(OFFSET($P110,0,AR$13),15-13*ORÇAMENTO!$AF$7)/$H110*OFFSET(ORÇAMENTO!$X$15,ROW(AR110)-ROW(AR$15),0),
              ROUND(ROUND(OFFSET($P110,0,AR$13),15-13*ORÇAMENTO!$AF$7)*OFFSET(ORÇAMENTO!$W$15,ROW(AR110)-ROW(AR$15),0),15-13*ORÇAMENTO!$AF$11)),
         0)</f>
        <v>0</v>
      </c>
      <c r="AS110" s="453">
        <f ca="1">IF(AND($D110="Serviço",AS$12&lt;&gt;0,$H110&gt;0,OR(AUTOEVENTO&lt;&gt;"manual",$M110&lt;&gt;$A$15)),
        IF(Import.TipoArredondamento&lt;&gt;"TransfereGOV",
              ROUND(OFFSET($P110,0,AS$13),15-13*ORÇAMENTO!$AF$7)/$H110*OFFSET(ORÇAMENTO!$X$15,ROW(AS110)-ROW(AS$15),0),
              ROUND(ROUND(OFFSET($P110,0,AS$13),15-13*ORÇAMENTO!$AF$7)*OFFSET(ORÇAMENTO!$W$15,ROW(AS110)-ROW(AS$15),0),15-13*ORÇAMENTO!$AF$11)),
         0)</f>
        <v>0</v>
      </c>
      <c r="AT110" s="453">
        <f ca="1">IF(AND($D110="Serviço",AT$12&lt;&gt;0,$H110&gt;0,OR(AUTOEVENTO&lt;&gt;"manual",$M110&lt;&gt;$A$15)),
        IF(Import.TipoArredondamento&lt;&gt;"TransfereGOV",
              ROUND(OFFSET($P110,0,AT$13),15-13*ORÇAMENTO!$AF$7)/$H110*OFFSET(ORÇAMENTO!$X$15,ROW(AT110)-ROW(AT$15),0),
              ROUND(ROUND(OFFSET($P110,0,AT$13),15-13*ORÇAMENTO!$AF$7)*OFFSET(ORÇAMENTO!$W$15,ROW(AT110)-ROW(AT$15),0),15-13*ORÇAMENTO!$AF$11)),
         0)</f>
        <v>0</v>
      </c>
      <c r="AU110" s="453">
        <f ca="1">IF(AND($D110="Serviço",AU$12&lt;&gt;0,$H110&gt;0,OR(AUTOEVENTO&lt;&gt;"manual",$M110&lt;&gt;$A$15)),
        IF(Import.TipoArredondamento&lt;&gt;"TransfereGOV",
              ROUND(OFFSET($P110,0,AU$13),15-13*ORÇAMENTO!$AF$7)/$H110*OFFSET(ORÇAMENTO!$X$15,ROW(AU110)-ROW(AU$15),0),
              ROUND(ROUND(OFFSET($P110,0,AU$13),15-13*ORÇAMENTO!$AF$7)*OFFSET(ORÇAMENTO!$W$15,ROW(AU110)-ROW(AU$15),0),15-13*ORÇAMENTO!$AF$11)),
         0)</f>
        <v>0</v>
      </c>
      <c r="AV110" s="453">
        <f ca="1">IF(AND($D110="Serviço",AV$12&lt;&gt;0,$H110&gt;0,OR(AUTOEVENTO&lt;&gt;"manual",$M110&lt;&gt;$A$15)),
        IF(Import.TipoArredondamento&lt;&gt;"TransfereGOV",
              ROUND(OFFSET($P110,0,AV$13),15-13*ORÇAMENTO!$AF$7)/$H110*OFFSET(ORÇAMENTO!$X$15,ROW(AV110)-ROW(AV$15),0),
              ROUND(ROUND(OFFSET($P110,0,AV$13),15-13*ORÇAMENTO!$AF$7)*OFFSET(ORÇAMENTO!$W$15,ROW(AV110)-ROW(AV$15),0),15-13*ORÇAMENTO!$AF$11)),
         0)</f>
        <v>0</v>
      </c>
      <c r="AW110" s="453">
        <f ca="1">IF(AND($D110="Serviço",AW$12&lt;&gt;0,$H110&gt;0,OR(AUTOEVENTO&lt;&gt;"manual",$M110&lt;&gt;$A$15)),
        IF(Import.TipoArredondamento&lt;&gt;"TransfereGOV",
              ROUND(OFFSET($P110,0,AW$13),15-13*ORÇAMENTO!$AF$7)/$H110*OFFSET(ORÇAMENTO!$X$15,ROW(AW110)-ROW(AW$15),0),
              ROUND(ROUND(OFFSET($P110,0,AW$13),15-13*ORÇAMENTO!$AF$7)*OFFSET(ORÇAMENTO!$W$15,ROW(AW110)-ROW(AW$15),0),15-13*ORÇAMENTO!$AF$11)),
         0)</f>
        <v>0</v>
      </c>
      <c r="AX110" s="453">
        <f ca="1">IF(AND($D110="Serviço",AX$12&lt;&gt;0,$H110&gt;0,OR(AUTOEVENTO&lt;&gt;"manual",$M110&lt;&gt;$A$15)),
        IF(Import.TipoArredondamento&lt;&gt;"TransfereGOV",
              ROUND(OFFSET($P110,0,AX$13),15-13*ORÇAMENTO!$AF$7)/$H110*OFFSET(ORÇAMENTO!$X$15,ROW(AX110)-ROW(AX$15),0),
              ROUND(ROUND(OFFSET($P110,0,AX$13),15-13*ORÇAMENTO!$AF$7)*OFFSET(ORÇAMENTO!$W$15,ROW(AX110)-ROW(AX$15),0),15-13*ORÇAMENTO!$AF$11)),
         0)</f>
        <v>0</v>
      </c>
      <c r="AY110" s="453">
        <f ca="1">IF(AND($D110="Serviço",AY$12&lt;&gt;0,$H110&gt;0,OR(AUTOEVENTO&lt;&gt;"manual",$M110&lt;&gt;$A$15)),
        IF(Import.TipoArredondamento&lt;&gt;"TransfereGOV",
              ROUND(OFFSET($P110,0,AY$13),15-13*ORÇAMENTO!$AF$7)/$H110*OFFSET(ORÇAMENTO!$X$15,ROW(AY110)-ROW(AY$15),0),
              ROUND(ROUND(OFFSET($P110,0,AY$13),15-13*ORÇAMENTO!$AF$7)*OFFSET(ORÇAMENTO!$W$15,ROW(AY110)-ROW(AY$15),0),15-13*ORÇAMENTO!$AF$11)),
         0)</f>
        <v>0</v>
      </c>
      <c r="AZ110" s="453">
        <f ca="1">IF(AND($D110="Serviço",AZ$12&lt;&gt;0,$H110&gt;0,OR(AUTOEVENTO&lt;&gt;"manual",$M110&lt;&gt;$A$15)),
        IF(Import.TipoArredondamento&lt;&gt;"TransfereGOV",
              ROUND(OFFSET($P110,0,AZ$13),15-13*ORÇAMENTO!$AF$7)/$H110*OFFSET(ORÇAMENTO!$X$15,ROW(AZ110)-ROW(AZ$15),0),
              ROUND(ROUND(OFFSET($P110,0,AZ$13),15-13*ORÇAMENTO!$AF$7)*OFFSET(ORÇAMENTO!$W$15,ROW(AZ110)-ROW(AZ$15),0),15-13*ORÇAMENTO!$AF$11)),
         0)</f>
        <v>0</v>
      </c>
      <c r="BA110" s="453">
        <f ca="1">IF(AND($D110="Serviço",BA$12&lt;&gt;0,$H110&gt;0,OR(AUTOEVENTO&lt;&gt;"manual",$M110&lt;&gt;$A$15)),
        IF(Import.TipoArredondamento&lt;&gt;"TransfereGOV",
              ROUND(OFFSET($P110,0,BA$13),15-13*ORÇAMENTO!$AF$7)/$H110*OFFSET(ORÇAMENTO!$X$15,ROW(BA110)-ROW(BA$15),0),
              ROUND(ROUND(OFFSET($P110,0,BA$13),15-13*ORÇAMENTO!$AF$7)*OFFSET(ORÇAMENTO!$W$15,ROW(BA110)-ROW(BA$15),0),15-13*ORÇAMENTO!$AF$11)),
         0)</f>
        <v>0</v>
      </c>
      <c r="BC110" s="171">
        <f ca="1">IF(OR($D110&lt;&gt;"Serviço",AND(AUTOEVENTO="Manual",$M110=$A$15)),0,
         IF(OFFSET(CRONOPLE!$F$15,$M110-$A$15,BC$13)=0,10^12,OFFSET(CRONOPLE!$F$15,$M110-$A$15,BC$13)))</f>
        <v>1000000000000</v>
      </c>
      <c r="BD110" s="171">
        <f ca="1">IF(OR($D110&lt;&gt;"Serviço",AND(AUTOEVENTO="Manual",$M110=$A$15)),0,
         IF(OFFSET(CRONOPLE!$F$15,$M110-$A$15,BD$13)=0,10^12,OFFSET(CRONOPLE!$F$15,$M110-$A$15,BD$13)))</f>
        <v>1000000000000</v>
      </c>
      <c r="BE110" s="171">
        <f ca="1">IF(OR($D110&lt;&gt;"Serviço",AND(AUTOEVENTO="Manual",$M110=$A$15)),0,
         IF(OFFSET(CRONOPLE!$F$15,$M110-$A$15,BE$13)=0,10^12,OFFSET(CRONOPLE!$F$15,$M110-$A$15,BE$13)))</f>
        <v>1000000000000</v>
      </c>
      <c r="BF110" s="171">
        <f ca="1">IF(OR($D110&lt;&gt;"Serviço",AND(AUTOEVENTO="Manual",$M110=$A$15)),0,
         IF(OFFSET(CRONOPLE!$F$15,$M110-$A$15,BF$13)=0,10^12,OFFSET(CRONOPLE!$F$15,$M110-$A$15,BF$13)))</f>
        <v>1000000000000</v>
      </c>
      <c r="BG110" s="171">
        <f ca="1">IF(OR($D110&lt;&gt;"Serviço",AND(AUTOEVENTO="Manual",$M110=$A$15)),0,
         IF(OFFSET(CRONOPLE!$F$15,$M110-$A$15,BG$13)=0,10^12,OFFSET(CRONOPLE!$F$15,$M110-$A$15,BG$13)))</f>
        <v>4</v>
      </c>
      <c r="BH110" s="171">
        <f ca="1">IF(OR($D110&lt;&gt;"Serviço",AND(AUTOEVENTO="Manual",$M110=$A$15)),0,
         IF(OFFSET(CRONOPLE!$F$15,$M110-$A$15,BH$13)=0,10^12,OFFSET(CRONOPLE!$F$15,$M110-$A$15,BH$13)))</f>
        <v>1000000000000</v>
      </c>
      <c r="BI110" s="171">
        <f ca="1">IF(OR($D110&lt;&gt;"Serviço",AND(AUTOEVENTO="Manual",$M110=$A$15)),0,
         IF(OFFSET(CRONOPLE!$F$15,$M110-$A$15,BI$13)=0,10^12,OFFSET(CRONOPLE!$F$15,$M110-$A$15,BI$13)))</f>
        <v>1000000000000</v>
      </c>
      <c r="BJ110" s="171">
        <f ca="1">IF(OR($D110&lt;&gt;"Serviço",AND(AUTOEVENTO="Manual",$M110=$A$15)),0,
         IF(OFFSET(CRONOPLE!$F$15,$M110-$A$15,BJ$13)=0,10^12,OFFSET(CRONOPLE!$F$15,$M110-$A$15,BJ$13)))</f>
        <v>1000000000000</v>
      </c>
      <c r="BK110" s="171">
        <f ca="1">IF(OR($D110&lt;&gt;"Serviço",AND(AUTOEVENTO="Manual",$M110=$A$15)),0,
         IF(OFFSET(CRONOPLE!$F$15,$M110-$A$15,BK$13)=0,10^12,OFFSET(CRONOPLE!$F$15,$M110-$A$15,BK$13)))</f>
        <v>1000000000000</v>
      </c>
      <c r="BL110" s="171">
        <f ca="1">IF(OR($D110&lt;&gt;"Serviço",AND(AUTOEVENTO="Manual",$M110=$A$15)),0,
         IF(OFFSET(CRONOPLE!$F$15,$M110-$A$15,BL$13)=0,10^12,OFFSET(CRONOPLE!$F$15,$M110-$A$15,BL$13)))</f>
        <v>1000000000000</v>
      </c>
      <c r="BM110" s="171">
        <f ca="1">IF(OR($D110&lt;&gt;"Serviço",AND(AUTOEVENTO="Manual",$M110=$A$15)),0,
         IF(OFFSET(CRONOPLE!$F$15,$M110-$A$15,BM$13)=0,10^12,OFFSET(CRONOPLE!$F$15,$M110-$A$15,BM$13)))</f>
        <v>1000000000000</v>
      </c>
      <c r="BN110" s="171">
        <f ca="1">IF(OR($D110&lt;&gt;"Serviço",AND(AUTOEVENTO="Manual",$M110=$A$15)),0,
         IF(OFFSET(CRONOPLE!$F$15,$M110-$A$15,BN$13)=0,10^12,OFFSET(CRONOPLE!$F$15,$M110-$A$15,BN$13)))</f>
        <v>1000000000000</v>
      </c>
      <c r="BO110" s="171">
        <f ca="1">IF(OR($D110&lt;&gt;"Serviço",AND(AUTOEVENTO="Manual",$M110=$A$15)),0,
         IF(OFFSET(CRONOPLE!$F$15,$M110-$A$15,BO$13)=0,10^12,OFFSET(CRONOPLE!$F$15,$M110-$A$15,BO$13)))</f>
        <v>1000000000000</v>
      </c>
      <c r="BP110" s="171">
        <f ca="1">IF(OR($D110&lt;&gt;"Serviço",AND(AUTOEVENTO="Manual",$M110=$A$15)),0,
         IF(OFFSET(CRONOPLE!$F$15,$M110-$A$15,BP$13)=0,10^12,OFFSET(CRONOPLE!$F$15,$M110-$A$15,BP$13)))</f>
        <v>1000000000000</v>
      </c>
      <c r="BQ110" s="171">
        <f ca="1">IF(OR($D110&lt;&gt;"Serviço",AND(AUTOEVENTO="Manual",$M110=$A$15)),0,
         IF(OFFSET(CRONOPLE!$F$15,$M110-$A$15,BQ$13)=0,10^12,OFFSET(CRONOPLE!$F$15,$M110-$A$15,BQ$13)))</f>
        <v>1000000000000</v>
      </c>
      <c r="BR110" s="171">
        <f ca="1">IF(OR($D110&lt;&gt;"Serviço",AND(AUTOEVENTO="Manual",$M110=$A$15)),0,
         IF(OFFSET(CRONOPLE!$F$15,$M110-$A$15,BR$13)=0,10^12,OFFSET(CRONOPLE!$F$15,$M110-$A$15,BR$13)))</f>
        <v>1000000000000</v>
      </c>
      <c r="BS110" s="171">
        <f ca="1">IF(OR($D110&lt;&gt;"Serviço",AND(AUTOEVENTO="Manual",$M110=$A$15)),0,
         IF(OFFSET(CRONOPLE!$F$15,$M110-$A$15,BS$13)=0,10^12,OFFSET(CRONOPLE!$F$15,$M110-$A$15,BS$13)))</f>
        <v>1000000000000</v>
      </c>
      <c r="BT110" s="171">
        <f ca="1">IF(OR($D110&lt;&gt;"Serviço",AND(AUTOEVENTO="Manual",$M110=$A$15)),0,
         IF(OFFSET(CRONOPLE!$F$15,$M110-$A$15,BT$13)=0,10^12,OFFSET(CRONOPLE!$F$15,$M110-$A$15,BT$13)))</f>
        <v>1000000000000</v>
      </c>
      <c r="BV110" s="172">
        <f ca="1">IF(OR($D110&lt;&gt;"Serviço",AND(AUTOEVENTO="Manual",$M110=$A$15),$M110&gt;(ROW(PLE.lastrow)-ROW(PLE.firstrow))),0,
           IF(OFFSET(PLE!$G$15,$M110-$A$15,BV$13)="",10^12,OFFSET(PLE!$G$15,$M110-$A$15,BV$13)))</f>
        <v>1000000000000</v>
      </c>
      <c r="BW110" s="172">
        <f ca="1">IF(OR($D110&lt;&gt;"Serviço",AND(AUTOEVENTO="Manual",$M110=$A$15),$M110&gt;(ROW(PLE.lastrow)-ROW(PLE.firstrow))),0,
           IF(OFFSET(PLE!$G$15,$M110-$A$15,BW$13)="",10^12,OFFSET(PLE!$G$15,$M110-$A$15,BW$13)))</f>
        <v>1000000000000</v>
      </c>
      <c r="BX110" s="172">
        <f ca="1">IF(OR($D110&lt;&gt;"Serviço",AND(AUTOEVENTO="Manual",$M110=$A$15),$M110&gt;(ROW(PLE.lastrow)-ROW(PLE.firstrow))),0,
           IF(OFFSET(PLE!$G$15,$M110-$A$15,BX$13)="",10^12,OFFSET(PLE!$G$15,$M110-$A$15,BX$13)))</f>
        <v>1000000000000</v>
      </c>
      <c r="BY110" s="172">
        <f ca="1">IF(OR($D110&lt;&gt;"Serviço",AND(AUTOEVENTO="Manual",$M110=$A$15),$M110&gt;(ROW(PLE.lastrow)-ROW(PLE.firstrow))),0,
           IF(OFFSET(PLE!$G$15,$M110-$A$15,BY$13)="",10^12,OFFSET(PLE!$G$15,$M110-$A$15,BY$13)))</f>
        <v>1000000000000</v>
      </c>
      <c r="BZ110" s="172">
        <f ca="1">IF(OR($D110&lt;&gt;"Serviço",AND(AUTOEVENTO="Manual",$M110=$A$15),$M110&gt;(ROW(PLE.lastrow)-ROW(PLE.firstrow))),0,
           IF(OFFSET(PLE!$G$15,$M110-$A$15,BZ$13)="",10^12,OFFSET(PLE!$G$15,$M110-$A$15,BZ$13)))</f>
        <v>1000000000000</v>
      </c>
      <c r="CA110" s="172">
        <f ca="1">IF(OR($D110&lt;&gt;"Serviço",AND(AUTOEVENTO="Manual",$M110=$A$15),$M110&gt;(ROW(PLE.lastrow)-ROW(PLE.firstrow))),0,
           IF(OFFSET(PLE!$G$15,$M110-$A$15,CA$13)="",10^12,OFFSET(PLE!$G$15,$M110-$A$15,CA$13)))</f>
        <v>1000000000000</v>
      </c>
      <c r="CB110" s="172">
        <f ca="1">IF(OR($D110&lt;&gt;"Serviço",AND(AUTOEVENTO="Manual",$M110=$A$15),$M110&gt;(ROW(PLE.lastrow)-ROW(PLE.firstrow))),0,
           IF(OFFSET(PLE!$G$15,$M110-$A$15,CB$13)="",10^12,OFFSET(PLE!$G$15,$M110-$A$15,CB$13)))</f>
        <v>1000000000000</v>
      </c>
      <c r="CC110" s="172">
        <f ca="1">IF(OR($D110&lt;&gt;"Serviço",AND(AUTOEVENTO="Manual",$M110=$A$15),$M110&gt;(ROW(PLE.lastrow)-ROW(PLE.firstrow))),0,
           IF(OFFSET(PLE!$G$15,$M110-$A$15,CC$13)="",10^12,OFFSET(PLE!$G$15,$M110-$A$15,CC$13)))</f>
        <v>1000000000000</v>
      </c>
      <c r="CD110" s="172">
        <f ca="1">IF(OR($D110&lt;&gt;"Serviço",AND(AUTOEVENTO="Manual",$M110=$A$15),$M110&gt;(ROW(PLE.lastrow)-ROW(PLE.firstrow))),0,
           IF(OFFSET(PLE!$G$15,$M110-$A$15,CD$13)="",10^12,OFFSET(PLE!$G$15,$M110-$A$15,CD$13)))</f>
        <v>1000000000000</v>
      </c>
      <c r="CE110" s="172">
        <f ca="1">IF(OR($D110&lt;&gt;"Serviço",AND(AUTOEVENTO="Manual",$M110=$A$15),$M110&gt;(ROW(PLE.lastrow)-ROW(PLE.firstrow))),0,
           IF(OFFSET(PLE!$G$15,$M110-$A$15,CE$13)="",10^12,OFFSET(PLE!$G$15,$M110-$A$15,CE$13)))</f>
        <v>1000000000000</v>
      </c>
      <c r="CF110" s="172">
        <f ca="1">IF(OR($D110&lt;&gt;"Serviço",AND(AUTOEVENTO="Manual",$M110=$A$15),$M110&gt;(ROW(PLE.lastrow)-ROW(PLE.firstrow))),0,
           IF(OFFSET(PLE!$G$15,$M110-$A$15,CF$13)="",10^12,OFFSET(PLE!$G$15,$M110-$A$15,CF$13)))</f>
        <v>1000000000000</v>
      </c>
      <c r="CG110" s="172">
        <f ca="1">IF(OR($D110&lt;&gt;"Serviço",AND(AUTOEVENTO="Manual",$M110=$A$15),$M110&gt;(ROW(PLE.lastrow)-ROW(PLE.firstrow))),0,
           IF(OFFSET(PLE!$G$15,$M110-$A$15,CG$13)="",10^12,OFFSET(PLE!$G$15,$M110-$A$15,CG$13)))</f>
        <v>1000000000000</v>
      </c>
      <c r="CH110" s="172">
        <f ca="1">IF(OR($D110&lt;&gt;"Serviço",AND(AUTOEVENTO="Manual",$M110=$A$15),$M110&gt;(ROW(PLE.lastrow)-ROW(PLE.firstrow))),0,
           IF(OFFSET(PLE!$G$15,$M110-$A$15,CH$13)="",10^12,OFFSET(PLE!$G$15,$M110-$A$15,CH$13)))</f>
        <v>1000000000000</v>
      </c>
      <c r="CI110" s="172">
        <f ca="1">IF(OR($D110&lt;&gt;"Serviço",AND(AUTOEVENTO="Manual",$M110=$A$15),$M110&gt;(ROW(PLE.lastrow)-ROW(PLE.firstrow))),0,
           IF(OFFSET(PLE!$G$15,$M110-$A$15,CI$13)="",10^12,OFFSET(PLE!$G$15,$M110-$A$15,CI$13)))</f>
        <v>1000000000000</v>
      </c>
      <c r="CJ110" s="172">
        <f ca="1">IF(OR($D110&lt;&gt;"Serviço",AND(AUTOEVENTO="Manual",$M110=$A$15),$M110&gt;(ROW(PLE.lastrow)-ROW(PLE.firstrow))),0,
           IF(OFFSET(PLE!$G$15,$M110-$A$15,CJ$13)="",10^12,OFFSET(PLE!$G$15,$M110-$A$15,CJ$13)))</f>
        <v>1000000000000</v>
      </c>
      <c r="CK110" s="172">
        <f ca="1">IF(OR($D110&lt;&gt;"Serviço",AND(AUTOEVENTO="Manual",$M110=$A$15),$M110&gt;(ROW(PLE.lastrow)-ROW(PLE.firstrow))),0,
           IF(OFFSET(PLE!$G$15,$M110-$A$15,CK$13)="",10^12,OFFSET(PLE!$G$15,$M110-$A$15,CK$13)))</f>
        <v>1000000000000</v>
      </c>
      <c r="CL110" s="172">
        <f ca="1">IF(OR($D110&lt;&gt;"Serviço",AND(AUTOEVENTO="Manual",$M110=$A$15),$M110&gt;(ROW(PLE.lastrow)-ROW(PLE.firstrow))),0,
           IF(OFFSET(PLE!$G$15,$M110-$A$15,CL$13)="",10^12,OFFSET(PLE!$G$15,$M110-$A$15,CL$13)))</f>
        <v>1000000000000</v>
      </c>
      <c r="CM110" s="172">
        <f ca="1">IF(OR($D110&lt;&gt;"Serviço",AND(AUTOEVENTO="Manual",$M110=$A$15),$M110&gt;(ROW(PLE.lastrow)-ROW(PLE.firstrow))),0,
           IF(OFFSET(PLE!$G$15,$M110-$A$15,CM$13)="",10^12,OFFSET(PLE!$G$15,$M110-$A$15,CM$13)))</f>
        <v>1000000000000</v>
      </c>
    </row>
    <row r="111" spans="1:91" ht="26.4" x14ac:dyDescent="0.25">
      <c r="A111" s="7" t="str">
        <f t="shared" ca="1" si="11"/>
        <v>86</v>
      </c>
      <c r="B111" s="7" t="str">
        <f ca="1">OFFSET(ORÇAMENTO!C$15,ROW(B111)-ROW(B$15),0)</f>
        <v>S</v>
      </c>
      <c r="C111" s="7" t="str">
        <f ca="1">OFFSET(ORÇAMENTO!L$15,ROW(C111)-ROW(C$15),0)</f>
        <v>F</v>
      </c>
      <c r="D111" s="116" t="str">
        <f ca="1">OFFSET(ORÇAMENTO!N$15,ROW(D111)-ROW(D$15),0)</f>
        <v>Serviço</v>
      </c>
      <c r="E111" s="117" t="str">
        <f ca="1">OFFSET(ORÇAMENTO!O$15,ROW(E111)-ROW(E$15),0)</f>
        <v>3.2.10.</v>
      </c>
      <c r="F111" s="163" t="str">
        <f ca="1">OFFSET(ORÇAMENTO!R$15,ROW(F111)-ROW(F$15),0)</f>
        <v>Transporte de material betuminoso com caminhão tanque distribuidor - rodovia pavimentada</v>
      </c>
      <c r="G111" s="164" t="str">
        <f ca="1">IF($D111&lt;&gt;"Serviço","",OFFSET(ORÇAMENTO!S$15,ROW(G111)-ROW(G$15),0))</f>
        <v>tkm</v>
      </c>
      <c r="H111" s="122" cm="1">
        <f t="array" aca="1" ref="H111" ca="1">IF($D111&lt;&gt;"Serviço",0,IF(ACOMPANHAMENTO="BM",ROUND(OFFSET(ORÇAMENTO!AJ$15,ROW(H111)-ROW(H$15),0),15-13*ORÇAMENTO!$AF$7),SUMPRODUCT(($Q$1:$AI$1=1)*ROUND($Q111:$AI111,15-13*ORÇAMENTO!$AF$7))))</f>
        <v>248.7</v>
      </c>
      <c r="I111" s="468"/>
      <c r="J111" s="651" t="e" cm="1">
        <f t="array" aca="1" ref="J111" ca="1">IF(OR(B111&lt;&gt;"S",CÁLCULO.FrentesPreenchidas=0),"",IF(AND(ACOMPANHAMENTO="PLE",AUTOEVENTO="Manual",OR(H111&gt;0,ORÇAMENTO!AC111="QUANT."),OR(K111="",M111=0,N111="")),"►E",IF(AND(ACOMPANHAMENTO="PLE",ORÇAMENTO!AC111="QUANT."),"►Q",IF(AND(ACOMPANHAMENTO="PLE",H111&lt;&gt;SUMPRODUCT(($Q$1:$AI$1=1)*ROUND(Q111:AI111,15))),"►S",IF(AND(COUNTIF($P$11:$AI$11,"▼")=0,H111&gt;0,I111=""),"◄M","")))))</f>
        <v>#NAME?</v>
      </c>
      <c r="K111" s="652"/>
      <c r="L111" s="165" t="s">
        <v>764</v>
      </c>
      <c r="M111" s="166">
        <f ca="1">IF($D111&lt;&gt;"Serviço","",
          IF(AUTOEVENTO="manual",$A111,
                IF(ISERROR(MATCH($A111,$A$15:OFFSET($A111,-1,0),0)),MAX($M$15:OFFSET(M111,-1,0))+1,
                      INDEX($M$15:OFFSET(M111,-1,0),MATCH($A111,$A$15:OFFSET($A111,-1,0),0)))))</f>
        <v>15</v>
      </c>
      <c r="N111" s="167" t="str">
        <f ca="1">IF($D111&lt;&gt;"Serviço","",
         IF(AUTOEVENTO="Manual",
                IF($A111=0,"&lt;-- defina o número do agrupador",
                       OFFSET(EVENTOS!$D$15,$A111-$A$15,0)),
                OFFSET($F$15,$A111,0)))</f>
        <v>PAVIMENTAÇÃO</v>
      </c>
      <c r="O111" s="168"/>
      <c r="Q111" s="168"/>
      <c r="R111" s="169"/>
      <c r="S111" s="169"/>
      <c r="T111" s="169"/>
      <c r="U111" s="169">
        <f>TRUNC(U110/1000*337,2)</f>
        <v>248.7</v>
      </c>
      <c r="V111" s="169"/>
      <c r="W111" s="169"/>
      <c r="X111" s="169"/>
      <c r="Y111" s="169"/>
      <c r="Z111" s="170"/>
      <c r="AA111" s="169"/>
      <c r="AB111" s="169"/>
      <c r="AC111" s="169"/>
      <c r="AD111" s="169"/>
      <c r="AE111" s="169"/>
      <c r="AF111" s="169"/>
      <c r="AG111" s="169"/>
      <c r="AH111" s="170"/>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L111" s="453">
        <f ca="1">IF(AND($D111="Serviço",AL$12&lt;&gt;0,$H111&gt;0,OR(AUTOEVENTO&lt;&gt;"manual",$M111&lt;&gt;$A$15)),
        IF(Import.TipoArredondamento&lt;&gt;"TransfereGOV",
              ROUND(OFFSET($P111,0,AL$13),15-13*ORÇAMENTO!$AF$7)/$H111*OFFSET(ORÇAMENTO!$X$15,ROW(AL111)-ROW(AL$15),0),
              ROUND(ROUND(OFFSET($P111,0,AL$13),15-13*ORÇAMENTO!$AF$7)*OFFSET(ORÇAMENTO!$W$15,ROW(AL111)-ROW(AL$15),0),15-13*ORÇAMENTO!$AF$11)),
         0)</f>
        <v>0</v>
      </c>
      <c r="AM111" s="453">
        <f ca="1">IF(AND($D111="Serviço",AM$12&lt;&gt;0,$H111&gt;0,OR(AUTOEVENTO&lt;&gt;"manual",$M111&lt;&gt;$A$15)),
        IF(Import.TipoArredondamento&lt;&gt;"TransfereGOV",
              ROUND(OFFSET($P111,0,AM$13),15-13*ORÇAMENTO!$AF$7)/$H111*OFFSET(ORÇAMENTO!$X$15,ROW(AM111)-ROW(AM$15),0),
              ROUND(ROUND(OFFSET($P111,0,AM$13),15-13*ORÇAMENTO!$AF$7)*OFFSET(ORÇAMENTO!$W$15,ROW(AM111)-ROW(AM$15),0),15-13*ORÇAMENTO!$AF$11)),
         0)</f>
        <v>0</v>
      </c>
      <c r="AN111" s="453">
        <f ca="1">IF(AND($D111="Serviço",AN$12&lt;&gt;0,$H111&gt;0,OR(AUTOEVENTO&lt;&gt;"manual",$M111&lt;&gt;$A$15)),
        IF(Import.TipoArredondamento&lt;&gt;"TransfereGOV",
              ROUND(OFFSET($P111,0,AN$13),15-13*ORÇAMENTO!$AF$7)/$H111*OFFSET(ORÇAMENTO!$X$15,ROW(AN111)-ROW(AN$15),0),
              ROUND(ROUND(OFFSET($P111,0,AN$13),15-13*ORÇAMENTO!$AF$7)*OFFSET(ORÇAMENTO!$W$15,ROW(AN111)-ROW(AN$15),0),15-13*ORÇAMENTO!$AF$11)),
         0)</f>
        <v>634.19000000000005</v>
      </c>
      <c r="AO111" s="453">
        <f ca="1">IF(AND($D111="Serviço",AO$12&lt;&gt;0,$H111&gt;0,OR(AUTOEVENTO&lt;&gt;"manual",$M111&lt;&gt;$A$15)),
        IF(Import.TipoArredondamento&lt;&gt;"TransfereGOV",
              ROUND(OFFSET($P111,0,AO$13),15-13*ORÇAMENTO!$AF$7)/$H111*OFFSET(ORÇAMENTO!$X$15,ROW(AO111)-ROW(AO$15),0),
              ROUND(ROUND(OFFSET($P111,0,AO$13),15-13*ORÇAMENTO!$AF$7)*OFFSET(ORÇAMENTO!$W$15,ROW(AO111)-ROW(AO$15),0),15-13*ORÇAMENTO!$AF$11)),
         0)</f>
        <v>0</v>
      </c>
      <c r="AP111" s="453">
        <f ca="1">IF(AND($D111="Serviço",AP$12&lt;&gt;0,$H111&gt;0,OR(AUTOEVENTO&lt;&gt;"manual",$M111&lt;&gt;$A$15)),
        IF(Import.TipoArredondamento&lt;&gt;"TransfereGOV",
              ROUND(OFFSET($P111,0,AP$13),15-13*ORÇAMENTO!$AF$7)/$H111*OFFSET(ORÇAMENTO!$X$15,ROW(AP111)-ROW(AP$15),0),
              ROUND(ROUND(OFFSET($P111,0,AP$13),15-13*ORÇAMENTO!$AF$7)*OFFSET(ORÇAMENTO!$W$15,ROW(AP111)-ROW(AP$15),0),15-13*ORÇAMENTO!$AF$11)),
         0)</f>
        <v>0</v>
      </c>
      <c r="AQ111" s="453">
        <f ca="1">IF(AND($D111="Serviço",AQ$12&lt;&gt;0,$H111&gt;0,OR(AUTOEVENTO&lt;&gt;"manual",$M111&lt;&gt;$A$15)),
        IF(Import.TipoArredondamento&lt;&gt;"TransfereGOV",
              ROUND(OFFSET($P111,0,AQ$13),15-13*ORÇAMENTO!$AF$7)/$H111*OFFSET(ORÇAMENTO!$X$15,ROW(AQ111)-ROW(AQ$15),0),
              ROUND(ROUND(OFFSET($P111,0,AQ$13),15-13*ORÇAMENTO!$AF$7)*OFFSET(ORÇAMENTO!$W$15,ROW(AQ111)-ROW(AQ$15),0),15-13*ORÇAMENTO!$AF$11)),
         0)</f>
        <v>0</v>
      </c>
      <c r="AR111" s="453">
        <f ca="1">IF(AND($D111="Serviço",AR$12&lt;&gt;0,$H111&gt;0,OR(AUTOEVENTO&lt;&gt;"manual",$M111&lt;&gt;$A$15)),
        IF(Import.TipoArredondamento&lt;&gt;"TransfereGOV",
              ROUND(OFFSET($P111,0,AR$13),15-13*ORÇAMENTO!$AF$7)/$H111*OFFSET(ORÇAMENTO!$X$15,ROW(AR111)-ROW(AR$15),0),
              ROUND(ROUND(OFFSET($P111,0,AR$13),15-13*ORÇAMENTO!$AF$7)*OFFSET(ORÇAMENTO!$W$15,ROW(AR111)-ROW(AR$15),0),15-13*ORÇAMENTO!$AF$11)),
         0)</f>
        <v>0</v>
      </c>
      <c r="AS111" s="453">
        <f ca="1">IF(AND($D111="Serviço",AS$12&lt;&gt;0,$H111&gt;0,OR(AUTOEVENTO&lt;&gt;"manual",$M111&lt;&gt;$A$15)),
        IF(Import.TipoArredondamento&lt;&gt;"TransfereGOV",
              ROUND(OFFSET($P111,0,AS$13),15-13*ORÇAMENTO!$AF$7)/$H111*OFFSET(ORÇAMENTO!$X$15,ROW(AS111)-ROW(AS$15),0),
              ROUND(ROUND(OFFSET($P111,0,AS$13),15-13*ORÇAMENTO!$AF$7)*OFFSET(ORÇAMENTO!$W$15,ROW(AS111)-ROW(AS$15),0),15-13*ORÇAMENTO!$AF$11)),
         0)</f>
        <v>0</v>
      </c>
      <c r="AT111" s="453">
        <f ca="1">IF(AND($D111="Serviço",AT$12&lt;&gt;0,$H111&gt;0,OR(AUTOEVENTO&lt;&gt;"manual",$M111&lt;&gt;$A$15)),
        IF(Import.TipoArredondamento&lt;&gt;"TransfereGOV",
              ROUND(OFFSET($P111,0,AT$13),15-13*ORÇAMENTO!$AF$7)/$H111*OFFSET(ORÇAMENTO!$X$15,ROW(AT111)-ROW(AT$15),0),
              ROUND(ROUND(OFFSET($P111,0,AT$13),15-13*ORÇAMENTO!$AF$7)*OFFSET(ORÇAMENTO!$W$15,ROW(AT111)-ROW(AT$15),0),15-13*ORÇAMENTO!$AF$11)),
         0)</f>
        <v>0</v>
      </c>
      <c r="AU111" s="453">
        <f ca="1">IF(AND($D111="Serviço",AU$12&lt;&gt;0,$H111&gt;0,OR(AUTOEVENTO&lt;&gt;"manual",$M111&lt;&gt;$A$15)),
        IF(Import.TipoArredondamento&lt;&gt;"TransfereGOV",
              ROUND(OFFSET($P111,0,AU$13),15-13*ORÇAMENTO!$AF$7)/$H111*OFFSET(ORÇAMENTO!$X$15,ROW(AU111)-ROW(AU$15),0),
              ROUND(ROUND(OFFSET($P111,0,AU$13),15-13*ORÇAMENTO!$AF$7)*OFFSET(ORÇAMENTO!$W$15,ROW(AU111)-ROW(AU$15),0),15-13*ORÇAMENTO!$AF$11)),
         0)</f>
        <v>0</v>
      </c>
      <c r="AV111" s="453">
        <f ca="1">IF(AND($D111="Serviço",AV$12&lt;&gt;0,$H111&gt;0,OR(AUTOEVENTO&lt;&gt;"manual",$M111&lt;&gt;$A$15)),
        IF(Import.TipoArredondamento&lt;&gt;"TransfereGOV",
              ROUND(OFFSET($P111,0,AV$13),15-13*ORÇAMENTO!$AF$7)/$H111*OFFSET(ORÇAMENTO!$X$15,ROW(AV111)-ROW(AV$15),0),
              ROUND(ROUND(OFFSET($P111,0,AV$13),15-13*ORÇAMENTO!$AF$7)*OFFSET(ORÇAMENTO!$W$15,ROW(AV111)-ROW(AV$15),0),15-13*ORÇAMENTO!$AF$11)),
         0)</f>
        <v>0</v>
      </c>
      <c r="AW111" s="453">
        <f ca="1">IF(AND($D111="Serviço",AW$12&lt;&gt;0,$H111&gt;0,OR(AUTOEVENTO&lt;&gt;"manual",$M111&lt;&gt;$A$15)),
        IF(Import.TipoArredondamento&lt;&gt;"TransfereGOV",
              ROUND(OFFSET($P111,0,AW$13),15-13*ORÇAMENTO!$AF$7)/$H111*OFFSET(ORÇAMENTO!$X$15,ROW(AW111)-ROW(AW$15),0),
              ROUND(ROUND(OFFSET($P111,0,AW$13),15-13*ORÇAMENTO!$AF$7)*OFFSET(ORÇAMENTO!$W$15,ROW(AW111)-ROW(AW$15),0),15-13*ORÇAMENTO!$AF$11)),
         0)</f>
        <v>0</v>
      </c>
      <c r="AX111" s="453">
        <f ca="1">IF(AND($D111="Serviço",AX$12&lt;&gt;0,$H111&gt;0,OR(AUTOEVENTO&lt;&gt;"manual",$M111&lt;&gt;$A$15)),
        IF(Import.TipoArredondamento&lt;&gt;"TransfereGOV",
              ROUND(OFFSET($P111,0,AX$13),15-13*ORÇAMENTO!$AF$7)/$H111*OFFSET(ORÇAMENTO!$X$15,ROW(AX111)-ROW(AX$15),0),
              ROUND(ROUND(OFFSET($P111,0,AX$13),15-13*ORÇAMENTO!$AF$7)*OFFSET(ORÇAMENTO!$W$15,ROW(AX111)-ROW(AX$15),0),15-13*ORÇAMENTO!$AF$11)),
         0)</f>
        <v>0</v>
      </c>
      <c r="AY111" s="453">
        <f ca="1">IF(AND($D111="Serviço",AY$12&lt;&gt;0,$H111&gt;0,OR(AUTOEVENTO&lt;&gt;"manual",$M111&lt;&gt;$A$15)),
        IF(Import.TipoArredondamento&lt;&gt;"TransfereGOV",
              ROUND(OFFSET($P111,0,AY$13),15-13*ORÇAMENTO!$AF$7)/$H111*OFFSET(ORÇAMENTO!$X$15,ROW(AY111)-ROW(AY$15),0),
              ROUND(ROUND(OFFSET($P111,0,AY$13),15-13*ORÇAMENTO!$AF$7)*OFFSET(ORÇAMENTO!$W$15,ROW(AY111)-ROW(AY$15),0),15-13*ORÇAMENTO!$AF$11)),
         0)</f>
        <v>0</v>
      </c>
      <c r="AZ111" s="453">
        <f ca="1">IF(AND($D111="Serviço",AZ$12&lt;&gt;0,$H111&gt;0,OR(AUTOEVENTO&lt;&gt;"manual",$M111&lt;&gt;$A$15)),
        IF(Import.TipoArredondamento&lt;&gt;"TransfereGOV",
              ROUND(OFFSET($P111,0,AZ$13),15-13*ORÇAMENTO!$AF$7)/$H111*OFFSET(ORÇAMENTO!$X$15,ROW(AZ111)-ROW(AZ$15),0),
              ROUND(ROUND(OFFSET($P111,0,AZ$13),15-13*ORÇAMENTO!$AF$7)*OFFSET(ORÇAMENTO!$W$15,ROW(AZ111)-ROW(AZ$15),0),15-13*ORÇAMENTO!$AF$11)),
         0)</f>
        <v>0</v>
      </c>
      <c r="BA111" s="453">
        <f ca="1">IF(AND($D111="Serviço",BA$12&lt;&gt;0,$H111&gt;0,OR(AUTOEVENTO&lt;&gt;"manual",$M111&lt;&gt;$A$15)),
        IF(Import.TipoArredondamento&lt;&gt;"TransfereGOV",
              ROUND(OFFSET($P111,0,BA$13),15-13*ORÇAMENTO!$AF$7)/$H111*OFFSET(ORÇAMENTO!$X$15,ROW(BA111)-ROW(BA$15),0),
              ROUND(ROUND(OFFSET($P111,0,BA$13),15-13*ORÇAMENTO!$AF$7)*OFFSET(ORÇAMENTO!$W$15,ROW(BA111)-ROW(BA$15),0),15-13*ORÇAMENTO!$AF$11)),
         0)</f>
        <v>0</v>
      </c>
      <c r="BC111" s="171">
        <f ca="1">IF(OR($D111&lt;&gt;"Serviço",AND(AUTOEVENTO="Manual",$M111=$A$15)),0,
         IF(OFFSET(CRONOPLE!$F$15,$M111-$A$15,BC$13)=0,10^12,OFFSET(CRONOPLE!$F$15,$M111-$A$15,BC$13)))</f>
        <v>1000000000000</v>
      </c>
      <c r="BD111" s="171">
        <f ca="1">IF(OR($D111&lt;&gt;"Serviço",AND(AUTOEVENTO="Manual",$M111=$A$15)),0,
         IF(OFFSET(CRONOPLE!$F$15,$M111-$A$15,BD$13)=0,10^12,OFFSET(CRONOPLE!$F$15,$M111-$A$15,BD$13)))</f>
        <v>1000000000000</v>
      </c>
      <c r="BE111" s="171">
        <f ca="1">IF(OR($D111&lt;&gt;"Serviço",AND(AUTOEVENTO="Manual",$M111=$A$15)),0,
         IF(OFFSET(CRONOPLE!$F$15,$M111-$A$15,BE$13)=0,10^12,OFFSET(CRONOPLE!$F$15,$M111-$A$15,BE$13)))</f>
        <v>1000000000000</v>
      </c>
      <c r="BF111" s="171">
        <f ca="1">IF(OR($D111&lt;&gt;"Serviço",AND(AUTOEVENTO="Manual",$M111=$A$15)),0,
         IF(OFFSET(CRONOPLE!$F$15,$M111-$A$15,BF$13)=0,10^12,OFFSET(CRONOPLE!$F$15,$M111-$A$15,BF$13)))</f>
        <v>1000000000000</v>
      </c>
      <c r="BG111" s="171">
        <f ca="1">IF(OR($D111&lt;&gt;"Serviço",AND(AUTOEVENTO="Manual",$M111=$A$15)),0,
         IF(OFFSET(CRONOPLE!$F$15,$M111-$A$15,BG$13)=0,10^12,OFFSET(CRONOPLE!$F$15,$M111-$A$15,BG$13)))</f>
        <v>4</v>
      </c>
      <c r="BH111" s="171">
        <f ca="1">IF(OR($D111&lt;&gt;"Serviço",AND(AUTOEVENTO="Manual",$M111=$A$15)),0,
         IF(OFFSET(CRONOPLE!$F$15,$M111-$A$15,BH$13)=0,10^12,OFFSET(CRONOPLE!$F$15,$M111-$A$15,BH$13)))</f>
        <v>1000000000000</v>
      </c>
      <c r="BI111" s="171">
        <f ca="1">IF(OR($D111&lt;&gt;"Serviço",AND(AUTOEVENTO="Manual",$M111=$A$15)),0,
         IF(OFFSET(CRONOPLE!$F$15,$M111-$A$15,BI$13)=0,10^12,OFFSET(CRONOPLE!$F$15,$M111-$A$15,BI$13)))</f>
        <v>1000000000000</v>
      </c>
      <c r="BJ111" s="171">
        <f ca="1">IF(OR($D111&lt;&gt;"Serviço",AND(AUTOEVENTO="Manual",$M111=$A$15)),0,
         IF(OFFSET(CRONOPLE!$F$15,$M111-$A$15,BJ$13)=0,10^12,OFFSET(CRONOPLE!$F$15,$M111-$A$15,BJ$13)))</f>
        <v>1000000000000</v>
      </c>
      <c r="BK111" s="171">
        <f ca="1">IF(OR($D111&lt;&gt;"Serviço",AND(AUTOEVENTO="Manual",$M111=$A$15)),0,
         IF(OFFSET(CRONOPLE!$F$15,$M111-$A$15,BK$13)=0,10^12,OFFSET(CRONOPLE!$F$15,$M111-$A$15,BK$13)))</f>
        <v>1000000000000</v>
      </c>
      <c r="BL111" s="171">
        <f ca="1">IF(OR($D111&lt;&gt;"Serviço",AND(AUTOEVENTO="Manual",$M111=$A$15)),0,
         IF(OFFSET(CRONOPLE!$F$15,$M111-$A$15,BL$13)=0,10^12,OFFSET(CRONOPLE!$F$15,$M111-$A$15,BL$13)))</f>
        <v>1000000000000</v>
      </c>
      <c r="BM111" s="171">
        <f ca="1">IF(OR($D111&lt;&gt;"Serviço",AND(AUTOEVENTO="Manual",$M111=$A$15)),0,
         IF(OFFSET(CRONOPLE!$F$15,$M111-$A$15,BM$13)=0,10^12,OFFSET(CRONOPLE!$F$15,$M111-$A$15,BM$13)))</f>
        <v>1000000000000</v>
      </c>
      <c r="BN111" s="171">
        <f ca="1">IF(OR($D111&lt;&gt;"Serviço",AND(AUTOEVENTO="Manual",$M111=$A$15)),0,
         IF(OFFSET(CRONOPLE!$F$15,$M111-$A$15,BN$13)=0,10^12,OFFSET(CRONOPLE!$F$15,$M111-$A$15,BN$13)))</f>
        <v>1000000000000</v>
      </c>
      <c r="BO111" s="171">
        <f ca="1">IF(OR($D111&lt;&gt;"Serviço",AND(AUTOEVENTO="Manual",$M111=$A$15)),0,
         IF(OFFSET(CRONOPLE!$F$15,$M111-$A$15,BO$13)=0,10^12,OFFSET(CRONOPLE!$F$15,$M111-$A$15,BO$13)))</f>
        <v>1000000000000</v>
      </c>
      <c r="BP111" s="171">
        <f ca="1">IF(OR($D111&lt;&gt;"Serviço",AND(AUTOEVENTO="Manual",$M111=$A$15)),0,
         IF(OFFSET(CRONOPLE!$F$15,$M111-$A$15,BP$13)=0,10^12,OFFSET(CRONOPLE!$F$15,$M111-$A$15,BP$13)))</f>
        <v>1000000000000</v>
      </c>
      <c r="BQ111" s="171">
        <f ca="1">IF(OR($D111&lt;&gt;"Serviço",AND(AUTOEVENTO="Manual",$M111=$A$15)),0,
         IF(OFFSET(CRONOPLE!$F$15,$M111-$A$15,BQ$13)=0,10^12,OFFSET(CRONOPLE!$F$15,$M111-$A$15,BQ$13)))</f>
        <v>1000000000000</v>
      </c>
      <c r="BR111" s="171">
        <f ca="1">IF(OR($D111&lt;&gt;"Serviço",AND(AUTOEVENTO="Manual",$M111=$A$15)),0,
         IF(OFFSET(CRONOPLE!$F$15,$M111-$A$15,BR$13)=0,10^12,OFFSET(CRONOPLE!$F$15,$M111-$A$15,BR$13)))</f>
        <v>1000000000000</v>
      </c>
      <c r="BS111" s="171">
        <f ca="1">IF(OR($D111&lt;&gt;"Serviço",AND(AUTOEVENTO="Manual",$M111=$A$15)),0,
         IF(OFFSET(CRONOPLE!$F$15,$M111-$A$15,BS$13)=0,10^12,OFFSET(CRONOPLE!$F$15,$M111-$A$15,BS$13)))</f>
        <v>1000000000000</v>
      </c>
      <c r="BT111" s="171">
        <f ca="1">IF(OR($D111&lt;&gt;"Serviço",AND(AUTOEVENTO="Manual",$M111=$A$15)),0,
         IF(OFFSET(CRONOPLE!$F$15,$M111-$A$15,BT$13)=0,10^12,OFFSET(CRONOPLE!$F$15,$M111-$A$15,BT$13)))</f>
        <v>1000000000000</v>
      </c>
      <c r="BV111" s="172">
        <f ca="1">IF(OR($D111&lt;&gt;"Serviço",AND(AUTOEVENTO="Manual",$M111=$A$15),$M111&gt;(ROW(PLE.lastrow)-ROW(PLE.firstrow))),0,
           IF(OFFSET(PLE!$G$15,$M111-$A$15,BV$13)="",10^12,OFFSET(PLE!$G$15,$M111-$A$15,BV$13)))</f>
        <v>1000000000000</v>
      </c>
      <c r="BW111" s="172">
        <f ca="1">IF(OR($D111&lt;&gt;"Serviço",AND(AUTOEVENTO="Manual",$M111=$A$15),$M111&gt;(ROW(PLE.lastrow)-ROW(PLE.firstrow))),0,
           IF(OFFSET(PLE!$G$15,$M111-$A$15,BW$13)="",10^12,OFFSET(PLE!$G$15,$M111-$A$15,BW$13)))</f>
        <v>1000000000000</v>
      </c>
      <c r="BX111" s="172">
        <f ca="1">IF(OR($D111&lt;&gt;"Serviço",AND(AUTOEVENTO="Manual",$M111=$A$15),$M111&gt;(ROW(PLE.lastrow)-ROW(PLE.firstrow))),0,
           IF(OFFSET(PLE!$G$15,$M111-$A$15,BX$13)="",10^12,OFFSET(PLE!$G$15,$M111-$A$15,BX$13)))</f>
        <v>1000000000000</v>
      </c>
      <c r="BY111" s="172">
        <f ca="1">IF(OR($D111&lt;&gt;"Serviço",AND(AUTOEVENTO="Manual",$M111=$A$15),$M111&gt;(ROW(PLE.lastrow)-ROW(PLE.firstrow))),0,
           IF(OFFSET(PLE!$G$15,$M111-$A$15,BY$13)="",10^12,OFFSET(PLE!$G$15,$M111-$A$15,BY$13)))</f>
        <v>1000000000000</v>
      </c>
      <c r="BZ111" s="172">
        <f ca="1">IF(OR($D111&lt;&gt;"Serviço",AND(AUTOEVENTO="Manual",$M111=$A$15),$M111&gt;(ROW(PLE.lastrow)-ROW(PLE.firstrow))),0,
           IF(OFFSET(PLE!$G$15,$M111-$A$15,BZ$13)="",10^12,OFFSET(PLE!$G$15,$M111-$A$15,BZ$13)))</f>
        <v>1000000000000</v>
      </c>
      <c r="CA111" s="172">
        <f ca="1">IF(OR($D111&lt;&gt;"Serviço",AND(AUTOEVENTO="Manual",$M111=$A$15),$M111&gt;(ROW(PLE.lastrow)-ROW(PLE.firstrow))),0,
           IF(OFFSET(PLE!$G$15,$M111-$A$15,CA$13)="",10^12,OFFSET(PLE!$G$15,$M111-$A$15,CA$13)))</f>
        <v>1000000000000</v>
      </c>
      <c r="CB111" s="172">
        <f ca="1">IF(OR($D111&lt;&gt;"Serviço",AND(AUTOEVENTO="Manual",$M111=$A$15),$M111&gt;(ROW(PLE.lastrow)-ROW(PLE.firstrow))),0,
           IF(OFFSET(PLE!$G$15,$M111-$A$15,CB$13)="",10^12,OFFSET(PLE!$G$15,$M111-$A$15,CB$13)))</f>
        <v>1000000000000</v>
      </c>
      <c r="CC111" s="172">
        <f ca="1">IF(OR($D111&lt;&gt;"Serviço",AND(AUTOEVENTO="Manual",$M111=$A$15),$M111&gt;(ROW(PLE.lastrow)-ROW(PLE.firstrow))),0,
           IF(OFFSET(PLE!$G$15,$M111-$A$15,CC$13)="",10^12,OFFSET(PLE!$G$15,$M111-$A$15,CC$13)))</f>
        <v>1000000000000</v>
      </c>
      <c r="CD111" s="172">
        <f ca="1">IF(OR($D111&lt;&gt;"Serviço",AND(AUTOEVENTO="Manual",$M111=$A$15),$M111&gt;(ROW(PLE.lastrow)-ROW(PLE.firstrow))),0,
           IF(OFFSET(PLE!$G$15,$M111-$A$15,CD$13)="",10^12,OFFSET(PLE!$G$15,$M111-$A$15,CD$13)))</f>
        <v>1000000000000</v>
      </c>
      <c r="CE111" s="172">
        <f ca="1">IF(OR($D111&lt;&gt;"Serviço",AND(AUTOEVENTO="Manual",$M111=$A$15),$M111&gt;(ROW(PLE.lastrow)-ROW(PLE.firstrow))),0,
           IF(OFFSET(PLE!$G$15,$M111-$A$15,CE$13)="",10^12,OFFSET(PLE!$G$15,$M111-$A$15,CE$13)))</f>
        <v>1000000000000</v>
      </c>
      <c r="CF111" s="172">
        <f ca="1">IF(OR($D111&lt;&gt;"Serviço",AND(AUTOEVENTO="Manual",$M111=$A$15),$M111&gt;(ROW(PLE.lastrow)-ROW(PLE.firstrow))),0,
           IF(OFFSET(PLE!$G$15,$M111-$A$15,CF$13)="",10^12,OFFSET(PLE!$G$15,$M111-$A$15,CF$13)))</f>
        <v>1000000000000</v>
      </c>
      <c r="CG111" s="172">
        <f ca="1">IF(OR($D111&lt;&gt;"Serviço",AND(AUTOEVENTO="Manual",$M111=$A$15),$M111&gt;(ROW(PLE.lastrow)-ROW(PLE.firstrow))),0,
           IF(OFFSET(PLE!$G$15,$M111-$A$15,CG$13)="",10^12,OFFSET(PLE!$G$15,$M111-$A$15,CG$13)))</f>
        <v>1000000000000</v>
      </c>
      <c r="CH111" s="172">
        <f ca="1">IF(OR($D111&lt;&gt;"Serviço",AND(AUTOEVENTO="Manual",$M111=$A$15),$M111&gt;(ROW(PLE.lastrow)-ROW(PLE.firstrow))),0,
           IF(OFFSET(PLE!$G$15,$M111-$A$15,CH$13)="",10^12,OFFSET(PLE!$G$15,$M111-$A$15,CH$13)))</f>
        <v>1000000000000</v>
      </c>
      <c r="CI111" s="172">
        <f ca="1">IF(OR($D111&lt;&gt;"Serviço",AND(AUTOEVENTO="Manual",$M111=$A$15),$M111&gt;(ROW(PLE.lastrow)-ROW(PLE.firstrow))),0,
           IF(OFFSET(PLE!$G$15,$M111-$A$15,CI$13)="",10^12,OFFSET(PLE!$G$15,$M111-$A$15,CI$13)))</f>
        <v>1000000000000</v>
      </c>
      <c r="CJ111" s="172">
        <f ca="1">IF(OR($D111&lt;&gt;"Serviço",AND(AUTOEVENTO="Manual",$M111=$A$15),$M111&gt;(ROW(PLE.lastrow)-ROW(PLE.firstrow))),0,
           IF(OFFSET(PLE!$G$15,$M111-$A$15,CJ$13)="",10^12,OFFSET(PLE!$G$15,$M111-$A$15,CJ$13)))</f>
        <v>1000000000000</v>
      </c>
      <c r="CK111" s="172">
        <f ca="1">IF(OR($D111&lt;&gt;"Serviço",AND(AUTOEVENTO="Manual",$M111=$A$15),$M111&gt;(ROW(PLE.lastrow)-ROW(PLE.firstrow))),0,
           IF(OFFSET(PLE!$G$15,$M111-$A$15,CK$13)="",10^12,OFFSET(PLE!$G$15,$M111-$A$15,CK$13)))</f>
        <v>1000000000000</v>
      </c>
      <c r="CL111" s="172">
        <f ca="1">IF(OR($D111&lt;&gt;"Serviço",AND(AUTOEVENTO="Manual",$M111=$A$15),$M111&gt;(ROW(PLE.lastrow)-ROW(PLE.firstrow))),0,
           IF(OFFSET(PLE!$G$15,$M111-$A$15,CL$13)="",10^12,OFFSET(PLE!$G$15,$M111-$A$15,CL$13)))</f>
        <v>1000000000000</v>
      </c>
      <c r="CM111" s="172">
        <f ca="1">IF(OR($D111&lt;&gt;"Serviço",AND(AUTOEVENTO="Manual",$M111=$A$15),$M111&gt;(ROW(PLE.lastrow)-ROW(PLE.firstrow))),0,
           IF(OFFSET(PLE!$G$15,$M111-$A$15,CM$13)="",10^12,OFFSET(PLE!$G$15,$M111-$A$15,CM$13)))</f>
        <v>1000000000000</v>
      </c>
    </row>
    <row r="112" spans="1:91" ht="13.2" x14ac:dyDescent="0.25">
      <c r="A112" s="7" t="str">
        <f t="shared" ca="1" si="11"/>
        <v>86</v>
      </c>
      <c r="B112" s="7" t="str">
        <f ca="1">OFFSET(ORÇAMENTO!C$15,ROW(B112)-ROW(B$15),0)</f>
        <v>S</v>
      </c>
      <c r="C112" s="7" t="str">
        <f ca="1">OFFSET(ORÇAMENTO!L$15,ROW(C112)-ROW(C$15),0)</f>
        <v>F</v>
      </c>
      <c r="D112" s="116" t="str">
        <f ca="1">OFFSET(ORÇAMENTO!N$15,ROW(D112)-ROW(D$15),0)</f>
        <v>Serviço</v>
      </c>
      <c r="E112" s="117" t="str">
        <f ca="1">OFFSET(ORÇAMENTO!O$15,ROW(E112)-ROW(E$15),0)</f>
        <v>3.2.11.</v>
      </c>
      <c r="F112" s="163" t="str">
        <f ca="1">OFFSET(ORÇAMENTO!R$15,ROW(F112)-ROW(F$15),0)</f>
        <v>Concreto asfáltico - faixa C-12,5 - areia e brita comerciais</v>
      </c>
      <c r="G112" s="164" t="str">
        <f ca="1">IF($D112&lt;&gt;"Serviço","",OFFSET(ORÇAMENTO!S$15,ROW(G112)-ROW(G$15),0))</f>
        <v>t</v>
      </c>
      <c r="H112" s="122" cm="1">
        <f t="array" aca="1" ref="H112" ca="1">IF($D112&lt;&gt;"Serviço",0,IF(ACOMPANHAMENTO="BM",ROUND(OFFSET(ORÇAMENTO!AJ$15,ROW(H112)-ROW(H$15),0),15-13*ORÇAMENTO!$AF$7),SUMPRODUCT(($Q$1:$AI$1=1)*ROUND($Q112:$AI112,15-13*ORÇAMENTO!$AF$7))))</f>
        <v>164.65</v>
      </c>
      <c r="I112" s="468"/>
      <c r="J112" s="651" t="e" cm="1">
        <f t="array" aca="1" ref="J112" ca="1">IF(OR(B112&lt;&gt;"S",CÁLCULO.FrentesPreenchidas=0),"",IF(AND(ACOMPANHAMENTO="PLE",AUTOEVENTO="Manual",OR(H112&gt;0,ORÇAMENTO!AC112="QUANT."),OR(K112="",M112=0,N112="")),"►E",IF(AND(ACOMPANHAMENTO="PLE",ORÇAMENTO!AC112="QUANT."),"►Q",IF(AND(ACOMPANHAMENTO="PLE",H112&lt;&gt;SUMPRODUCT(($Q$1:$AI$1=1)*ROUND(Q112:AI112,15))),"►S",IF(AND(COUNTIF($P$11:$AI$11,"▼")=0,H112&gt;0,I112=""),"◄M","")))))</f>
        <v>#NAME?</v>
      </c>
      <c r="K112" s="652"/>
      <c r="L112" s="165" t="s">
        <v>764</v>
      </c>
      <c r="M112" s="166">
        <f ca="1">IF($D112&lt;&gt;"Serviço","",
          IF(AUTOEVENTO="manual",$A112,
                IF(ISERROR(MATCH($A112,$A$15:OFFSET($A112,-1,0),0)),MAX($M$15:OFFSET(M112,-1,0))+1,
                      INDEX($M$15:OFFSET(M112,-1,0),MATCH($A112,$A$15:OFFSET($A112,-1,0),0)))))</f>
        <v>15</v>
      </c>
      <c r="N112" s="167" t="str">
        <f ca="1">IF($D112&lt;&gt;"Serviço","",
         IF(AUTOEVENTO="Manual",
                IF($A112=0,"&lt;-- defina o número do agrupador",
                       OFFSET(EVENTOS!$D$15,$A112-$A$15,0)),
                OFFSET($F$15,$A112,0)))</f>
        <v>PAVIMENTAÇÃO</v>
      </c>
      <c r="O112" s="168"/>
      <c r="Q112" s="168"/>
      <c r="R112" s="169"/>
      <c r="S112" s="169"/>
      <c r="T112" s="169"/>
      <c r="U112" s="169">
        <f>TRUNC(U109*0.04*2.51,2)</f>
        <v>164.65</v>
      </c>
      <c r="V112" s="169"/>
      <c r="W112" s="169"/>
      <c r="X112" s="169"/>
      <c r="Y112" s="169"/>
      <c r="Z112" s="170"/>
      <c r="AA112" s="169"/>
      <c r="AB112" s="169"/>
      <c r="AC112" s="169"/>
      <c r="AD112" s="169"/>
      <c r="AE112" s="169"/>
      <c r="AF112" s="169"/>
      <c r="AG112" s="169"/>
      <c r="AH112" s="170"/>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L112" s="453">
        <f ca="1">IF(AND($D112="Serviço",AL$12&lt;&gt;0,$H112&gt;0,OR(AUTOEVENTO&lt;&gt;"manual",$M112&lt;&gt;$A$15)),
        IF(Import.TipoArredondamento&lt;&gt;"TransfereGOV",
              ROUND(OFFSET($P112,0,AL$13),15-13*ORÇAMENTO!$AF$7)/$H112*OFFSET(ORÇAMENTO!$X$15,ROW(AL112)-ROW(AL$15),0),
              ROUND(ROUND(OFFSET($P112,0,AL$13),15-13*ORÇAMENTO!$AF$7)*OFFSET(ORÇAMENTO!$W$15,ROW(AL112)-ROW(AL$15),0),15-13*ORÇAMENTO!$AF$11)),
         0)</f>
        <v>0</v>
      </c>
      <c r="AM112" s="453">
        <f ca="1">IF(AND($D112="Serviço",AM$12&lt;&gt;0,$H112&gt;0,OR(AUTOEVENTO&lt;&gt;"manual",$M112&lt;&gt;$A$15)),
        IF(Import.TipoArredondamento&lt;&gt;"TransfereGOV",
              ROUND(OFFSET($P112,0,AM$13),15-13*ORÇAMENTO!$AF$7)/$H112*OFFSET(ORÇAMENTO!$X$15,ROW(AM112)-ROW(AM$15),0),
              ROUND(ROUND(OFFSET($P112,0,AM$13),15-13*ORÇAMENTO!$AF$7)*OFFSET(ORÇAMENTO!$W$15,ROW(AM112)-ROW(AM$15),0),15-13*ORÇAMENTO!$AF$11)),
         0)</f>
        <v>0</v>
      </c>
      <c r="AN112" s="453">
        <f ca="1">IF(AND($D112="Serviço",AN$12&lt;&gt;0,$H112&gt;0,OR(AUTOEVENTO&lt;&gt;"manual",$M112&lt;&gt;$A$15)),
        IF(Import.TipoArredondamento&lt;&gt;"TransfereGOV",
              ROUND(OFFSET($P112,0,AN$13),15-13*ORÇAMENTO!$AF$7)/$H112*OFFSET(ORÇAMENTO!$X$15,ROW(AN112)-ROW(AN$15),0),
              ROUND(ROUND(OFFSET($P112,0,AN$13),15-13*ORÇAMENTO!$AF$7)*OFFSET(ORÇAMENTO!$W$15,ROW(AN112)-ROW(AN$15),0),15-13*ORÇAMENTO!$AF$11)),
         0)</f>
        <v>38513.279999999999</v>
      </c>
      <c r="AO112" s="453">
        <f ca="1">IF(AND($D112="Serviço",AO$12&lt;&gt;0,$H112&gt;0,OR(AUTOEVENTO&lt;&gt;"manual",$M112&lt;&gt;$A$15)),
        IF(Import.TipoArredondamento&lt;&gt;"TransfereGOV",
              ROUND(OFFSET($P112,0,AO$13),15-13*ORÇAMENTO!$AF$7)/$H112*OFFSET(ORÇAMENTO!$X$15,ROW(AO112)-ROW(AO$15),0),
              ROUND(ROUND(OFFSET($P112,0,AO$13),15-13*ORÇAMENTO!$AF$7)*OFFSET(ORÇAMENTO!$W$15,ROW(AO112)-ROW(AO$15),0),15-13*ORÇAMENTO!$AF$11)),
         0)</f>
        <v>0</v>
      </c>
      <c r="AP112" s="453">
        <f ca="1">IF(AND($D112="Serviço",AP$12&lt;&gt;0,$H112&gt;0,OR(AUTOEVENTO&lt;&gt;"manual",$M112&lt;&gt;$A$15)),
        IF(Import.TipoArredondamento&lt;&gt;"TransfereGOV",
              ROUND(OFFSET($P112,0,AP$13),15-13*ORÇAMENTO!$AF$7)/$H112*OFFSET(ORÇAMENTO!$X$15,ROW(AP112)-ROW(AP$15),0),
              ROUND(ROUND(OFFSET($P112,0,AP$13),15-13*ORÇAMENTO!$AF$7)*OFFSET(ORÇAMENTO!$W$15,ROW(AP112)-ROW(AP$15),0),15-13*ORÇAMENTO!$AF$11)),
         0)</f>
        <v>0</v>
      </c>
      <c r="AQ112" s="453">
        <f ca="1">IF(AND($D112="Serviço",AQ$12&lt;&gt;0,$H112&gt;0,OR(AUTOEVENTO&lt;&gt;"manual",$M112&lt;&gt;$A$15)),
        IF(Import.TipoArredondamento&lt;&gt;"TransfereGOV",
              ROUND(OFFSET($P112,0,AQ$13),15-13*ORÇAMENTO!$AF$7)/$H112*OFFSET(ORÇAMENTO!$X$15,ROW(AQ112)-ROW(AQ$15),0),
              ROUND(ROUND(OFFSET($P112,0,AQ$13),15-13*ORÇAMENTO!$AF$7)*OFFSET(ORÇAMENTO!$W$15,ROW(AQ112)-ROW(AQ$15),0),15-13*ORÇAMENTO!$AF$11)),
         0)</f>
        <v>0</v>
      </c>
      <c r="AR112" s="453">
        <f ca="1">IF(AND($D112="Serviço",AR$12&lt;&gt;0,$H112&gt;0,OR(AUTOEVENTO&lt;&gt;"manual",$M112&lt;&gt;$A$15)),
        IF(Import.TipoArredondamento&lt;&gt;"TransfereGOV",
              ROUND(OFFSET($P112,0,AR$13),15-13*ORÇAMENTO!$AF$7)/$H112*OFFSET(ORÇAMENTO!$X$15,ROW(AR112)-ROW(AR$15),0),
              ROUND(ROUND(OFFSET($P112,0,AR$13),15-13*ORÇAMENTO!$AF$7)*OFFSET(ORÇAMENTO!$W$15,ROW(AR112)-ROW(AR$15),0),15-13*ORÇAMENTO!$AF$11)),
         0)</f>
        <v>0</v>
      </c>
      <c r="AS112" s="453">
        <f ca="1">IF(AND($D112="Serviço",AS$12&lt;&gt;0,$H112&gt;0,OR(AUTOEVENTO&lt;&gt;"manual",$M112&lt;&gt;$A$15)),
        IF(Import.TipoArredondamento&lt;&gt;"TransfereGOV",
              ROUND(OFFSET($P112,0,AS$13),15-13*ORÇAMENTO!$AF$7)/$H112*OFFSET(ORÇAMENTO!$X$15,ROW(AS112)-ROW(AS$15),0),
              ROUND(ROUND(OFFSET($P112,0,AS$13),15-13*ORÇAMENTO!$AF$7)*OFFSET(ORÇAMENTO!$W$15,ROW(AS112)-ROW(AS$15),0),15-13*ORÇAMENTO!$AF$11)),
         0)</f>
        <v>0</v>
      </c>
      <c r="AT112" s="453">
        <f ca="1">IF(AND($D112="Serviço",AT$12&lt;&gt;0,$H112&gt;0,OR(AUTOEVENTO&lt;&gt;"manual",$M112&lt;&gt;$A$15)),
        IF(Import.TipoArredondamento&lt;&gt;"TransfereGOV",
              ROUND(OFFSET($P112,0,AT$13),15-13*ORÇAMENTO!$AF$7)/$H112*OFFSET(ORÇAMENTO!$X$15,ROW(AT112)-ROW(AT$15),0),
              ROUND(ROUND(OFFSET($P112,0,AT$13),15-13*ORÇAMENTO!$AF$7)*OFFSET(ORÇAMENTO!$W$15,ROW(AT112)-ROW(AT$15),0),15-13*ORÇAMENTO!$AF$11)),
         0)</f>
        <v>0</v>
      </c>
      <c r="AU112" s="453">
        <f ca="1">IF(AND($D112="Serviço",AU$12&lt;&gt;0,$H112&gt;0,OR(AUTOEVENTO&lt;&gt;"manual",$M112&lt;&gt;$A$15)),
        IF(Import.TipoArredondamento&lt;&gt;"TransfereGOV",
              ROUND(OFFSET($P112,0,AU$13),15-13*ORÇAMENTO!$AF$7)/$H112*OFFSET(ORÇAMENTO!$X$15,ROW(AU112)-ROW(AU$15),0),
              ROUND(ROUND(OFFSET($P112,0,AU$13),15-13*ORÇAMENTO!$AF$7)*OFFSET(ORÇAMENTO!$W$15,ROW(AU112)-ROW(AU$15),0),15-13*ORÇAMENTO!$AF$11)),
         0)</f>
        <v>0</v>
      </c>
      <c r="AV112" s="453">
        <f ca="1">IF(AND($D112="Serviço",AV$12&lt;&gt;0,$H112&gt;0,OR(AUTOEVENTO&lt;&gt;"manual",$M112&lt;&gt;$A$15)),
        IF(Import.TipoArredondamento&lt;&gt;"TransfereGOV",
              ROUND(OFFSET($P112,0,AV$13),15-13*ORÇAMENTO!$AF$7)/$H112*OFFSET(ORÇAMENTO!$X$15,ROW(AV112)-ROW(AV$15),0),
              ROUND(ROUND(OFFSET($P112,0,AV$13),15-13*ORÇAMENTO!$AF$7)*OFFSET(ORÇAMENTO!$W$15,ROW(AV112)-ROW(AV$15),0),15-13*ORÇAMENTO!$AF$11)),
         0)</f>
        <v>0</v>
      </c>
      <c r="AW112" s="453">
        <f ca="1">IF(AND($D112="Serviço",AW$12&lt;&gt;0,$H112&gt;0,OR(AUTOEVENTO&lt;&gt;"manual",$M112&lt;&gt;$A$15)),
        IF(Import.TipoArredondamento&lt;&gt;"TransfereGOV",
              ROUND(OFFSET($P112,0,AW$13),15-13*ORÇAMENTO!$AF$7)/$H112*OFFSET(ORÇAMENTO!$X$15,ROW(AW112)-ROW(AW$15),0),
              ROUND(ROUND(OFFSET($P112,0,AW$13),15-13*ORÇAMENTO!$AF$7)*OFFSET(ORÇAMENTO!$W$15,ROW(AW112)-ROW(AW$15),0),15-13*ORÇAMENTO!$AF$11)),
         0)</f>
        <v>0</v>
      </c>
      <c r="AX112" s="453">
        <f ca="1">IF(AND($D112="Serviço",AX$12&lt;&gt;0,$H112&gt;0,OR(AUTOEVENTO&lt;&gt;"manual",$M112&lt;&gt;$A$15)),
        IF(Import.TipoArredondamento&lt;&gt;"TransfereGOV",
              ROUND(OFFSET($P112,0,AX$13),15-13*ORÇAMENTO!$AF$7)/$H112*OFFSET(ORÇAMENTO!$X$15,ROW(AX112)-ROW(AX$15),0),
              ROUND(ROUND(OFFSET($P112,0,AX$13),15-13*ORÇAMENTO!$AF$7)*OFFSET(ORÇAMENTO!$W$15,ROW(AX112)-ROW(AX$15),0),15-13*ORÇAMENTO!$AF$11)),
         0)</f>
        <v>0</v>
      </c>
      <c r="AY112" s="453">
        <f ca="1">IF(AND($D112="Serviço",AY$12&lt;&gt;0,$H112&gt;0,OR(AUTOEVENTO&lt;&gt;"manual",$M112&lt;&gt;$A$15)),
        IF(Import.TipoArredondamento&lt;&gt;"TransfereGOV",
              ROUND(OFFSET($P112,0,AY$13),15-13*ORÇAMENTO!$AF$7)/$H112*OFFSET(ORÇAMENTO!$X$15,ROW(AY112)-ROW(AY$15),0),
              ROUND(ROUND(OFFSET($P112,0,AY$13),15-13*ORÇAMENTO!$AF$7)*OFFSET(ORÇAMENTO!$W$15,ROW(AY112)-ROW(AY$15),0),15-13*ORÇAMENTO!$AF$11)),
         0)</f>
        <v>0</v>
      </c>
      <c r="AZ112" s="453">
        <f ca="1">IF(AND($D112="Serviço",AZ$12&lt;&gt;0,$H112&gt;0,OR(AUTOEVENTO&lt;&gt;"manual",$M112&lt;&gt;$A$15)),
        IF(Import.TipoArredondamento&lt;&gt;"TransfereGOV",
              ROUND(OFFSET($P112,0,AZ$13),15-13*ORÇAMENTO!$AF$7)/$H112*OFFSET(ORÇAMENTO!$X$15,ROW(AZ112)-ROW(AZ$15),0),
              ROUND(ROUND(OFFSET($P112,0,AZ$13),15-13*ORÇAMENTO!$AF$7)*OFFSET(ORÇAMENTO!$W$15,ROW(AZ112)-ROW(AZ$15),0),15-13*ORÇAMENTO!$AF$11)),
         0)</f>
        <v>0</v>
      </c>
      <c r="BA112" s="453">
        <f ca="1">IF(AND($D112="Serviço",BA$12&lt;&gt;0,$H112&gt;0,OR(AUTOEVENTO&lt;&gt;"manual",$M112&lt;&gt;$A$15)),
        IF(Import.TipoArredondamento&lt;&gt;"TransfereGOV",
              ROUND(OFFSET($P112,0,BA$13),15-13*ORÇAMENTO!$AF$7)/$H112*OFFSET(ORÇAMENTO!$X$15,ROW(BA112)-ROW(BA$15),0),
              ROUND(ROUND(OFFSET($P112,0,BA$13),15-13*ORÇAMENTO!$AF$7)*OFFSET(ORÇAMENTO!$W$15,ROW(BA112)-ROW(BA$15),0),15-13*ORÇAMENTO!$AF$11)),
         0)</f>
        <v>0</v>
      </c>
      <c r="BC112" s="171">
        <f ca="1">IF(OR($D112&lt;&gt;"Serviço",AND(AUTOEVENTO="Manual",$M112=$A$15)),0,
         IF(OFFSET(CRONOPLE!$F$15,$M112-$A$15,BC$13)=0,10^12,OFFSET(CRONOPLE!$F$15,$M112-$A$15,BC$13)))</f>
        <v>1000000000000</v>
      </c>
      <c r="BD112" s="171">
        <f ca="1">IF(OR($D112&lt;&gt;"Serviço",AND(AUTOEVENTO="Manual",$M112=$A$15)),0,
         IF(OFFSET(CRONOPLE!$F$15,$M112-$A$15,BD$13)=0,10^12,OFFSET(CRONOPLE!$F$15,$M112-$A$15,BD$13)))</f>
        <v>1000000000000</v>
      </c>
      <c r="BE112" s="171">
        <f ca="1">IF(OR($D112&lt;&gt;"Serviço",AND(AUTOEVENTO="Manual",$M112=$A$15)),0,
         IF(OFFSET(CRONOPLE!$F$15,$M112-$A$15,BE$13)=0,10^12,OFFSET(CRONOPLE!$F$15,$M112-$A$15,BE$13)))</f>
        <v>1000000000000</v>
      </c>
      <c r="BF112" s="171">
        <f ca="1">IF(OR($D112&lt;&gt;"Serviço",AND(AUTOEVENTO="Manual",$M112=$A$15)),0,
         IF(OFFSET(CRONOPLE!$F$15,$M112-$A$15,BF$13)=0,10^12,OFFSET(CRONOPLE!$F$15,$M112-$A$15,BF$13)))</f>
        <v>1000000000000</v>
      </c>
      <c r="BG112" s="171">
        <f ca="1">IF(OR($D112&lt;&gt;"Serviço",AND(AUTOEVENTO="Manual",$M112=$A$15)),0,
         IF(OFFSET(CRONOPLE!$F$15,$M112-$A$15,BG$13)=0,10^12,OFFSET(CRONOPLE!$F$15,$M112-$A$15,BG$13)))</f>
        <v>4</v>
      </c>
      <c r="BH112" s="171">
        <f ca="1">IF(OR($D112&lt;&gt;"Serviço",AND(AUTOEVENTO="Manual",$M112=$A$15)),0,
         IF(OFFSET(CRONOPLE!$F$15,$M112-$A$15,BH$13)=0,10^12,OFFSET(CRONOPLE!$F$15,$M112-$A$15,BH$13)))</f>
        <v>1000000000000</v>
      </c>
      <c r="BI112" s="171">
        <f ca="1">IF(OR($D112&lt;&gt;"Serviço",AND(AUTOEVENTO="Manual",$M112=$A$15)),0,
         IF(OFFSET(CRONOPLE!$F$15,$M112-$A$15,BI$13)=0,10^12,OFFSET(CRONOPLE!$F$15,$M112-$A$15,BI$13)))</f>
        <v>1000000000000</v>
      </c>
      <c r="BJ112" s="171">
        <f ca="1">IF(OR($D112&lt;&gt;"Serviço",AND(AUTOEVENTO="Manual",$M112=$A$15)),0,
         IF(OFFSET(CRONOPLE!$F$15,$M112-$A$15,BJ$13)=0,10^12,OFFSET(CRONOPLE!$F$15,$M112-$A$15,BJ$13)))</f>
        <v>1000000000000</v>
      </c>
      <c r="BK112" s="171">
        <f ca="1">IF(OR($D112&lt;&gt;"Serviço",AND(AUTOEVENTO="Manual",$M112=$A$15)),0,
         IF(OFFSET(CRONOPLE!$F$15,$M112-$A$15,BK$13)=0,10^12,OFFSET(CRONOPLE!$F$15,$M112-$A$15,BK$13)))</f>
        <v>1000000000000</v>
      </c>
      <c r="BL112" s="171">
        <f ca="1">IF(OR($D112&lt;&gt;"Serviço",AND(AUTOEVENTO="Manual",$M112=$A$15)),0,
         IF(OFFSET(CRONOPLE!$F$15,$M112-$A$15,BL$13)=0,10^12,OFFSET(CRONOPLE!$F$15,$M112-$A$15,BL$13)))</f>
        <v>1000000000000</v>
      </c>
      <c r="BM112" s="171">
        <f ca="1">IF(OR($D112&lt;&gt;"Serviço",AND(AUTOEVENTO="Manual",$M112=$A$15)),0,
         IF(OFFSET(CRONOPLE!$F$15,$M112-$A$15,BM$13)=0,10^12,OFFSET(CRONOPLE!$F$15,$M112-$A$15,BM$13)))</f>
        <v>1000000000000</v>
      </c>
      <c r="BN112" s="171">
        <f ca="1">IF(OR($D112&lt;&gt;"Serviço",AND(AUTOEVENTO="Manual",$M112=$A$15)),0,
         IF(OFFSET(CRONOPLE!$F$15,$M112-$A$15,BN$13)=0,10^12,OFFSET(CRONOPLE!$F$15,$M112-$A$15,BN$13)))</f>
        <v>1000000000000</v>
      </c>
      <c r="BO112" s="171">
        <f ca="1">IF(OR($D112&lt;&gt;"Serviço",AND(AUTOEVENTO="Manual",$M112=$A$15)),0,
         IF(OFFSET(CRONOPLE!$F$15,$M112-$A$15,BO$13)=0,10^12,OFFSET(CRONOPLE!$F$15,$M112-$A$15,BO$13)))</f>
        <v>1000000000000</v>
      </c>
      <c r="BP112" s="171">
        <f ca="1">IF(OR($D112&lt;&gt;"Serviço",AND(AUTOEVENTO="Manual",$M112=$A$15)),0,
         IF(OFFSET(CRONOPLE!$F$15,$M112-$A$15,BP$13)=0,10^12,OFFSET(CRONOPLE!$F$15,$M112-$A$15,BP$13)))</f>
        <v>1000000000000</v>
      </c>
      <c r="BQ112" s="171">
        <f ca="1">IF(OR($D112&lt;&gt;"Serviço",AND(AUTOEVENTO="Manual",$M112=$A$15)),0,
         IF(OFFSET(CRONOPLE!$F$15,$M112-$A$15,BQ$13)=0,10^12,OFFSET(CRONOPLE!$F$15,$M112-$A$15,BQ$13)))</f>
        <v>1000000000000</v>
      </c>
      <c r="BR112" s="171">
        <f ca="1">IF(OR($D112&lt;&gt;"Serviço",AND(AUTOEVENTO="Manual",$M112=$A$15)),0,
         IF(OFFSET(CRONOPLE!$F$15,$M112-$A$15,BR$13)=0,10^12,OFFSET(CRONOPLE!$F$15,$M112-$A$15,BR$13)))</f>
        <v>1000000000000</v>
      </c>
      <c r="BS112" s="171">
        <f ca="1">IF(OR($D112&lt;&gt;"Serviço",AND(AUTOEVENTO="Manual",$M112=$A$15)),0,
         IF(OFFSET(CRONOPLE!$F$15,$M112-$A$15,BS$13)=0,10^12,OFFSET(CRONOPLE!$F$15,$M112-$A$15,BS$13)))</f>
        <v>1000000000000</v>
      </c>
      <c r="BT112" s="171">
        <f ca="1">IF(OR($D112&lt;&gt;"Serviço",AND(AUTOEVENTO="Manual",$M112=$A$15)),0,
         IF(OFFSET(CRONOPLE!$F$15,$M112-$A$15,BT$13)=0,10^12,OFFSET(CRONOPLE!$F$15,$M112-$A$15,BT$13)))</f>
        <v>1000000000000</v>
      </c>
      <c r="BV112" s="172">
        <f ca="1">IF(OR($D112&lt;&gt;"Serviço",AND(AUTOEVENTO="Manual",$M112=$A$15),$M112&gt;(ROW(PLE.lastrow)-ROW(PLE.firstrow))),0,
           IF(OFFSET(PLE!$G$15,$M112-$A$15,BV$13)="",10^12,OFFSET(PLE!$G$15,$M112-$A$15,BV$13)))</f>
        <v>1000000000000</v>
      </c>
      <c r="BW112" s="172">
        <f ca="1">IF(OR($D112&lt;&gt;"Serviço",AND(AUTOEVENTO="Manual",$M112=$A$15),$M112&gt;(ROW(PLE.lastrow)-ROW(PLE.firstrow))),0,
           IF(OFFSET(PLE!$G$15,$M112-$A$15,BW$13)="",10^12,OFFSET(PLE!$G$15,$M112-$A$15,BW$13)))</f>
        <v>1000000000000</v>
      </c>
      <c r="BX112" s="172">
        <f ca="1">IF(OR($D112&lt;&gt;"Serviço",AND(AUTOEVENTO="Manual",$M112=$A$15),$M112&gt;(ROW(PLE.lastrow)-ROW(PLE.firstrow))),0,
           IF(OFFSET(PLE!$G$15,$M112-$A$15,BX$13)="",10^12,OFFSET(PLE!$G$15,$M112-$A$15,BX$13)))</f>
        <v>1000000000000</v>
      </c>
      <c r="BY112" s="172">
        <f ca="1">IF(OR($D112&lt;&gt;"Serviço",AND(AUTOEVENTO="Manual",$M112=$A$15),$M112&gt;(ROW(PLE.lastrow)-ROW(PLE.firstrow))),0,
           IF(OFFSET(PLE!$G$15,$M112-$A$15,BY$13)="",10^12,OFFSET(PLE!$G$15,$M112-$A$15,BY$13)))</f>
        <v>1000000000000</v>
      </c>
      <c r="BZ112" s="172">
        <f ca="1">IF(OR($D112&lt;&gt;"Serviço",AND(AUTOEVENTO="Manual",$M112=$A$15),$M112&gt;(ROW(PLE.lastrow)-ROW(PLE.firstrow))),0,
           IF(OFFSET(PLE!$G$15,$M112-$A$15,BZ$13)="",10^12,OFFSET(PLE!$G$15,$M112-$A$15,BZ$13)))</f>
        <v>1000000000000</v>
      </c>
      <c r="CA112" s="172">
        <f ca="1">IF(OR($D112&lt;&gt;"Serviço",AND(AUTOEVENTO="Manual",$M112=$A$15),$M112&gt;(ROW(PLE.lastrow)-ROW(PLE.firstrow))),0,
           IF(OFFSET(PLE!$G$15,$M112-$A$15,CA$13)="",10^12,OFFSET(PLE!$G$15,$M112-$A$15,CA$13)))</f>
        <v>1000000000000</v>
      </c>
      <c r="CB112" s="172">
        <f ca="1">IF(OR($D112&lt;&gt;"Serviço",AND(AUTOEVENTO="Manual",$M112=$A$15),$M112&gt;(ROW(PLE.lastrow)-ROW(PLE.firstrow))),0,
           IF(OFFSET(PLE!$G$15,$M112-$A$15,CB$13)="",10^12,OFFSET(PLE!$G$15,$M112-$A$15,CB$13)))</f>
        <v>1000000000000</v>
      </c>
      <c r="CC112" s="172">
        <f ca="1">IF(OR($D112&lt;&gt;"Serviço",AND(AUTOEVENTO="Manual",$M112=$A$15),$M112&gt;(ROW(PLE.lastrow)-ROW(PLE.firstrow))),0,
           IF(OFFSET(PLE!$G$15,$M112-$A$15,CC$13)="",10^12,OFFSET(PLE!$G$15,$M112-$A$15,CC$13)))</f>
        <v>1000000000000</v>
      </c>
      <c r="CD112" s="172">
        <f ca="1">IF(OR($D112&lt;&gt;"Serviço",AND(AUTOEVENTO="Manual",$M112=$A$15),$M112&gt;(ROW(PLE.lastrow)-ROW(PLE.firstrow))),0,
           IF(OFFSET(PLE!$G$15,$M112-$A$15,CD$13)="",10^12,OFFSET(PLE!$G$15,$M112-$A$15,CD$13)))</f>
        <v>1000000000000</v>
      </c>
      <c r="CE112" s="172">
        <f ca="1">IF(OR($D112&lt;&gt;"Serviço",AND(AUTOEVENTO="Manual",$M112=$A$15),$M112&gt;(ROW(PLE.lastrow)-ROW(PLE.firstrow))),0,
           IF(OFFSET(PLE!$G$15,$M112-$A$15,CE$13)="",10^12,OFFSET(PLE!$G$15,$M112-$A$15,CE$13)))</f>
        <v>1000000000000</v>
      </c>
      <c r="CF112" s="172">
        <f ca="1">IF(OR($D112&lt;&gt;"Serviço",AND(AUTOEVENTO="Manual",$M112=$A$15),$M112&gt;(ROW(PLE.lastrow)-ROW(PLE.firstrow))),0,
           IF(OFFSET(PLE!$G$15,$M112-$A$15,CF$13)="",10^12,OFFSET(PLE!$G$15,$M112-$A$15,CF$13)))</f>
        <v>1000000000000</v>
      </c>
      <c r="CG112" s="172">
        <f ca="1">IF(OR($D112&lt;&gt;"Serviço",AND(AUTOEVENTO="Manual",$M112=$A$15),$M112&gt;(ROW(PLE.lastrow)-ROW(PLE.firstrow))),0,
           IF(OFFSET(PLE!$G$15,$M112-$A$15,CG$13)="",10^12,OFFSET(PLE!$G$15,$M112-$A$15,CG$13)))</f>
        <v>1000000000000</v>
      </c>
      <c r="CH112" s="172">
        <f ca="1">IF(OR($D112&lt;&gt;"Serviço",AND(AUTOEVENTO="Manual",$M112=$A$15),$M112&gt;(ROW(PLE.lastrow)-ROW(PLE.firstrow))),0,
           IF(OFFSET(PLE!$G$15,$M112-$A$15,CH$13)="",10^12,OFFSET(PLE!$G$15,$M112-$A$15,CH$13)))</f>
        <v>1000000000000</v>
      </c>
      <c r="CI112" s="172">
        <f ca="1">IF(OR($D112&lt;&gt;"Serviço",AND(AUTOEVENTO="Manual",$M112=$A$15),$M112&gt;(ROW(PLE.lastrow)-ROW(PLE.firstrow))),0,
           IF(OFFSET(PLE!$G$15,$M112-$A$15,CI$13)="",10^12,OFFSET(PLE!$G$15,$M112-$A$15,CI$13)))</f>
        <v>1000000000000</v>
      </c>
      <c r="CJ112" s="172">
        <f ca="1">IF(OR($D112&lt;&gt;"Serviço",AND(AUTOEVENTO="Manual",$M112=$A$15),$M112&gt;(ROW(PLE.lastrow)-ROW(PLE.firstrow))),0,
           IF(OFFSET(PLE!$G$15,$M112-$A$15,CJ$13)="",10^12,OFFSET(PLE!$G$15,$M112-$A$15,CJ$13)))</f>
        <v>1000000000000</v>
      </c>
      <c r="CK112" s="172">
        <f ca="1">IF(OR($D112&lt;&gt;"Serviço",AND(AUTOEVENTO="Manual",$M112=$A$15),$M112&gt;(ROW(PLE.lastrow)-ROW(PLE.firstrow))),0,
           IF(OFFSET(PLE!$G$15,$M112-$A$15,CK$13)="",10^12,OFFSET(PLE!$G$15,$M112-$A$15,CK$13)))</f>
        <v>1000000000000</v>
      </c>
      <c r="CL112" s="172">
        <f ca="1">IF(OR($D112&lt;&gt;"Serviço",AND(AUTOEVENTO="Manual",$M112=$A$15),$M112&gt;(ROW(PLE.lastrow)-ROW(PLE.firstrow))),0,
           IF(OFFSET(PLE!$G$15,$M112-$A$15,CL$13)="",10^12,OFFSET(PLE!$G$15,$M112-$A$15,CL$13)))</f>
        <v>1000000000000</v>
      </c>
      <c r="CM112" s="172">
        <f ca="1">IF(OR($D112&lt;&gt;"Serviço",AND(AUTOEVENTO="Manual",$M112=$A$15),$M112&gt;(ROW(PLE.lastrow)-ROW(PLE.firstrow))),0,
           IF(OFFSET(PLE!$G$15,$M112-$A$15,CM$13)="",10^12,OFFSET(PLE!$G$15,$M112-$A$15,CM$13)))</f>
        <v>1000000000000</v>
      </c>
    </row>
    <row r="113" spans="1:91" ht="13.2" x14ac:dyDescent="0.25">
      <c r="A113" s="7" t="str">
        <f t="shared" ca="1" si="11"/>
        <v>86</v>
      </c>
      <c r="B113" s="7" t="str">
        <f ca="1">OFFSET(ORÇAMENTO!C$15,ROW(B113)-ROW(B$15),0)</f>
        <v>S</v>
      </c>
      <c r="C113" s="7" t="str">
        <f ca="1">OFFSET(ORÇAMENTO!L$15,ROW(C113)-ROW(C$15),0)</f>
        <v>F</v>
      </c>
      <c r="D113" s="116" t="str">
        <f ca="1">OFFSET(ORÇAMENTO!N$15,ROW(D113)-ROW(D$15),0)</f>
        <v>Serviço</v>
      </c>
      <c r="E113" s="117" t="str">
        <f ca="1">OFFSET(ORÇAMENTO!O$15,ROW(E113)-ROW(E$15),0)</f>
        <v>3.2.12.</v>
      </c>
      <c r="F113" s="163" t="str">
        <f ca="1">OFFSET(ORÇAMENTO!R$15,ROW(F113)-ROW(F$15),0)</f>
        <v>Transporte com caminhão basculante de 10 m³ - rodovia pavimentada</v>
      </c>
      <c r="G113" s="164" t="str">
        <f ca="1">IF($D113&lt;&gt;"Serviço","",OFFSET(ORÇAMENTO!S$15,ROW(G113)-ROW(G$15),0))</f>
        <v>tkm</v>
      </c>
      <c r="H113" s="122" cm="1">
        <f t="array" aca="1" ref="H113" ca="1">IF($D113&lt;&gt;"Serviço",0,IF(ACOMPANHAMENTO="BM",ROUND(OFFSET(ORÇAMENTO!AJ$15,ROW(H113)-ROW(H$15),0),15-13*ORÇAMENTO!$AF$7),SUMPRODUCT(($Q$1:$AI$1=1)*ROUND($Q113:$AI113,15-13*ORÇAMENTO!$AF$7))))</f>
        <v>3457.65</v>
      </c>
      <c r="I113" s="468"/>
      <c r="J113" s="651" t="e" cm="1">
        <f t="array" aca="1" ref="J113" ca="1">IF(OR(B113&lt;&gt;"S",CÁLCULO.FrentesPreenchidas=0),"",IF(AND(ACOMPANHAMENTO="PLE",AUTOEVENTO="Manual",OR(H113&gt;0,ORÇAMENTO!AC113="QUANT."),OR(K113="",M113=0,N113="")),"►E",IF(AND(ACOMPANHAMENTO="PLE",ORÇAMENTO!AC113="QUANT."),"►Q",IF(AND(ACOMPANHAMENTO="PLE",H113&lt;&gt;SUMPRODUCT(($Q$1:$AI$1=1)*ROUND(Q113:AI113,15))),"►S",IF(AND(COUNTIF($P$11:$AI$11,"▼")=0,H113&gt;0,I113=""),"◄M","")))))</f>
        <v>#NAME?</v>
      </c>
      <c r="K113" s="652"/>
      <c r="L113" s="165" t="s">
        <v>764</v>
      </c>
      <c r="M113" s="166">
        <f ca="1">IF($D113&lt;&gt;"Serviço","",
          IF(AUTOEVENTO="manual",$A113,
                IF(ISERROR(MATCH($A113,$A$15:OFFSET($A113,-1,0),0)),MAX($M$15:OFFSET(M113,-1,0))+1,
                      INDEX($M$15:OFFSET(M113,-1,0),MATCH($A113,$A$15:OFFSET($A113,-1,0),0)))))</f>
        <v>15</v>
      </c>
      <c r="N113" s="167" t="str">
        <f ca="1">IF($D113&lt;&gt;"Serviço","",
         IF(AUTOEVENTO="Manual",
                IF($A113=0,"&lt;-- defina o número do agrupador",
                       OFFSET(EVENTOS!$D$15,$A113-$A$15,0)),
                OFFSET($F$15,$A113,0)))</f>
        <v>PAVIMENTAÇÃO</v>
      </c>
      <c r="O113" s="168"/>
      <c r="Q113" s="168"/>
      <c r="R113" s="169"/>
      <c r="S113" s="169"/>
      <c r="T113" s="169"/>
      <c r="U113" s="169">
        <f>U112*21</f>
        <v>3457.65</v>
      </c>
      <c r="V113" s="169"/>
      <c r="W113" s="169"/>
      <c r="X113" s="169"/>
      <c r="Y113" s="169"/>
      <c r="Z113" s="170"/>
      <c r="AA113" s="169"/>
      <c r="AB113" s="169"/>
      <c r="AC113" s="169"/>
      <c r="AD113" s="169"/>
      <c r="AE113" s="169"/>
      <c r="AF113" s="169"/>
      <c r="AG113" s="169"/>
      <c r="AH113" s="170"/>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L113" s="453">
        <f ca="1">IF(AND($D113="Serviço",AL$12&lt;&gt;0,$H113&gt;0,OR(AUTOEVENTO&lt;&gt;"manual",$M113&lt;&gt;$A$15)),
        IF(Import.TipoArredondamento&lt;&gt;"TransfereGOV",
              ROUND(OFFSET($P113,0,AL$13),15-13*ORÇAMENTO!$AF$7)/$H113*OFFSET(ORÇAMENTO!$X$15,ROW(AL113)-ROW(AL$15),0),
              ROUND(ROUND(OFFSET($P113,0,AL$13),15-13*ORÇAMENTO!$AF$7)*OFFSET(ORÇAMENTO!$W$15,ROW(AL113)-ROW(AL$15),0),15-13*ORÇAMENTO!$AF$11)),
         0)</f>
        <v>0</v>
      </c>
      <c r="AM113" s="453">
        <f ca="1">IF(AND($D113="Serviço",AM$12&lt;&gt;0,$H113&gt;0,OR(AUTOEVENTO&lt;&gt;"manual",$M113&lt;&gt;$A$15)),
        IF(Import.TipoArredondamento&lt;&gt;"TransfereGOV",
              ROUND(OFFSET($P113,0,AM$13),15-13*ORÇAMENTO!$AF$7)/$H113*OFFSET(ORÇAMENTO!$X$15,ROW(AM113)-ROW(AM$15),0),
              ROUND(ROUND(OFFSET($P113,0,AM$13),15-13*ORÇAMENTO!$AF$7)*OFFSET(ORÇAMENTO!$W$15,ROW(AM113)-ROW(AM$15),0),15-13*ORÇAMENTO!$AF$11)),
         0)</f>
        <v>0</v>
      </c>
      <c r="AN113" s="453">
        <f ca="1">IF(AND($D113="Serviço",AN$12&lt;&gt;0,$H113&gt;0,OR(AUTOEVENTO&lt;&gt;"manual",$M113&lt;&gt;$A$15)),
        IF(Import.TipoArredondamento&lt;&gt;"TransfereGOV",
              ROUND(OFFSET($P113,0,AN$13),15-13*ORÇAMENTO!$AF$7)/$H113*OFFSET(ORÇAMENTO!$X$15,ROW(AN113)-ROW(AN$15),0),
              ROUND(ROUND(OFFSET($P113,0,AN$13),15-13*ORÇAMENTO!$AF$7)*OFFSET(ORÇAMENTO!$W$15,ROW(AN113)-ROW(AN$15),0),15-13*ORÇAMENTO!$AF$11)),
         0)</f>
        <v>3492.23</v>
      </c>
      <c r="AO113" s="453">
        <f ca="1">IF(AND($D113="Serviço",AO$12&lt;&gt;0,$H113&gt;0,OR(AUTOEVENTO&lt;&gt;"manual",$M113&lt;&gt;$A$15)),
        IF(Import.TipoArredondamento&lt;&gt;"TransfereGOV",
              ROUND(OFFSET($P113,0,AO$13),15-13*ORÇAMENTO!$AF$7)/$H113*OFFSET(ORÇAMENTO!$X$15,ROW(AO113)-ROW(AO$15),0),
              ROUND(ROUND(OFFSET($P113,0,AO$13),15-13*ORÇAMENTO!$AF$7)*OFFSET(ORÇAMENTO!$W$15,ROW(AO113)-ROW(AO$15),0),15-13*ORÇAMENTO!$AF$11)),
         0)</f>
        <v>0</v>
      </c>
      <c r="AP113" s="453">
        <f ca="1">IF(AND($D113="Serviço",AP$12&lt;&gt;0,$H113&gt;0,OR(AUTOEVENTO&lt;&gt;"manual",$M113&lt;&gt;$A$15)),
        IF(Import.TipoArredondamento&lt;&gt;"TransfereGOV",
              ROUND(OFFSET($P113,0,AP$13),15-13*ORÇAMENTO!$AF$7)/$H113*OFFSET(ORÇAMENTO!$X$15,ROW(AP113)-ROW(AP$15),0),
              ROUND(ROUND(OFFSET($P113,0,AP$13),15-13*ORÇAMENTO!$AF$7)*OFFSET(ORÇAMENTO!$W$15,ROW(AP113)-ROW(AP$15),0),15-13*ORÇAMENTO!$AF$11)),
         0)</f>
        <v>0</v>
      </c>
      <c r="AQ113" s="453">
        <f ca="1">IF(AND($D113="Serviço",AQ$12&lt;&gt;0,$H113&gt;0,OR(AUTOEVENTO&lt;&gt;"manual",$M113&lt;&gt;$A$15)),
        IF(Import.TipoArredondamento&lt;&gt;"TransfereGOV",
              ROUND(OFFSET($P113,0,AQ$13),15-13*ORÇAMENTO!$AF$7)/$H113*OFFSET(ORÇAMENTO!$X$15,ROW(AQ113)-ROW(AQ$15),0),
              ROUND(ROUND(OFFSET($P113,0,AQ$13),15-13*ORÇAMENTO!$AF$7)*OFFSET(ORÇAMENTO!$W$15,ROW(AQ113)-ROW(AQ$15),0),15-13*ORÇAMENTO!$AF$11)),
         0)</f>
        <v>0</v>
      </c>
      <c r="AR113" s="453">
        <f ca="1">IF(AND($D113="Serviço",AR$12&lt;&gt;0,$H113&gt;0,OR(AUTOEVENTO&lt;&gt;"manual",$M113&lt;&gt;$A$15)),
        IF(Import.TipoArredondamento&lt;&gt;"TransfereGOV",
              ROUND(OFFSET($P113,0,AR$13),15-13*ORÇAMENTO!$AF$7)/$H113*OFFSET(ORÇAMENTO!$X$15,ROW(AR113)-ROW(AR$15),0),
              ROUND(ROUND(OFFSET($P113,0,AR$13),15-13*ORÇAMENTO!$AF$7)*OFFSET(ORÇAMENTO!$W$15,ROW(AR113)-ROW(AR$15),0),15-13*ORÇAMENTO!$AF$11)),
         0)</f>
        <v>0</v>
      </c>
      <c r="AS113" s="453">
        <f ca="1">IF(AND($D113="Serviço",AS$12&lt;&gt;0,$H113&gt;0,OR(AUTOEVENTO&lt;&gt;"manual",$M113&lt;&gt;$A$15)),
        IF(Import.TipoArredondamento&lt;&gt;"TransfereGOV",
              ROUND(OFFSET($P113,0,AS$13),15-13*ORÇAMENTO!$AF$7)/$H113*OFFSET(ORÇAMENTO!$X$15,ROW(AS113)-ROW(AS$15),0),
              ROUND(ROUND(OFFSET($P113,0,AS$13),15-13*ORÇAMENTO!$AF$7)*OFFSET(ORÇAMENTO!$W$15,ROW(AS113)-ROW(AS$15),0),15-13*ORÇAMENTO!$AF$11)),
         0)</f>
        <v>0</v>
      </c>
      <c r="AT113" s="453">
        <f ca="1">IF(AND($D113="Serviço",AT$12&lt;&gt;0,$H113&gt;0,OR(AUTOEVENTO&lt;&gt;"manual",$M113&lt;&gt;$A$15)),
        IF(Import.TipoArredondamento&lt;&gt;"TransfereGOV",
              ROUND(OFFSET($P113,0,AT$13),15-13*ORÇAMENTO!$AF$7)/$H113*OFFSET(ORÇAMENTO!$X$15,ROW(AT113)-ROW(AT$15),0),
              ROUND(ROUND(OFFSET($P113,0,AT$13),15-13*ORÇAMENTO!$AF$7)*OFFSET(ORÇAMENTO!$W$15,ROW(AT113)-ROW(AT$15),0),15-13*ORÇAMENTO!$AF$11)),
         0)</f>
        <v>0</v>
      </c>
      <c r="AU113" s="453">
        <f ca="1">IF(AND($D113="Serviço",AU$12&lt;&gt;0,$H113&gt;0,OR(AUTOEVENTO&lt;&gt;"manual",$M113&lt;&gt;$A$15)),
        IF(Import.TipoArredondamento&lt;&gt;"TransfereGOV",
              ROUND(OFFSET($P113,0,AU$13),15-13*ORÇAMENTO!$AF$7)/$H113*OFFSET(ORÇAMENTO!$X$15,ROW(AU113)-ROW(AU$15),0),
              ROUND(ROUND(OFFSET($P113,0,AU$13),15-13*ORÇAMENTO!$AF$7)*OFFSET(ORÇAMENTO!$W$15,ROW(AU113)-ROW(AU$15),0),15-13*ORÇAMENTO!$AF$11)),
         0)</f>
        <v>0</v>
      </c>
      <c r="AV113" s="453">
        <f ca="1">IF(AND($D113="Serviço",AV$12&lt;&gt;0,$H113&gt;0,OR(AUTOEVENTO&lt;&gt;"manual",$M113&lt;&gt;$A$15)),
        IF(Import.TipoArredondamento&lt;&gt;"TransfereGOV",
              ROUND(OFFSET($P113,0,AV$13),15-13*ORÇAMENTO!$AF$7)/$H113*OFFSET(ORÇAMENTO!$X$15,ROW(AV113)-ROW(AV$15),0),
              ROUND(ROUND(OFFSET($P113,0,AV$13),15-13*ORÇAMENTO!$AF$7)*OFFSET(ORÇAMENTO!$W$15,ROW(AV113)-ROW(AV$15),0),15-13*ORÇAMENTO!$AF$11)),
         0)</f>
        <v>0</v>
      </c>
      <c r="AW113" s="453">
        <f ca="1">IF(AND($D113="Serviço",AW$12&lt;&gt;0,$H113&gt;0,OR(AUTOEVENTO&lt;&gt;"manual",$M113&lt;&gt;$A$15)),
        IF(Import.TipoArredondamento&lt;&gt;"TransfereGOV",
              ROUND(OFFSET($P113,0,AW$13),15-13*ORÇAMENTO!$AF$7)/$H113*OFFSET(ORÇAMENTO!$X$15,ROW(AW113)-ROW(AW$15),0),
              ROUND(ROUND(OFFSET($P113,0,AW$13),15-13*ORÇAMENTO!$AF$7)*OFFSET(ORÇAMENTO!$W$15,ROW(AW113)-ROW(AW$15),0),15-13*ORÇAMENTO!$AF$11)),
         0)</f>
        <v>0</v>
      </c>
      <c r="AX113" s="453">
        <f ca="1">IF(AND($D113="Serviço",AX$12&lt;&gt;0,$H113&gt;0,OR(AUTOEVENTO&lt;&gt;"manual",$M113&lt;&gt;$A$15)),
        IF(Import.TipoArredondamento&lt;&gt;"TransfereGOV",
              ROUND(OFFSET($P113,0,AX$13),15-13*ORÇAMENTO!$AF$7)/$H113*OFFSET(ORÇAMENTO!$X$15,ROW(AX113)-ROW(AX$15),0),
              ROUND(ROUND(OFFSET($P113,0,AX$13),15-13*ORÇAMENTO!$AF$7)*OFFSET(ORÇAMENTO!$W$15,ROW(AX113)-ROW(AX$15),0),15-13*ORÇAMENTO!$AF$11)),
         0)</f>
        <v>0</v>
      </c>
      <c r="AY113" s="453">
        <f ca="1">IF(AND($D113="Serviço",AY$12&lt;&gt;0,$H113&gt;0,OR(AUTOEVENTO&lt;&gt;"manual",$M113&lt;&gt;$A$15)),
        IF(Import.TipoArredondamento&lt;&gt;"TransfereGOV",
              ROUND(OFFSET($P113,0,AY$13),15-13*ORÇAMENTO!$AF$7)/$H113*OFFSET(ORÇAMENTO!$X$15,ROW(AY113)-ROW(AY$15),0),
              ROUND(ROUND(OFFSET($P113,0,AY$13),15-13*ORÇAMENTO!$AF$7)*OFFSET(ORÇAMENTO!$W$15,ROW(AY113)-ROW(AY$15),0),15-13*ORÇAMENTO!$AF$11)),
         0)</f>
        <v>0</v>
      </c>
      <c r="AZ113" s="453">
        <f ca="1">IF(AND($D113="Serviço",AZ$12&lt;&gt;0,$H113&gt;0,OR(AUTOEVENTO&lt;&gt;"manual",$M113&lt;&gt;$A$15)),
        IF(Import.TipoArredondamento&lt;&gt;"TransfereGOV",
              ROUND(OFFSET($P113,0,AZ$13),15-13*ORÇAMENTO!$AF$7)/$H113*OFFSET(ORÇAMENTO!$X$15,ROW(AZ113)-ROW(AZ$15),0),
              ROUND(ROUND(OFFSET($P113,0,AZ$13),15-13*ORÇAMENTO!$AF$7)*OFFSET(ORÇAMENTO!$W$15,ROW(AZ113)-ROW(AZ$15),0),15-13*ORÇAMENTO!$AF$11)),
         0)</f>
        <v>0</v>
      </c>
      <c r="BA113" s="453">
        <f ca="1">IF(AND($D113="Serviço",BA$12&lt;&gt;0,$H113&gt;0,OR(AUTOEVENTO&lt;&gt;"manual",$M113&lt;&gt;$A$15)),
        IF(Import.TipoArredondamento&lt;&gt;"TransfereGOV",
              ROUND(OFFSET($P113,0,BA$13),15-13*ORÇAMENTO!$AF$7)/$H113*OFFSET(ORÇAMENTO!$X$15,ROW(BA113)-ROW(BA$15),0),
              ROUND(ROUND(OFFSET($P113,0,BA$13),15-13*ORÇAMENTO!$AF$7)*OFFSET(ORÇAMENTO!$W$15,ROW(BA113)-ROW(BA$15),0),15-13*ORÇAMENTO!$AF$11)),
         0)</f>
        <v>0</v>
      </c>
      <c r="BC113" s="171">
        <f ca="1">IF(OR($D113&lt;&gt;"Serviço",AND(AUTOEVENTO="Manual",$M113=$A$15)),0,
         IF(OFFSET(CRONOPLE!$F$15,$M113-$A$15,BC$13)=0,10^12,OFFSET(CRONOPLE!$F$15,$M113-$A$15,BC$13)))</f>
        <v>1000000000000</v>
      </c>
      <c r="BD113" s="171">
        <f ca="1">IF(OR($D113&lt;&gt;"Serviço",AND(AUTOEVENTO="Manual",$M113=$A$15)),0,
         IF(OFFSET(CRONOPLE!$F$15,$M113-$A$15,BD$13)=0,10^12,OFFSET(CRONOPLE!$F$15,$M113-$A$15,BD$13)))</f>
        <v>1000000000000</v>
      </c>
      <c r="BE113" s="171">
        <f ca="1">IF(OR($D113&lt;&gt;"Serviço",AND(AUTOEVENTO="Manual",$M113=$A$15)),0,
         IF(OFFSET(CRONOPLE!$F$15,$M113-$A$15,BE$13)=0,10^12,OFFSET(CRONOPLE!$F$15,$M113-$A$15,BE$13)))</f>
        <v>1000000000000</v>
      </c>
      <c r="BF113" s="171">
        <f ca="1">IF(OR($D113&lt;&gt;"Serviço",AND(AUTOEVENTO="Manual",$M113=$A$15)),0,
         IF(OFFSET(CRONOPLE!$F$15,$M113-$A$15,BF$13)=0,10^12,OFFSET(CRONOPLE!$F$15,$M113-$A$15,BF$13)))</f>
        <v>1000000000000</v>
      </c>
      <c r="BG113" s="171">
        <f ca="1">IF(OR($D113&lt;&gt;"Serviço",AND(AUTOEVENTO="Manual",$M113=$A$15)),0,
         IF(OFFSET(CRONOPLE!$F$15,$M113-$A$15,BG$13)=0,10^12,OFFSET(CRONOPLE!$F$15,$M113-$A$15,BG$13)))</f>
        <v>4</v>
      </c>
      <c r="BH113" s="171">
        <f ca="1">IF(OR($D113&lt;&gt;"Serviço",AND(AUTOEVENTO="Manual",$M113=$A$15)),0,
         IF(OFFSET(CRONOPLE!$F$15,$M113-$A$15,BH$13)=0,10^12,OFFSET(CRONOPLE!$F$15,$M113-$A$15,BH$13)))</f>
        <v>1000000000000</v>
      </c>
      <c r="BI113" s="171">
        <f ca="1">IF(OR($D113&lt;&gt;"Serviço",AND(AUTOEVENTO="Manual",$M113=$A$15)),0,
         IF(OFFSET(CRONOPLE!$F$15,$M113-$A$15,BI$13)=0,10^12,OFFSET(CRONOPLE!$F$15,$M113-$A$15,BI$13)))</f>
        <v>1000000000000</v>
      </c>
      <c r="BJ113" s="171">
        <f ca="1">IF(OR($D113&lt;&gt;"Serviço",AND(AUTOEVENTO="Manual",$M113=$A$15)),0,
         IF(OFFSET(CRONOPLE!$F$15,$M113-$A$15,BJ$13)=0,10^12,OFFSET(CRONOPLE!$F$15,$M113-$A$15,BJ$13)))</f>
        <v>1000000000000</v>
      </c>
      <c r="BK113" s="171">
        <f ca="1">IF(OR($D113&lt;&gt;"Serviço",AND(AUTOEVENTO="Manual",$M113=$A$15)),0,
         IF(OFFSET(CRONOPLE!$F$15,$M113-$A$15,BK$13)=0,10^12,OFFSET(CRONOPLE!$F$15,$M113-$A$15,BK$13)))</f>
        <v>1000000000000</v>
      </c>
      <c r="BL113" s="171">
        <f ca="1">IF(OR($D113&lt;&gt;"Serviço",AND(AUTOEVENTO="Manual",$M113=$A$15)),0,
         IF(OFFSET(CRONOPLE!$F$15,$M113-$A$15,BL$13)=0,10^12,OFFSET(CRONOPLE!$F$15,$M113-$A$15,BL$13)))</f>
        <v>1000000000000</v>
      </c>
      <c r="BM113" s="171">
        <f ca="1">IF(OR($D113&lt;&gt;"Serviço",AND(AUTOEVENTO="Manual",$M113=$A$15)),0,
         IF(OFFSET(CRONOPLE!$F$15,$M113-$A$15,BM$13)=0,10^12,OFFSET(CRONOPLE!$F$15,$M113-$A$15,BM$13)))</f>
        <v>1000000000000</v>
      </c>
      <c r="BN113" s="171">
        <f ca="1">IF(OR($D113&lt;&gt;"Serviço",AND(AUTOEVENTO="Manual",$M113=$A$15)),0,
         IF(OFFSET(CRONOPLE!$F$15,$M113-$A$15,BN$13)=0,10^12,OFFSET(CRONOPLE!$F$15,$M113-$A$15,BN$13)))</f>
        <v>1000000000000</v>
      </c>
      <c r="BO113" s="171">
        <f ca="1">IF(OR($D113&lt;&gt;"Serviço",AND(AUTOEVENTO="Manual",$M113=$A$15)),0,
         IF(OFFSET(CRONOPLE!$F$15,$M113-$A$15,BO$13)=0,10^12,OFFSET(CRONOPLE!$F$15,$M113-$A$15,BO$13)))</f>
        <v>1000000000000</v>
      </c>
      <c r="BP113" s="171">
        <f ca="1">IF(OR($D113&lt;&gt;"Serviço",AND(AUTOEVENTO="Manual",$M113=$A$15)),0,
         IF(OFFSET(CRONOPLE!$F$15,$M113-$A$15,BP$13)=0,10^12,OFFSET(CRONOPLE!$F$15,$M113-$A$15,BP$13)))</f>
        <v>1000000000000</v>
      </c>
      <c r="BQ113" s="171">
        <f ca="1">IF(OR($D113&lt;&gt;"Serviço",AND(AUTOEVENTO="Manual",$M113=$A$15)),0,
         IF(OFFSET(CRONOPLE!$F$15,$M113-$A$15,BQ$13)=0,10^12,OFFSET(CRONOPLE!$F$15,$M113-$A$15,BQ$13)))</f>
        <v>1000000000000</v>
      </c>
      <c r="BR113" s="171">
        <f ca="1">IF(OR($D113&lt;&gt;"Serviço",AND(AUTOEVENTO="Manual",$M113=$A$15)),0,
         IF(OFFSET(CRONOPLE!$F$15,$M113-$A$15,BR$13)=0,10^12,OFFSET(CRONOPLE!$F$15,$M113-$A$15,BR$13)))</f>
        <v>1000000000000</v>
      </c>
      <c r="BS113" s="171">
        <f ca="1">IF(OR($D113&lt;&gt;"Serviço",AND(AUTOEVENTO="Manual",$M113=$A$15)),0,
         IF(OFFSET(CRONOPLE!$F$15,$M113-$A$15,BS$13)=0,10^12,OFFSET(CRONOPLE!$F$15,$M113-$A$15,BS$13)))</f>
        <v>1000000000000</v>
      </c>
      <c r="BT113" s="171">
        <f ca="1">IF(OR($D113&lt;&gt;"Serviço",AND(AUTOEVENTO="Manual",$M113=$A$15)),0,
         IF(OFFSET(CRONOPLE!$F$15,$M113-$A$15,BT$13)=0,10^12,OFFSET(CRONOPLE!$F$15,$M113-$A$15,BT$13)))</f>
        <v>1000000000000</v>
      </c>
      <c r="BV113" s="172">
        <f ca="1">IF(OR($D113&lt;&gt;"Serviço",AND(AUTOEVENTO="Manual",$M113=$A$15),$M113&gt;(ROW(PLE.lastrow)-ROW(PLE.firstrow))),0,
           IF(OFFSET(PLE!$G$15,$M113-$A$15,BV$13)="",10^12,OFFSET(PLE!$G$15,$M113-$A$15,BV$13)))</f>
        <v>1000000000000</v>
      </c>
      <c r="BW113" s="172">
        <f ca="1">IF(OR($D113&lt;&gt;"Serviço",AND(AUTOEVENTO="Manual",$M113=$A$15),$M113&gt;(ROW(PLE.lastrow)-ROW(PLE.firstrow))),0,
           IF(OFFSET(PLE!$G$15,$M113-$A$15,BW$13)="",10^12,OFFSET(PLE!$G$15,$M113-$A$15,BW$13)))</f>
        <v>1000000000000</v>
      </c>
      <c r="BX113" s="172">
        <f ca="1">IF(OR($D113&lt;&gt;"Serviço",AND(AUTOEVENTO="Manual",$M113=$A$15),$M113&gt;(ROW(PLE.lastrow)-ROW(PLE.firstrow))),0,
           IF(OFFSET(PLE!$G$15,$M113-$A$15,BX$13)="",10^12,OFFSET(PLE!$G$15,$M113-$A$15,BX$13)))</f>
        <v>1000000000000</v>
      </c>
      <c r="BY113" s="172">
        <f ca="1">IF(OR($D113&lt;&gt;"Serviço",AND(AUTOEVENTO="Manual",$M113=$A$15),$M113&gt;(ROW(PLE.lastrow)-ROW(PLE.firstrow))),0,
           IF(OFFSET(PLE!$G$15,$M113-$A$15,BY$13)="",10^12,OFFSET(PLE!$G$15,$M113-$A$15,BY$13)))</f>
        <v>1000000000000</v>
      </c>
      <c r="BZ113" s="172">
        <f ca="1">IF(OR($D113&lt;&gt;"Serviço",AND(AUTOEVENTO="Manual",$M113=$A$15),$M113&gt;(ROW(PLE.lastrow)-ROW(PLE.firstrow))),0,
           IF(OFFSET(PLE!$G$15,$M113-$A$15,BZ$13)="",10^12,OFFSET(PLE!$G$15,$M113-$A$15,BZ$13)))</f>
        <v>1000000000000</v>
      </c>
      <c r="CA113" s="172">
        <f ca="1">IF(OR($D113&lt;&gt;"Serviço",AND(AUTOEVENTO="Manual",$M113=$A$15),$M113&gt;(ROW(PLE.lastrow)-ROW(PLE.firstrow))),0,
           IF(OFFSET(PLE!$G$15,$M113-$A$15,CA$13)="",10^12,OFFSET(PLE!$G$15,$M113-$A$15,CA$13)))</f>
        <v>1000000000000</v>
      </c>
      <c r="CB113" s="172">
        <f ca="1">IF(OR($D113&lt;&gt;"Serviço",AND(AUTOEVENTO="Manual",$M113=$A$15),$M113&gt;(ROW(PLE.lastrow)-ROW(PLE.firstrow))),0,
           IF(OFFSET(PLE!$G$15,$M113-$A$15,CB$13)="",10^12,OFFSET(PLE!$G$15,$M113-$A$15,CB$13)))</f>
        <v>1000000000000</v>
      </c>
      <c r="CC113" s="172">
        <f ca="1">IF(OR($D113&lt;&gt;"Serviço",AND(AUTOEVENTO="Manual",$M113=$A$15),$M113&gt;(ROW(PLE.lastrow)-ROW(PLE.firstrow))),0,
           IF(OFFSET(PLE!$G$15,$M113-$A$15,CC$13)="",10^12,OFFSET(PLE!$G$15,$M113-$A$15,CC$13)))</f>
        <v>1000000000000</v>
      </c>
      <c r="CD113" s="172">
        <f ca="1">IF(OR($D113&lt;&gt;"Serviço",AND(AUTOEVENTO="Manual",$M113=$A$15),$M113&gt;(ROW(PLE.lastrow)-ROW(PLE.firstrow))),0,
           IF(OFFSET(PLE!$G$15,$M113-$A$15,CD$13)="",10^12,OFFSET(PLE!$G$15,$M113-$A$15,CD$13)))</f>
        <v>1000000000000</v>
      </c>
      <c r="CE113" s="172">
        <f ca="1">IF(OR($D113&lt;&gt;"Serviço",AND(AUTOEVENTO="Manual",$M113=$A$15),$M113&gt;(ROW(PLE.lastrow)-ROW(PLE.firstrow))),0,
           IF(OFFSET(PLE!$G$15,$M113-$A$15,CE$13)="",10^12,OFFSET(PLE!$G$15,$M113-$A$15,CE$13)))</f>
        <v>1000000000000</v>
      </c>
      <c r="CF113" s="172">
        <f ca="1">IF(OR($D113&lt;&gt;"Serviço",AND(AUTOEVENTO="Manual",$M113=$A$15),$M113&gt;(ROW(PLE.lastrow)-ROW(PLE.firstrow))),0,
           IF(OFFSET(PLE!$G$15,$M113-$A$15,CF$13)="",10^12,OFFSET(PLE!$G$15,$M113-$A$15,CF$13)))</f>
        <v>1000000000000</v>
      </c>
      <c r="CG113" s="172">
        <f ca="1">IF(OR($D113&lt;&gt;"Serviço",AND(AUTOEVENTO="Manual",$M113=$A$15),$M113&gt;(ROW(PLE.lastrow)-ROW(PLE.firstrow))),0,
           IF(OFFSET(PLE!$G$15,$M113-$A$15,CG$13)="",10^12,OFFSET(PLE!$G$15,$M113-$A$15,CG$13)))</f>
        <v>1000000000000</v>
      </c>
      <c r="CH113" s="172">
        <f ca="1">IF(OR($D113&lt;&gt;"Serviço",AND(AUTOEVENTO="Manual",$M113=$A$15),$M113&gt;(ROW(PLE.lastrow)-ROW(PLE.firstrow))),0,
           IF(OFFSET(PLE!$G$15,$M113-$A$15,CH$13)="",10^12,OFFSET(PLE!$G$15,$M113-$A$15,CH$13)))</f>
        <v>1000000000000</v>
      </c>
      <c r="CI113" s="172">
        <f ca="1">IF(OR($D113&lt;&gt;"Serviço",AND(AUTOEVENTO="Manual",$M113=$A$15),$M113&gt;(ROW(PLE.lastrow)-ROW(PLE.firstrow))),0,
           IF(OFFSET(PLE!$G$15,$M113-$A$15,CI$13)="",10^12,OFFSET(PLE!$G$15,$M113-$A$15,CI$13)))</f>
        <v>1000000000000</v>
      </c>
      <c r="CJ113" s="172">
        <f ca="1">IF(OR($D113&lt;&gt;"Serviço",AND(AUTOEVENTO="Manual",$M113=$A$15),$M113&gt;(ROW(PLE.lastrow)-ROW(PLE.firstrow))),0,
           IF(OFFSET(PLE!$G$15,$M113-$A$15,CJ$13)="",10^12,OFFSET(PLE!$G$15,$M113-$A$15,CJ$13)))</f>
        <v>1000000000000</v>
      </c>
      <c r="CK113" s="172">
        <f ca="1">IF(OR($D113&lt;&gt;"Serviço",AND(AUTOEVENTO="Manual",$M113=$A$15),$M113&gt;(ROW(PLE.lastrow)-ROW(PLE.firstrow))),0,
           IF(OFFSET(PLE!$G$15,$M113-$A$15,CK$13)="",10^12,OFFSET(PLE!$G$15,$M113-$A$15,CK$13)))</f>
        <v>1000000000000</v>
      </c>
      <c r="CL113" s="172">
        <f ca="1">IF(OR($D113&lt;&gt;"Serviço",AND(AUTOEVENTO="Manual",$M113=$A$15),$M113&gt;(ROW(PLE.lastrow)-ROW(PLE.firstrow))),0,
           IF(OFFSET(PLE!$G$15,$M113-$A$15,CL$13)="",10^12,OFFSET(PLE!$G$15,$M113-$A$15,CL$13)))</f>
        <v>1000000000000</v>
      </c>
      <c r="CM113" s="172">
        <f ca="1">IF(OR($D113&lt;&gt;"Serviço",AND(AUTOEVENTO="Manual",$M113=$A$15),$M113&gt;(ROW(PLE.lastrow)-ROW(PLE.firstrow))),0,
           IF(OFFSET(PLE!$G$15,$M113-$A$15,CM$13)="",10^12,OFFSET(PLE!$G$15,$M113-$A$15,CM$13)))</f>
        <v>1000000000000</v>
      </c>
    </row>
    <row r="114" spans="1:91" ht="26.4" x14ac:dyDescent="0.25">
      <c r="A114" s="7" t="str">
        <f t="shared" ca="1" si="11"/>
        <v>86</v>
      </c>
      <c r="B114" s="7" t="str">
        <f ca="1">OFFSET(ORÇAMENTO!C$15,ROW(B114)-ROW(B$15),0)</f>
        <v>S</v>
      </c>
      <c r="C114" s="7" t="str">
        <f ca="1">OFFSET(ORÇAMENTO!L$15,ROW(C114)-ROW(C$15),0)</f>
        <v>F</v>
      </c>
      <c r="D114" s="116" t="str">
        <f ca="1">OFFSET(ORÇAMENTO!N$15,ROW(D114)-ROW(D$15),0)</f>
        <v>Serviço</v>
      </c>
      <c r="E114" s="117" t="str">
        <f ca="1">OFFSET(ORÇAMENTO!O$15,ROW(E114)-ROW(E$15),0)</f>
        <v>3.2.13.</v>
      </c>
      <c r="F114" s="163" t="str">
        <f ca="1">OFFSET(ORÇAMENTO!R$15,ROW(F114)-ROW(F$15),0)</f>
        <v>CIMENTO ASFÁLTICO CAP 50-70, COLETADO NA ANP, ACRESCIDO DE IMPOSTOS (ICMS, PIS, CONFINS)</v>
      </c>
      <c r="G114" s="164" t="str">
        <f ca="1">IF($D114&lt;&gt;"Serviço","",OFFSET(ORÇAMENTO!S$15,ROW(G114)-ROW(G$15),0))</f>
        <v>KG</v>
      </c>
      <c r="H114" s="122" cm="1">
        <f t="array" aca="1" ref="H114" ca="1">IF($D114&lt;&gt;"Serviço",0,IF(ACOMPANHAMENTO="BM",ROUND(OFFSET(ORÇAMENTO!AJ$15,ROW(H114)-ROW(H$15),0),15-13*ORÇAMENTO!$AF$7),SUMPRODUCT(($Q$1:$AI$1=1)*ROUND($Q114:$AI114,15-13*ORÇAMENTO!$AF$7))))</f>
        <v>9319.5300000000007</v>
      </c>
      <c r="I114" s="468"/>
      <c r="J114" s="651" t="e" cm="1">
        <f t="array" aca="1" ref="J114" ca="1">IF(OR(B114&lt;&gt;"S",CÁLCULO.FrentesPreenchidas=0),"",IF(AND(ACOMPANHAMENTO="PLE",AUTOEVENTO="Manual",OR(H114&gt;0,ORÇAMENTO!AC114="QUANT."),OR(K114="",M114=0,N114="")),"►E",IF(AND(ACOMPANHAMENTO="PLE",ORÇAMENTO!AC114="QUANT."),"►Q",IF(AND(ACOMPANHAMENTO="PLE",H114&lt;&gt;SUMPRODUCT(($Q$1:$AI$1=1)*ROUND(Q114:AI114,15))),"►S",IF(AND(COUNTIF($P$11:$AI$11,"▼")=0,H114&gt;0,I114=""),"◄M","")))))</f>
        <v>#NAME?</v>
      </c>
      <c r="K114" s="652"/>
      <c r="L114" s="165" t="s">
        <v>764</v>
      </c>
      <c r="M114" s="166">
        <f ca="1">IF($D114&lt;&gt;"Serviço","",
          IF(AUTOEVENTO="manual",$A114,
                IF(ISERROR(MATCH($A114,$A$15:OFFSET($A114,-1,0),0)),MAX($M$15:OFFSET(M114,-1,0))+1,
                      INDEX($M$15:OFFSET(M114,-1,0),MATCH($A114,$A$15:OFFSET($A114,-1,0),0)))))</f>
        <v>15</v>
      </c>
      <c r="N114" s="167" t="str">
        <f ca="1">IF($D114&lt;&gt;"Serviço","",
         IF(AUTOEVENTO="Manual",
                IF($A114=0,"&lt;-- defina o número do agrupador",
                       OFFSET(EVENTOS!$D$15,$A114-$A$15,0)),
                OFFSET($F$15,$A114,0)))</f>
        <v>PAVIMENTAÇÃO</v>
      </c>
      <c r="O114" s="168"/>
      <c r="Q114" s="168"/>
      <c r="R114" s="169"/>
      <c r="S114" s="169"/>
      <c r="T114" s="169"/>
      <c r="U114" s="169">
        <v>9319.5300000000007</v>
      </c>
      <c r="V114" s="169"/>
      <c r="W114" s="169"/>
      <c r="X114" s="169"/>
      <c r="Y114" s="169"/>
      <c r="Z114" s="170"/>
      <c r="AA114" s="169"/>
      <c r="AB114" s="169"/>
      <c r="AC114" s="169"/>
      <c r="AD114" s="169"/>
      <c r="AE114" s="169"/>
      <c r="AF114" s="169"/>
      <c r="AG114" s="169"/>
      <c r="AH114" s="170"/>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L114" s="453">
        <f ca="1">IF(AND($D114="Serviço",AL$12&lt;&gt;0,$H114&gt;0,OR(AUTOEVENTO&lt;&gt;"manual",$M114&lt;&gt;$A$15)),
        IF(Import.TipoArredondamento&lt;&gt;"TransfereGOV",
              ROUND(OFFSET($P114,0,AL$13),15-13*ORÇAMENTO!$AF$7)/$H114*OFFSET(ORÇAMENTO!$X$15,ROW(AL114)-ROW(AL$15),0),
              ROUND(ROUND(OFFSET($P114,0,AL$13),15-13*ORÇAMENTO!$AF$7)*OFFSET(ORÇAMENTO!$W$15,ROW(AL114)-ROW(AL$15),0),15-13*ORÇAMENTO!$AF$11)),
         0)</f>
        <v>0</v>
      </c>
      <c r="AM114" s="453">
        <f ca="1">IF(AND($D114="Serviço",AM$12&lt;&gt;0,$H114&gt;0,OR(AUTOEVENTO&lt;&gt;"manual",$M114&lt;&gt;$A$15)),
        IF(Import.TipoArredondamento&lt;&gt;"TransfereGOV",
              ROUND(OFFSET($P114,0,AM$13),15-13*ORÇAMENTO!$AF$7)/$H114*OFFSET(ORÇAMENTO!$X$15,ROW(AM114)-ROW(AM$15),0),
              ROUND(ROUND(OFFSET($P114,0,AM$13),15-13*ORÇAMENTO!$AF$7)*OFFSET(ORÇAMENTO!$W$15,ROW(AM114)-ROW(AM$15),0),15-13*ORÇAMENTO!$AF$11)),
         0)</f>
        <v>0</v>
      </c>
      <c r="AN114" s="453">
        <f ca="1">IF(AND($D114="Serviço",AN$12&lt;&gt;0,$H114&gt;0,OR(AUTOEVENTO&lt;&gt;"manual",$M114&lt;&gt;$A$15)),
        IF(Import.TipoArredondamento&lt;&gt;"TransfereGOV",
              ROUND(OFFSET($P114,0,AN$13),15-13*ORÇAMENTO!$AF$7)/$H114*OFFSET(ORÇAMENTO!$X$15,ROW(AN114)-ROW(AN$15),0),
              ROUND(ROUND(OFFSET($P114,0,AN$13),15-13*ORÇAMENTO!$AF$7)*OFFSET(ORÇAMENTO!$W$15,ROW(AN114)-ROW(AN$15),0),15-13*ORÇAMENTO!$AF$11)),
         0)</f>
        <v>52096.17</v>
      </c>
      <c r="AO114" s="453">
        <f ca="1">IF(AND($D114="Serviço",AO$12&lt;&gt;0,$H114&gt;0,OR(AUTOEVENTO&lt;&gt;"manual",$M114&lt;&gt;$A$15)),
        IF(Import.TipoArredondamento&lt;&gt;"TransfereGOV",
              ROUND(OFFSET($P114,0,AO$13),15-13*ORÇAMENTO!$AF$7)/$H114*OFFSET(ORÇAMENTO!$X$15,ROW(AO114)-ROW(AO$15),0),
              ROUND(ROUND(OFFSET($P114,0,AO$13),15-13*ORÇAMENTO!$AF$7)*OFFSET(ORÇAMENTO!$W$15,ROW(AO114)-ROW(AO$15),0),15-13*ORÇAMENTO!$AF$11)),
         0)</f>
        <v>0</v>
      </c>
      <c r="AP114" s="453">
        <f ca="1">IF(AND($D114="Serviço",AP$12&lt;&gt;0,$H114&gt;0,OR(AUTOEVENTO&lt;&gt;"manual",$M114&lt;&gt;$A$15)),
        IF(Import.TipoArredondamento&lt;&gt;"TransfereGOV",
              ROUND(OFFSET($P114,0,AP$13),15-13*ORÇAMENTO!$AF$7)/$H114*OFFSET(ORÇAMENTO!$X$15,ROW(AP114)-ROW(AP$15),0),
              ROUND(ROUND(OFFSET($P114,0,AP$13),15-13*ORÇAMENTO!$AF$7)*OFFSET(ORÇAMENTO!$W$15,ROW(AP114)-ROW(AP$15),0),15-13*ORÇAMENTO!$AF$11)),
         0)</f>
        <v>0</v>
      </c>
      <c r="AQ114" s="453">
        <f ca="1">IF(AND($D114="Serviço",AQ$12&lt;&gt;0,$H114&gt;0,OR(AUTOEVENTO&lt;&gt;"manual",$M114&lt;&gt;$A$15)),
        IF(Import.TipoArredondamento&lt;&gt;"TransfereGOV",
              ROUND(OFFSET($P114,0,AQ$13),15-13*ORÇAMENTO!$AF$7)/$H114*OFFSET(ORÇAMENTO!$X$15,ROW(AQ114)-ROW(AQ$15),0),
              ROUND(ROUND(OFFSET($P114,0,AQ$13),15-13*ORÇAMENTO!$AF$7)*OFFSET(ORÇAMENTO!$W$15,ROW(AQ114)-ROW(AQ$15),0),15-13*ORÇAMENTO!$AF$11)),
         0)</f>
        <v>0</v>
      </c>
      <c r="AR114" s="453">
        <f ca="1">IF(AND($D114="Serviço",AR$12&lt;&gt;0,$H114&gt;0,OR(AUTOEVENTO&lt;&gt;"manual",$M114&lt;&gt;$A$15)),
        IF(Import.TipoArredondamento&lt;&gt;"TransfereGOV",
              ROUND(OFFSET($P114,0,AR$13),15-13*ORÇAMENTO!$AF$7)/$H114*OFFSET(ORÇAMENTO!$X$15,ROW(AR114)-ROW(AR$15),0),
              ROUND(ROUND(OFFSET($P114,0,AR$13),15-13*ORÇAMENTO!$AF$7)*OFFSET(ORÇAMENTO!$W$15,ROW(AR114)-ROW(AR$15),0),15-13*ORÇAMENTO!$AF$11)),
         0)</f>
        <v>0</v>
      </c>
      <c r="AS114" s="453">
        <f ca="1">IF(AND($D114="Serviço",AS$12&lt;&gt;0,$H114&gt;0,OR(AUTOEVENTO&lt;&gt;"manual",$M114&lt;&gt;$A$15)),
        IF(Import.TipoArredondamento&lt;&gt;"TransfereGOV",
              ROUND(OFFSET($P114,0,AS$13),15-13*ORÇAMENTO!$AF$7)/$H114*OFFSET(ORÇAMENTO!$X$15,ROW(AS114)-ROW(AS$15),0),
              ROUND(ROUND(OFFSET($P114,0,AS$13),15-13*ORÇAMENTO!$AF$7)*OFFSET(ORÇAMENTO!$W$15,ROW(AS114)-ROW(AS$15),0),15-13*ORÇAMENTO!$AF$11)),
         0)</f>
        <v>0</v>
      </c>
      <c r="AT114" s="453">
        <f ca="1">IF(AND($D114="Serviço",AT$12&lt;&gt;0,$H114&gt;0,OR(AUTOEVENTO&lt;&gt;"manual",$M114&lt;&gt;$A$15)),
        IF(Import.TipoArredondamento&lt;&gt;"TransfereGOV",
              ROUND(OFFSET($P114,0,AT$13),15-13*ORÇAMENTO!$AF$7)/$H114*OFFSET(ORÇAMENTO!$X$15,ROW(AT114)-ROW(AT$15),0),
              ROUND(ROUND(OFFSET($P114,0,AT$13),15-13*ORÇAMENTO!$AF$7)*OFFSET(ORÇAMENTO!$W$15,ROW(AT114)-ROW(AT$15),0),15-13*ORÇAMENTO!$AF$11)),
         0)</f>
        <v>0</v>
      </c>
      <c r="AU114" s="453">
        <f ca="1">IF(AND($D114="Serviço",AU$12&lt;&gt;0,$H114&gt;0,OR(AUTOEVENTO&lt;&gt;"manual",$M114&lt;&gt;$A$15)),
        IF(Import.TipoArredondamento&lt;&gt;"TransfereGOV",
              ROUND(OFFSET($P114,0,AU$13),15-13*ORÇAMENTO!$AF$7)/$H114*OFFSET(ORÇAMENTO!$X$15,ROW(AU114)-ROW(AU$15),0),
              ROUND(ROUND(OFFSET($P114,0,AU$13),15-13*ORÇAMENTO!$AF$7)*OFFSET(ORÇAMENTO!$W$15,ROW(AU114)-ROW(AU$15),0),15-13*ORÇAMENTO!$AF$11)),
         0)</f>
        <v>0</v>
      </c>
      <c r="AV114" s="453">
        <f ca="1">IF(AND($D114="Serviço",AV$12&lt;&gt;0,$H114&gt;0,OR(AUTOEVENTO&lt;&gt;"manual",$M114&lt;&gt;$A$15)),
        IF(Import.TipoArredondamento&lt;&gt;"TransfereGOV",
              ROUND(OFFSET($P114,0,AV$13),15-13*ORÇAMENTO!$AF$7)/$H114*OFFSET(ORÇAMENTO!$X$15,ROW(AV114)-ROW(AV$15),0),
              ROUND(ROUND(OFFSET($P114,0,AV$13),15-13*ORÇAMENTO!$AF$7)*OFFSET(ORÇAMENTO!$W$15,ROW(AV114)-ROW(AV$15),0),15-13*ORÇAMENTO!$AF$11)),
         0)</f>
        <v>0</v>
      </c>
      <c r="AW114" s="453">
        <f ca="1">IF(AND($D114="Serviço",AW$12&lt;&gt;0,$H114&gt;0,OR(AUTOEVENTO&lt;&gt;"manual",$M114&lt;&gt;$A$15)),
        IF(Import.TipoArredondamento&lt;&gt;"TransfereGOV",
              ROUND(OFFSET($P114,0,AW$13),15-13*ORÇAMENTO!$AF$7)/$H114*OFFSET(ORÇAMENTO!$X$15,ROW(AW114)-ROW(AW$15),0),
              ROUND(ROUND(OFFSET($P114,0,AW$13),15-13*ORÇAMENTO!$AF$7)*OFFSET(ORÇAMENTO!$W$15,ROW(AW114)-ROW(AW$15),0),15-13*ORÇAMENTO!$AF$11)),
         0)</f>
        <v>0</v>
      </c>
      <c r="AX114" s="453">
        <f ca="1">IF(AND($D114="Serviço",AX$12&lt;&gt;0,$H114&gt;0,OR(AUTOEVENTO&lt;&gt;"manual",$M114&lt;&gt;$A$15)),
        IF(Import.TipoArredondamento&lt;&gt;"TransfereGOV",
              ROUND(OFFSET($P114,0,AX$13),15-13*ORÇAMENTO!$AF$7)/$H114*OFFSET(ORÇAMENTO!$X$15,ROW(AX114)-ROW(AX$15),0),
              ROUND(ROUND(OFFSET($P114,0,AX$13),15-13*ORÇAMENTO!$AF$7)*OFFSET(ORÇAMENTO!$W$15,ROW(AX114)-ROW(AX$15),0),15-13*ORÇAMENTO!$AF$11)),
         0)</f>
        <v>0</v>
      </c>
      <c r="AY114" s="453">
        <f ca="1">IF(AND($D114="Serviço",AY$12&lt;&gt;0,$H114&gt;0,OR(AUTOEVENTO&lt;&gt;"manual",$M114&lt;&gt;$A$15)),
        IF(Import.TipoArredondamento&lt;&gt;"TransfereGOV",
              ROUND(OFFSET($P114,0,AY$13),15-13*ORÇAMENTO!$AF$7)/$H114*OFFSET(ORÇAMENTO!$X$15,ROW(AY114)-ROW(AY$15),0),
              ROUND(ROUND(OFFSET($P114,0,AY$13),15-13*ORÇAMENTO!$AF$7)*OFFSET(ORÇAMENTO!$W$15,ROW(AY114)-ROW(AY$15),0),15-13*ORÇAMENTO!$AF$11)),
         0)</f>
        <v>0</v>
      </c>
      <c r="AZ114" s="453">
        <f ca="1">IF(AND($D114="Serviço",AZ$12&lt;&gt;0,$H114&gt;0,OR(AUTOEVENTO&lt;&gt;"manual",$M114&lt;&gt;$A$15)),
        IF(Import.TipoArredondamento&lt;&gt;"TransfereGOV",
              ROUND(OFFSET($P114,0,AZ$13),15-13*ORÇAMENTO!$AF$7)/$H114*OFFSET(ORÇAMENTO!$X$15,ROW(AZ114)-ROW(AZ$15),0),
              ROUND(ROUND(OFFSET($P114,0,AZ$13),15-13*ORÇAMENTO!$AF$7)*OFFSET(ORÇAMENTO!$W$15,ROW(AZ114)-ROW(AZ$15),0),15-13*ORÇAMENTO!$AF$11)),
         0)</f>
        <v>0</v>
      </c>
      <c r="BA114" s="453">
        <f ca="1">IF(AND($D114="Serviço",BA$12&lt;&gt;0,$H114&gt;0,OR(AUTOEVENTO&lt;&gt;"manual",$M114&lt;&gt;$A$15)),
        IF(Import.TipoArredondamento&lt;&gt;"TransfereGOV",
              ROUND(OFFSET($P114,0,BA$13),15-13*ORÇAMENTO!$AF$7)/$H114*OFFSET(ORÇAMENTO!$X$15,ROW(BA114)-ROW(BA$15),0),
              ROUND(ROUND(OFFSET($P114,0,BA$13),15-13*ORÇAMENTO!$AF$7)*OFFSET(ORÇAMENTO!$W$15,ROW(BA114)-ROW(BA$15),0),15-13*ORÇAMENTO!$AF$11)),
         0)</f>
        <v>0</v>
      </c>
      <c r="BC114" s="171">
        <f ca="1">IF(OR($D114&lt;&gt;"Serviço",AND(AUTOEVENTO="Manual",$M114=$A$15)),0,
         IF(OFFSET(CRONOPLE!$F$15,$M114-$A$15,BC$13)=0,10^12,OFFSET(CRONOPLE!$F$15,$M114-$A$15,BC$13)))</f>
        <v>1000000000000</v>
      </c>
      <c r="BD114" s="171">
        <f ca="1">IF(OR($D114&lt;&gt;"Serviço",AND(AUTOEVENTO="Manual",$M114=$A$15)),0,
         IF(OFFSET(CRONOPLE!$F$15,$M114-$A$15,BD$13)=0,10^12,OFFSET(CRONOPLE!$F$15,$M114-$A$15,BD$13)))</f>
        <v>1000000000000</v>
      </c>
      <c r="BE114" s="171">
        <f ca="1">IF(OR($D114&lt;&gt;"Serviço",AND(AUTOEVENTO="Manual",$M114=$A$15)),0,
         IF(OFFSET(CRONOPLE!$F$15,$M114-$A$15,BE$13)=0,10^12,OFFSET(CRONOPLE!$F$15,$M114-$A$15,BE$13)))</f>
        <v>1000000000000</v>
      </c>
      <c r="BF114" s="171">
        <f ca="1">IF(OR($D114&lt;&gt;"Serviço",AND(AUTOEVENTO="Manual",$M114=$A$15)),0,
         IF(OFFSET(CRONOPLE!$F$15,$M114-$A$15,BF$13)=0,10^12,OFFSET(CRONOPLE!$F$15,$M114-$A$15,BF$13)))</f>
        <v>1000000000000</v>
      </c>
      <c r="BG114" s="171">
        <f ca="1">IF(OR($D114&lt;&gt;"Serviço",AND(AUTOEVENTO="Manual",$M114=$A$15)),0,
         IF(OFFSET(CRONOPLE!$F$15,$M114-$A$15,BG$13)=0,10^12,OFFSET(CRONOPLE!$F$15,$M114-$A$15,BG$13)))</f>
        <v>4</v>
      </c>
      <c r="BH114" s="171">
        <f ca="1">IF(OR($D114&lt;&gt;"Serviço",AND(AUTOEVENTO="Manual",$M114=$A$15)),0,
         IF(OFFSET(CRONOPLE!$F$15,$M114-$A$15,BH$13)=0,10^12,OFFSET(CRONOPLE!$F$15,$M114-$A$15,BH$13)))</f>
        <v>1000000000000</v>
      </c>
      <c r="BI114" s="171">
        <f ca="1">IF(OR($D114&lt;&gt;"Serviço",AND(AUTOEVENTO="Manual",$M114=$A$15)),0,
         IF(OFFSET(CRONOPLE!$F$15,$M114-$A$15,BI$13)=0,10^12,OFFSET(CRONOPLE!$F$15,$M114-$A$15,BI$13)))</f>
        <v>1000000000000</v>
      </c>
      <c r="BJ114" s="171">
        <f ca="1">IF(OR($D114&lt;&gt;"Serviço",AND(AUTOEVENTO="Manual",$M114=$A$15)),0,
         IF(OFFSET(CRONOPLE!$F$15,$M114-$A$15,BJ$13)=0,10^12,OFFSET(CRONOPLE!$F$15,$M114-$A$15,BJ$13)))</f>
        <v>1000000000000</v>
      </c>
      <c r="BK114" s="171">
        <f ca="1">IF(OR($D114&lt;&gt;"Serviço",AND(AUTOEVENTO="Manual",$M114=$A$15)),0,
         IF(OFFSET(CRONOPLE!$F$15,$M114-$A$15,BK$13)=0,10^12,OFFSET(CRONOPLE!$F$15,$M114-$A$15,BK$13)))</f>
        <v>1000000000000</v>
      </c>
      <c r="BL114" s="171">
        <f ca="1">IF(OR($D114&lt;&gt;"Serviço",AND(AUTOEVENTO="Manual",$M114=$A$15)),0,
         IF(OFFSET(CRONOPLE!$F$15,$M114-$A$15,BL$13)=0,10^12,OFFSET(CRONOPLE!$F$15,$M114-$A$15,BL$13)))</f>
        <v>1000000000000</v>
      </c>
      <c r="BM114" s="171">
        <f ca="1">IF(OR($D114&lt;&gt;"Serviço",AND(AUTOEVENTO="Manual",$M114=$A$15)),0,
         IF(OFFSET(CRONOPLE!$F$15,$M114-$A$15,BM$13)=0,10^12,OFFSET(CRONOPLE!$F$15,$M114-$A$15,BM$13)))</f>
        <v>1000000000000</v>
      </c>
      <c r="BN114" s="171">
        <f ca="1">IF(OR($D114&lt;&gt;"Serviço",AND(AUTOEVENTO="Manual",$M114=$A$15)),0,
         IF(OFFSET(CRONOPLE!$F$15,$M114-$A$15,BN$13)=0,10^12,OFFSET(CRONOPLE!$F$15,$M114-$A$15,BN$13)))</f>
        <v>1000000000000</v>
      </c>
      <c r="BO114" s="171">
        <f ca="1">IF(OR($D114&lt;&gt;"Serviço",AND(AUTOEVENTO="Manual",$M114=$A$15)),0,
         IF(OFFSET(CRONOPLE!$F$15,$M114-$A$15,BO$13)=0,10^12,OFFSET(CRONOPLE!$F$15,$M114-$A$15,BO$13)))</f>
        <v>1000000000000</v>
      </c>
      <c r="BP114" s="171">
        <f ca="1">IF(OR($D114&lt;&gt;"Serviço",AND(AUTOEVENTO="Manual",$M114=$A$15)),0,
         IF(OFFSET(CRONOPLE!$F$15,$M114-$A$15,BP$13)=0,10^12,OFFSET(CRONOPLE!$F$15,$M114-$A$15,BP$13)))</f>
        <v>1000000000000</v>
      </c>
      <c r="BQ114" s="171">
        <f ca="1">IF(OR($D114&lt;&gt;"Serviço",AND(AUTOEVENTO="Manual",$M114=$A$15)),0,
         IF(OFFSET(CRONOPLE!$F$15,$M114-$A$15,BQ$13)=0,10^12,OFFSET(CRONOPLE!$F$15,$M114-$A$15,BQ$13)))</f>
        <v>1000000000000</v>
      </c>
      <c r="BR114" s="171">
        <f ca="1">IF(OR($D114&lt;&gt;"Serviço",AND(AUTOEVENTO="Manual",$M114=$A$15)),0,
         IF(OFFSET(CRONOPLE!$F$15,$M114-$A$15,BR$13)=0,10^12,OFFSET(CRONOPLE!$F$15,$M114-$A$15,BR$13)))</f>
        <v>1000000000000</v>
      </c>
      <c r="BS114" s="171">
        <f ca="1">IF(OR($D114&lt;&gt;"Serviço",AND(AUTOEVENTO="Manual",$M114=$A$15)),0,
         IF(OFFSET(CRONOPLE!$F$15,$M114-$A$15,BS$13)=0,10^12,OFFSET(CRONOPLE!$F$15,$M114-$A$15,BS$13)))</f>
        <v>1000000000000</v>
      </c>
      <c r="BT114" s="171">
        <f ca="1">IF(OR($D114&lt;&gt;"Serviço",AND(AUTOEVENTO="Manual",$M114=$A$15)),0,
         IF(OFFSET(CRONOPLE!$F$15,$M114-$A$15,BT$13)=0,10^12,OFFSET(CRONOPLE!$F$15,$M114-$A$15,BT$13)))</f>
        <v>1000000000000</v>
      </c>
      <c r="BV114" s="172">
        <f ca="1">IF(OR($D114&lt;&gt;"Serviço",AND(AUTOEVENTO="Manual",$M114=$A$15),$M114&gt;(ROW(PLE.lastrow)-ROW(PLE.firstrow))),0,
           IF(OFFSET(PLE!$G$15,$M114-$A$15,BV$13)="",10^12,OFFSET(PLE!$G$15,$M114-$A$15,BV$13)))</f>
        <v>1000000000000</v>
      </c>
      <c r="BW114" s="172">
        <f ca="1">IF(OR($D114&lt;&gt;"Serviço",AND(AUTOEVENTO="Manual",$M114=$A$15),$M114&gt;(ROW(PLE.lastrow)-ROW(PLE.firstrow))),0,
           IF(OFFSET(PLE!$G$15,$M114-$A$15,BW$13)="",10^12,OFFSET(PLE!$G$15,$M114-$A$15,BW$13)))</f>
        <v>1000000000000</v>
      </c>
      <c r="BX114" s="172">
        <f ca="1">IF(OR($D114&lt;&gt;"Serviço",AND(AUTOEVENTO="Manual",$M114=$A$15),$M114&gt;(ROW(PLE.lastrow)-ROW(PLE.firstrow))),0,
           IF(OFFSET(PLE!$G$15,$M114-$A$15,BX$13)="",10^12,OFFSET(PLE!$G$15,$M114-$A$15,BX$13)))</f>
        <v>1000000000000</v>
      </c>
      <c r="BY114" s="172">
        <f ca="1">IF(OR($D114&lt;&gt;"Serviço",AND(AUTOEVENTO="Manual",$M114=$A$15),$M114&gt;(ROW(PLE.lastrow)-ROW(PLE.firstrow))),0,
           IF(OFFSET(PLE!$G$15,$M114-$A$15,BY$13)="",10^12,OFFSET(PLE!$G$15,$M114-$A$15,BY$13)))</f>
        <v>1000000000000</v>
      </c>
      <c r="BZ114" s="172">
        <f ca="1">IF(OR($D114&lt;&gt;"Serviço",AND(AUTOEVENTO="Manual",$M114=$A$15),$M114&gt;(ROW(PLE.lastrow)-ROW(PLE.firstrow))),0,
           IF(OFFSET(PLE!$G$15,$M114-$A$15,BZ$13)="",10^12,OFFSET(PLE!$G$15,$M114-$A$15,BZ$13)))</f>
        <v>1000000000000</v>
      </c>
      <c r="CA114" s="172">
        <f ca="1">IF(OR($D114&lt;&gt;"Serviço",AND(AUTOEVENTO="Manual",$M114=$A$15),$M114&gt;(ROW(PLE.lastrow)-ROW(PLE.firstrow))),0,
           IF(OFFSET(PLE!$G$15,$M114-$A$15,CA$13)="",10^12,OFFSET(PLE!$G$15,$M114-$A$15,CA$13)))</f>
        <v>1000000000000</v>
      </c>
      <c r="CB114" s="172">
        <f ca="1">IF(OR($D114&lt;&gt;"Serviço",AND(AUTOEVENTO="Manual",$M114=$A$15),$M114&gt;(ROW(PLE.lastrow)-ROW(PLE.firstrow))),0,
           IF(OFFSET(PLE!$G$15,$M114-$A$15,CB$13)="",10^12,OFFSET(PLE!$G$15,$M114-$A$15,CB$13)))</f>
        <v>1000000000000</v>
      </c>
      <c r="CC114" s="172">
        <f ca="1">IF(OR($D114&lt;&gt;"Serviço",AND(AUTOEVENTO="Manual",$M114=$A$15),$M114&gt;(ROW(PLE.lastrow)-ROW(PLE.firstrow))),0,
           IF(OFFSET(PLE!$G$15,$M114-$A$15,CC$13)="",10^12,OFFSET(PLE!$G$15,$M114-$A$15,CC$13)))</f>
        <v>1000000000000</v>
      </c>
      <c r="CD114" s="172">
        <f ca="1">IF(OR($D114&lt;&gt;"Serviço",AND(AUTOEVENTO="Manual",$M114=$A$15),$M114&gt;(ROW(PLE.lastrow)-ROW(PLE.firstrow))),0,
           IF(OFFSET(PLE!$G$15,$M114-$A$15,CD$13)="",10^12,OFFSET(PLE!$G$15,$M114-$A$15,CD$13)))</f>
        <v>1000000000000</v>
      </c>
      <c r="CE114" s="172">
        <f ca="1">IF(OR($D114&lt;&gt;"Serviço",AND(AUTOEVENTO="Manual",$M114=$A$15),$M114&gt;(ROW(PLE.lastrow)-ROW(PLE.firstrow))),0,
           IF(OFFSET(PLE!$G$15,$M114-$A$15,CE$13)="",10^12,OFFSET(PLE!$G$15,$M114-$A$15,CE$13)))</f>
        <v>1000000000000</v>
      </c>
      <c r="CF114" s="172">
        <f ca="1">IF(OR($D114&lt;&gt;"Serviço",AND(AUTOEVENTO="Manual",$M114=$A$15),$M114&gt;(ROW(PLE.lastrow)-ROW(PLE.firstrow))),0,
           IF(OFFSET(PLE!$G$15,$M114-$A$15,CF$13)="",10^12,OFFSET(PLE!$G$15,$M114-$A$15,CF$13)))</f>
        <v>1000000000000</v>
      </c>
      <c r="CG114" s="172">
        <f ca="1">IF(OR($D114&lt;&gt;"Serviço",AND(AUTOEVENTO="Manual",$M114=$A$15),$M114&gt;(ROW(PLE.lastrow)-ROW(PLE.firstrow))),0,
           IF(OFFSET(PLE!$G$15,$M114-$A$15,CG$13)="",10^12,OFFSET(PLE!$G$15,$M114-$A$15,CG$13)))</f>
        <v>1000000000000</v>
      </c>
      <c r="CH114" s="172">
        <f ca="1">IF(OR($D114&lt;&gt;"Serviço",AND(AUTOEVENTO="Manual",$M114=$A$15),$M114&gt;(ROW(PLE.lastrow)-ROW(PLE.firstrow))),0,
           IF(OFFSET(PLE!$G$15,$M114-$A$15,CH$13)="",10^12,OFFSET(PLE!$G$15,$M114-$A$15,CH$13)))</f>
        <v>1000000000000</v>
      </c>
      <c r="CI114" s="172">
        <f ca="1">IF(OR($D114&lt;&gt;"Serviço",AND(AUTOEVENTO="Manual",$M114=$A$15),$M114&gt;(ROW(PLE.lastrow)-ROW(PLE.firstrow))),0,
           IF(OFFSET(PLE!$G$15,$M114-$A$15,CI$13)="",10^12,OFFSET(PLE!$G$15,$M114-$A$15,CI$13)))</f>
        <v>1000000000000</v>
      </c>
      <c r="CJ114" s="172">
        <f ca="1">IF(OR($D114&lt;&gt;"Serviço",AND(AUTOEVENTO="Manual",$M114=$A$15),$M114&gt;(ROW(PLE.lastrow)-ROW(PLE.firstrow))),0,
           IF(OFFSET(PLE!$G$15,$M114-$A$15,CJ$13)="",10^12,OFFSET(PLE!$G$15,$M114-$A$15,CJ$13)))</f>
        <v>1000000000000</v>
      </c>
      <c r="CK114" s="172">
        <f ca="1">IF(OR($D114&lt;&gt;"Serviço",AND(AUTOEVENTO="Manual",$M114=$A$15),$M114&gt;(ROW(PLE.lastrow)-ROW(PLE.firstrow))),0,
           IF(OFFSET(PLE!$G$15,$M114-$A$15,CK$13)="",10^12,OFFSET(PLE!$G$15,$M114-$A$15,CK$13)))</f>
        <v>1000000000000</v>
      </c>
      <c r="CL114" s="172">
        <f ca="1">IF(OR($D114&lt;&gt;"Serviço",AND(AUTOEVENTO="Manual",$M114=$A$15),$M114&gt;(ROW(PLE.lastrow)-ROW(PLE.firstrow))),0,
           IF(OFFSET(PLE!$G$15,$M114-$A$15,CL$13)="",10^12,OFFSET(PLE!$G$15,$M114-$A$15,CL$13)))</f>
        <v>1000000000000</v>
      </c>
      <c r="CM114" s="172">
        <f ca="1">IF(OR($D114&lt;&gt;"Serviço",AND(AUTOEVENTO="Manual",$M114=$A$15),$M114&gt;(ROW(PLE.lastrow)-ROW(PLE.firstrow))),0,
           IF(OFFSET(PLE!$G$15,$M114-$A$15,CM$13)="",10^12,OFFSET(PLE!$G$15,$M114-$A$15,CM$13)))</f>
        <v>1000000000000</v>
      </c>
    </row>
    <row r="115" spans="1:91" ht="26.4" x14ac:dyDescent="0.25">
      <c r="A115" s="7" t="str">
        <f t="shared" ca="1" si="11"/>
        <v>86</v>
      </c>
      <c r="B115" s="7" t="str">
        <f ca="1">OFFSET(ORÇAMENTO!C$15,ROW(B115)-ROW(B$15),0)</f>
        <v>S</v>
      </c>
      <c r="C115" s="7" t="str">
        <f ca="1">OFFSET(ORÇAMENTO!L$15,ROW(C115)-ROW(C$15),0)</f>
        <v>F</v>
      </c>
      <c r="D115" s="116" t="str">
        <f ca="1">OFFSET(ORÇAMENTO!N$15,ROW(D115)-ROW(D$15),0)</f>
        <v>Serviço</v>
      </c>
      <c r="E115" s="117" t="str">
        <f ca="1">OFFSET(ORÇAMENTO!O$15,ROW(E115)-ROW(E$15),0)</f>
        <v>3.2.14.</v>
      </c>
      <c r="F115" s="163" t="str">
        <f ca="1">OFFSET(ORÇAMENTO!R$15,ROW(F115)-ROW(F$15),0)</f>
        <v>Transporte de material betuminoso com caminhão tanque distribuidor - rodovia pavimentada</v>
      </c>
      <c r="G115" s="164" t="str">
        <f ca="1">IF($D115&lt;&gt;"Serviço","",OFFSET(ORÇAMENTO!S$15,ROW(G115)-ROW(G$15),0))</f>
        <v>tkm</v>
      </c>
      <c r="H115" s="122" cm="1">
        <f t="array" aca="1" ref="H115" ca="1">IF($D115&lt;&gt;"Serviço",0,IF(ACOMPANHAMENTO="BM",ROUND(OFFSET(ORÇAMENTO!AJ$15,ROW(H115)-ROW(H$15),0),15-13*ORÇAMENTO!$AF$7),SUMPRODUCT(($Q$1:$AI$1=1)*ROUND($Q115:$AI115,15-13*ORÇAMENTO!$AF$7))))</f>
        <v>3140.68</v>
      </c>
      <c r="I115" s="468"/>
      <c r="J115" s="651" t="e" cm="1">
        <f t="array" aca="1" ref="J115" ca="1">IF(OR(B115&lt;&gt;"S",CÁLCULO.FrentesPreenchidas=0),"",IF(AND(ACOMPANHAMENTO="PLE",AUTOEVENTO="Manual",OR(H115&gt;0,ORÇAMENTO!AC115="QUANT."),OR(K115="",M115=0,N115="")),"►E",IF(AND(ACOMPANHAMENTO="PLE",ORÇAMENTO!AC115="QUANT."),"►Q",IF(AND(ACOMPANHAMENTO="PLE",H115&lt;&gt;SUMPRODUCT(($Q$1:$AI$1=1)*ROUND(Q115:AI115,15))),"►S",IF(AND(COUNTIF($P$11:$AI$11,"▼")=0,H115&gt;0,I115=""),"◄M","")))))</f>
        <v>#NAME?</v>
      </c>
      <c r="K115" s="652"/>
      <c r="L115" s="165" t="s">
        <v>764</v>
      </c>
      <c r="M115" s="166">
        <f ca="1">IF($D115&lt;&gt;"Serviço","",
          IF(AUTOEVENTO="manual",$A115,
                IF(ISERROR(MATCH($A115,$A$15:OFFSET($A115,-1,0),0)),MAX($M$15:OFFSET(M115,-1,0))+1,
                      INDEX($M$15:OFFSET(M115,-1,0),MATCH($A115,$A$15:OFFSET($A115,-1,0),0)))))</f>
        <v>15</v>
      </c>
      <c r="N115" s="167" t="str">
        <f ca="1">IF($D115&lt;&gt;"Serviço","",
         IF(AUTOEVENTO="Manual",
                IF($A115=0,"&lt;-- defina o número do agrupador",
                       OFFSET(EVENTOS!$D$15,$A115-$A$15,0)),
                OFFSET($F$15,$A115,0)))</f>
        <v>PAVIMENTAÇÃO</v>
      </c>
      <c r="O115" s="168"/>
      <c r="Q115" s="168"/>
      <c r="R115" s="169"/>
      <c r="S115" s="169"/>
      <c r="T115" s="169"/>
      <c r="U115" s="169">
        <f>TRUNC(U114/1000*337,2)</f>
        <v>3140.68</v>
      </c>
      <c r="V115" s="169"/>
      <c r="W115" s="169"/>
      <c r="X115" s="169"/>
      <c r="Y115" s="169"/>
      <c r="Z115" s="170"/>
      <c r="AA115" s="169"/>
      <c r="AB115" s="169"/>
      <c r="AC115" s="169"/>
      <c r="AD115" s="169"/>
      <c r="AE115" s="169"/>
      <c r="AF115" s="169"/>
      <c r="AG115" s="169"/>
      <c r="AH115" s="170"/>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L115" s="453">
        <f ca="1">IF(AND($D115="Serviço",AL$12&lt;&gt;0,$H115&gt;0,OR(AUTOEVENTO&lt;&gt;"manual",$M115&lt;&gt;$A$15)),
        IF(Import.TipoArredondamento&lt;&gt;"TransfereGOV",
              ROUND(OFFSET($P115,0,AL$13),15-13*ORÇAMENTO!$AF$7)/$H115*OFFSET(ORÇAMENTO!$X$15,ROW(AL115)-ROW(AL$15),0),
              ROUND(ROUND(OFFSET($P115,0,AL$13),15-13*ORÇAMENTO!$AF$7)*OFFSET(ORÇAMENTO!$W$15,ROW(AL115)-ROW(AL$15),0),15-13*ORÇAMENTO!$AF$11)),
         0)</f>
        <v>0</v>
      </c>
      <c r="AM115" s="453">
        <f ca="1">IF(AND($D115="Serviço",AM$12&lt;&gt;0,$H115&gt;0,OR(AUTOEVENTO&lt;&gt;"manual",$M115&lt;&gt;$A$15)),
        IF(Import.TipoArredondamento&lt;&gt;"TransfereGOV",
              ROUND(OFFSET($P115,0,AM$13),15-13*ORÇAMENTO!$AF$7)/$H115*OFFSET(ORÇAMENTO!$X$15,ROW(AM115)-ROW(AM$15),0),
              ROUND(ROUND(OFFSET($P115,0,AM$13),15-13*ORÇAMENTO!$AF$7)*OFFSET(ORÇAMENTO!$W$15,ROW(AM115)-ROW(AM$15),0),15-13*ORÇAMENTO!$AF$11)),
         0)</f>
        <v>0</v>
      </c>
      <c r="AN115" s="453">
        <f ca="1">IF(AND($D115="Serviço",AN$12&lt;&gt;0,$H115&gt;0,OR(AUTOEVENTO&lt;&gt;"manual",$M115&lt;&gt;$A$15)),
        IF(Import.TipoArredondamento&lt;&gt;"TransfereGOV",
              ROUND(OFFSET($P115,0,AN$13),15-13*ORÇAMENTO!$AF$7)/$H115*OFFSET(ORÇAMENTO!$X$15,ROW(AN115)-ROW(AN$15),0),
              ROUND(ROUND(OFFSET($P115,0,AN$13),15-13*ORÇAMENTO!$AF$7)*OFFSET(ORÇAMENTO!$W$15,ROW(AN115)-ROW(AN$15),0),15-13*ORÇAMENTO!$AF$11)),
         0)</f>
        <v>8008.73</v>
      </c>
      <c r="AO115" s="453">
        <f ca="1">IF(AND($D115="Serviço",AO$12&lt;&gt;0,$H115&gt;0,OR(AUTOEVENTO&lt;&gt;"manual",$M115&lt;&gt;$A$15)),
        IF(Import.TipoArredondamento&lt;&gt;"TransfereGOV",
              ROUND(OFFSET($P115,0,AO$13),15-13*ORÇAMENTO!$AF$7)/$H115*OFFSET(ORÇAMENTO!$X$15,ROW(AO115)-ROW(AO$15),0),
              ROUND(ROUND(OFFSET($P115,0,AO$13),15-13*ORÇAMENTO!$AF$7)*OFFSET(ORÇAMENTO!$W$15,ROW(AO115)-ROW(AO$15),0),15-13*ORÇAMENTO!$AF$11)),
         0)</f>
        <v>0</v>
      </c>
      <c r="AP115" s="453">
        <f ca="1">IF(AND($D115="Serviço",AP$12&lt;&gt;0,$H115&gt;0,OR(AUTOEVENTO&lt;&gt;"manual",$M115&lt;&gt;$A$15)),
        IF(Import.TipoArredondamento&lt;&gt;"TransfereGOV",
              ROUND(OFFSET($P115,0,AP$13),15-13*ORÇAMENTO!$AF$7)/$H115*OFFSET(ORÇAMENTO!$X$15,ROW(AP115)-ROW(AP$15),0),
              ROUND(ROUND(OFFSET($P115,0,AP$13),15-13*ORÇAMENTO!$AF$7)*OFFSET(ORÇAMENTO!$W$15,ROW(AP115)-ROW(AP$15),0),15-13*ORÇAMENTO!$AF$11)),
         0)</f>
        <v>0</v>
      </c>
      <c r="AQ115" s="453">
        <f ca="1">IF(AND($D115="Serviço",AQ$12&lt;&gt;0,$H115&gt;0,OR(AUTOEVENTO&lt;&gt;"manual",$M115&lt;&gt;$A$15)),
        IF(Import.TipoArredondamento&lt;&gt;"TransfereGOV",
              ROUND(OFFSET($P115,0,AQ$13),15-13*ORÇAMENTO!$AF$7)/$H115*OFFSET(ORÇAMENTO!$X$15,ROW(AQ115)-ROW(AQ$15),0),
              ROUND(ROUND(OFFSET($P115,0,AQ$13),15-13*ORÇAMENTO!$AF$7)*OFFSET(ORÇAMENTO!$W$15,ROW(AQ115)-ROW(AQ$15),0),15-13*ORÇAMENTO!$AF$11)),
         0)</f>
        <v>0</v>
      </c>
      <c r="AR115" s="453">
        <f ca="1">IF(AND($D115="Serviço",AR$12&lt;&gt;0,$H115&gt;0,OR(AUTOEVENTO&lt;&gt;"manual",$M115&lt;&gt;$A$15)),
        IF(Import.TipoArredondamento&lt;&gt;"TransfereGOV",
              ROUND(OFFSET($P115,0,AR$13),15-13*ORÇAMENTO!$AF$7)/$H115*OFFSET(ORÇAMENTO!$X$15,ROW(AR115)-ROW(AR$15),0),
              ROUND(ROUND(OFFSET($P115,0,AR$13),15-13*ORÇAMENTO!$AF$7)*OFFSET(ORÇAMENTO!$W$15,ROW(AR115)-ROW(AR$15),0),15-13*ORÇAMENTO!$AF$11)),
         0)</f>
        <v>0</v>
      </c>
      <c r="AS115" s="453">
        <f ca="1">IF(AND($D115="Serviço",AS$12&lt;&gt;0,$H115&gt;0,OR(AUTOEVENTO&lt;&gt;"manual",$M115&lt;&gt;$A$15)),
        IF(Import.TipoArredondamento&lt;&gt;"TransfereGOV",
              ROUND(OFFSET($P115,0,AS$13),15-13*ORÇAMENTO!$AF$7)/$H115*OFFSET(ORÇAMENTO!$X$15,ROW(AS115)-ROW(AS$15),0),
              ROUND(ROUND(OFFSET($P115,0,AS$13),15-13*ORÇAMENTO!$AF$7)*OFFSET(ORÇAMENTO!$W$15,ROW(AS115)-ROW(AS$15),0),15-13*ORÇAMENTO!$AF$11)),
         0)</f>
        <v>0</v>
      </c>
      <c r="AT115" s="453">
        <f ca="1">IF(AND($D115="Serviço",AT$12&lt;&gt;0,$H115&gt;0,OR(AUTOEVENTO&lt;&gt;"manual",$M115&lt;&gt;$A$15)),
        IF(Import.TipoArredondamento&lt;&gt;"TransfereGOV",
              ROUND(OFFSET($P115,0,AT$13),15-13*ORÇAMENTO!$AF$7)/$H115*OFFSET(ORÇAMENTO!$X$15,ROW(AT115)-ROW(AT$15),0),
              ROUND(ROUND(OFFSET($P115,0,AT$13),15-13*ORÇAMENTO!$AF$7)*OFFSET(ORÇAMENTO!$W$15,ROW(AT115)-ROW(AT$15),0),15-13*ORÇAMENTO!$AF$11)),
         0)</f>
        <v>0</v>
      </c>
      <c r="AU115" s="453">
        <f ca="1">IF(AND($D115="Serviço",AU$12&lt;&gt;0,$H115&gt;0,OR(AUTOEVENTO&lt;&gt;"manual",$M115&lt;&gt;$A$15)),
        IF(Import.TipoArredondamento&lt;&gt;"TransfereGOV",
              ROUND(OFFSET($P115,0,AU$13),15-13*ORÇAMENTO!$AF$7)/$H115*OFFSET(ORÇAMENTO!$X$15,ROW(AU115)-ROW(AU$15),0),
              ROUND(ROUND(OFFSET($P115,0,AU$13),15-13*ORÇAMENTO!$AF$7)*OFFSET(ORÇAMENTO!$W$15,ROW(AU115)-ROW(AU$15),0),15-13*ORÇAMENTO!$AF$11)),
         0)</f>
        <v>0</v>
      </c>
      <c r="AV115" s="453">
        <f ca="1">IF(AND($D115="Serviço",AV$12&lt;&gt;0,$H115&gt;0,OR(AUTOEVENTO&lt;&gt;"manual",$M115&lt;&gt;$A$15)),
        IF(Import.TipoArredondamento&lt;&gt;"TransfereGOV",
              ROUND(OFFSET($P115,0,AV$13),15-13*ORÇAMENTO!$AF$7)/$H115*OFFSET(ORÇAMENTO!$X$15,ROW(AV115)-ROW(AV$15),0),
              ROUND(ROUND(OFFSET($P115,0,AV$13),15-13*ORÇAMENTO!$AF$7)*OFFSET(ORÇAMENTO!$W$15,ROW(AV115)-ROW(AV$15),0),15-13*ORÇAMENTO!$AF$11)),
         0)</f>
        <v>0</v>
      </c>
      <c r="AW115" s="453">
        <f ca="1">IF(AND($D115="Serviço",AW$12&lt;&gt;0,$H115&gt;0,OR(AUTOEVENTO&lt;&gt;"manual",$M115&lt;&gt;$A$15)),
        IF(Import.TipoArredondamento&lt;&gt;"TransfereGOV",
              ROUND(OFFSET($P115,0,AW$13),15-13*ORÇAMENTO!$AF$7)/$H115*OFFSET(ORÇAMENTO!$X$15,ROW(AW115)-ROW(AW$15),0),
              ROUND(ROUND(OFFSET($P115,0,AW$13),15-13*ORÇAMENTO!$AF$7)*OFFSET(ORÇAMENTO!$W$15,ROW(AW115)-ROW(AW$15),0),15-13*ORÇAMENTO!$AF$11)),
         0)</f>
        <v>0</v>
      </c>
      <c r="AX115" s="453">
        <f ca="1">IF(AND($D115="Serviço",AX$12&lt;&gt;0,$H115&gt;0,OR(AUTOEVENTO&lt;&gt;"manual",$M115&lt;&gt;$A$15)),
        IF(Import.TipoArredondamento&lt;&gt;"TransfereGOV",
              ROUND(OFFSET($P115,0,AX$13),15-13*ORÇAMENTO!$AF$7)/$H115*OFFSET(ORÇAMENTO!$X$15,ROW(AX115)-ROW(AX$15),0),
              ROUND(ROUND(OFFSET($P115,0,AX$13),15-13*ORÇAMENTO!$AF$7)*OFFSET(ORÇAMENTO!$W$15,ROW(AX115)-ROW(AX$15),0),15-13*ORÇAMENTO!$AF$11)),
         0)</f>
        <v>0</v>
      </c>
      <c r="AY115" s="453">
        <f ca="1">IF(AND($D115="Serviço",AY$12&lt;&gt;0,$H115&gt;0,OR(AUTOEVENTO&lt;&gt;"manual",$M115&lt;&gt;$A$15)),
        IF(Import.TipoArredondamento&lt;&gt;"TransfereGOV",
              ROUND(OFFSET($P115,0,AY$13),15-13*ORÇAMENTO!$AF$7)/$H115*OFFSET(ORÇAMENTO!$X$15,ROW(AY115)-ROW(AY$15),0),
              ROUND(ROUND(OFFSET($P115,0,AY$13),15-13*ORÇAMENTO!$AF$7)*OFFSET(ORÇAMENTO!$W$15,ROW(AY115)-ROW(AY$15),0),15-13*ORÇAMENTO!$AF$11)),
         0)</f>
        <v>0</v>
      </c>
      <c r="AZ115" s="453">
        <f ca="1">IF(AND($D115="Serviço",AZ$12&lt;&gt;0,$H115&gt;0,OR(AUTOEVENTO&lt;&gt;"manual",$M115&lt;&gt;$A$15)),
        IF(Import.TipoArredondamento&lt;&gt;"TransfereGOV",
              ROUND(OFFSET($P115,0,AZ$13),15-13*ORÇAMENTO!$AF$7)/$H115*OFFSET(ORÇAMENTO!$X$15,ROW(AZ115)-ROW(AZ$15),0),
              ROUND(ROUND(OFFSET($P115,0,AZ$13),15-13*ORÇAMENTO!$AF$7)*OFFSET(ORÇAMENTO!$W$15,ROW(AZ115)-ROW(AZ$15),0),15-13*ORÇAMENTO!$AF$11)),
         0)</f>
        <v>0</v>
      </c>
      <c r="BA115" s="453">
        <f ca="1">IF(AND($D115="Serviço",BA$12&lt;&gt;0,$H115&gt;0,OR(AUTOEVENTO&lt;&gt;"manual",$M115&lt;&gt;$A$15)),
        IF(Import.TipoArredondamento&lt;&gt;"TransfereGOV",
              ROUND(OFFSET($P115,0,BA$13),15-13*ORÇAMENTO!$AF$7)/$H115*OFFSET(ORÇAMENTO!$X$15,ROW(BA115)-ROW(BA$15),0),
              ROUND(ROUND(OFFSET($P115,0,BA$13),15-13*ORÇAMENTO!$AF$7)*OFFSET(ORÇAMENTO!$W$15,ROW(BA115)-ROW(BA$15),0),15-13*ORÇAMENTO!$AF$11)),
         0)</f>
        <v>0</v>
      </c>
      <c r="BC115" s="171">
        <f ca="1">IF(OR($D115&lt;&gt;"Serviço",AND(AUTOEVENTO="Manual",$M115=$A$15)),0,
         IF(OFFSET(CRONOPLE!$F$15,$M115-$A$15,BC$13)=0,10^12,OFFSET(CRONOPLE!$F$15,$M115-$A$15,BC$13)))</f>
        <v>1000000000000</v>
      </c>
      <c r="BD115" s="171">
        <f ca="1">IF(OR($D115&lt;&gt;"Serviço",AND(AUTOEVENTO="Manual",$M115=$A$15)),0,
         IF(OFFSET(CRONOPLE!$F$15,$M115-$A$15,BD$13)=0,10^12,OFFSET(CRONOPLE!$F$15,$M115-$A$15,BD$13)))</f>
        <v>1000000000000</v>
      </c>
      <c r="BE115" s="171">
        <f ca="1">IF(OR($D115&lt;&gt;"Serviço",AND(AUTOEVENTO="Manual",$M115=$A$15)),0,
         IF(OFFSET(CRONOPLE!$F$15,$M115-$A$15,BE$13)=0,10^12,OFFSET(CRONOPLE!$F$15,$M115-$A$15,BE$13)))</f>
        <v>1000000000000</v>
      </c>
      <c r="BF115" s="171">
        <f ca="1">IF(OR($D115&lt;&gt;"Serviço",AND(AUTOEVENTO="Manual",$M115=$A$15)),0,
         IF(OFFSET(CRONOPLE!$F$15,$M115-$A$15,BF$13)=0,10^12,OFFSET(CRONOPLE!$F$15,$M115-$A$15,BF$13)))</f>
        <v>1000000000000</v>
      </c>
      <c r="BG115" s="171">
        <f ca="1">IF(OR($D115&lt;&gt;"Serviço",AND(AUTOEVENTO="Manual",$M115=$A$15)),0,
         IF(OFFSET(CRONOPLE!$F$15,$M115-$A$15,BG$13)=0,10^12,OFFSET(CRONOPLE!$F$15,$M115-$A$15,BG$13)))</f>
        <v>4</v>
      </c>
      <c r="BH115" s="171">
        <f ca="1">IF(OR($D115&lt;&gt;"Serviço",AND(AUTOEVENTO="Manual",$M115=$A$15)),0,
         IF(OFFSET(CRONOPLE!$F$15,$M115-$A$15,BH$13)=0,10^12,OFFSET(CRONOPLE!$F$15,$M115-$A$15,BH$13)))</f>
        <v>1000000000000</v>
      </c>
      <c r="BI115" s="171">
        <f ca="1">IF(OR($D115&lt;&gt;"Serviço",AND(AUTOEVENTO="Manual",$M115=$A$15)),0,
         IF(OFFSET(CRONOPLE!$F$15,$M115-$A$15,BI$13)=0,10^12,OFFSET(CRONOPLE!$F$15,$M115-$A$15,BI$13)))</f>
        <v>1000000000000</v>
      </c>
      <c r="BJ115" s="171">
        <f ca="1">IF(OR($D115&lt;&gt;"Serviço",AND(AUTOEVENTO="Manual",$M115=$A$15)),0,
         IF(OFFSET(CRONOPLE!$F$15,$M115-$A$15,BJ$13)=0,10^12,OFFSET(CRONOPLE!$F$15,$M115-$A$15,BJ$13)))</f>
        <v>1000000000000</v>
      </c>
      <c r="BK115" s="171">
        <f ca="1">IF(OR($D115&lt;&gt;"Serviço",AND(AUTOEVENTO="Manual",$M115=$A$15)),0,
         IF(OFFSET(CRONOPLE!$F$15,$M115-$A$15,BK$13)=0,10^12,OFFSET(CRONOPLE!$F$15,$M115-$A$15,BK$13)))</f>
        <v>1000000000000</v>
      </c>
      <c r="BL115" s="171">
        <f ca="1">IF(OR($D115&lt;&gt;"Serviço",AND(AUTOEVENTO="Manual",$M115=$A$15)),0,
         IF(OFFSET(CRONOPLE!$F$15,$M115-$A$15,BL$13)=0,10^12,OFFSET(CRONOPLE!$F$15,$M115-$A$15,BL$13)))</f>
        <v>1000000000000</v>
      </c>
      <c r="BM115" s="171">
        <f ca="1">IF(OR($D115&lt;&gt;"Serviço",AND(AUTOEVENTO="Manual",$M115=$A$15)),0,
         IF(OFFSET(CRONOPLE!$F$15,$M115-$A$15,BM$13)=0,10^12,OFFSET(CRONOPLE!$F$15,$M115-$A$15,BM$13)))</f>
        <v>1000000000000</v>
      </c>
      <c r="BN115" s="171">
        <f ca="1">IF(OR($D115&lt;&gt;"Serviço",AND(AUTOEVENTO="Manual",$M115=$A$15)),0,
         IF(OFFSET(CRONOPLE!$F$15,$M115-$A$15,BN$13)=0,10^12,OFFSET(CRONOPLE!$F$15,$M115-$A$15,BN$13)))</f>
        <v>1000000000000</v>
      </c>
      <c r="BO115" s="171">
        <f ca="1">IF(OR($D115&lt;&gt;"Serviço",AND(AUTOEVENTO="Manual",$M115=$A$15)),0,
         IF(OFFSET(CRONOPLE!$F$15,$M115-$A$15,BO$13)=0,10^12,OFFSET(CRONOPLE!$F$15,$M115-$A$15,BO$13)))</f>
        <v>1000000000000</v>
      </c>
      <c r="BP115" s="171">
        <f ca="1">IF(OR($D115&lt;&gt;"Serviço",AND(AUTOEVENTO="Manual",$M115=$A$15)),0,
         IF(OFFSET(CRONOPLE!$F$15,$M115-$A$15,BP$13)=0,10^12,OFFSET(CRONOPLE!$F$15,$M115-$A$15,BP$13)))</f>
        <v>1000000000000</v>
      </c>
      <c r="BQ115" s="171">
        <f ca="1">IF(OR($D115&lt;&gt;"Serviço",AND(AUTOEVENTO="Manual",$M115=$A$15)),0,
         IF(OFFSET(CRONOPLE!$F$15,$M115-$A$15,BQ$13)=0,10^12,OFFSET(CRONOPLE!$F$15,$M115-$A$15,BQ$13)))</f>
        <v>1000000000000</v>
      </c>
      <c r="BR115" s="171">
        <f ca="1">IF(OR($D115&lt;&gt;"Serviço",AND(AUTOEVENTO="Manual",$M115=$A$15)),0,
         IF(OFFSET(CRONOPLE!$F$15,$M115-$A$15,BR$13)=0,10^12,OFFSET(CRONOPLE!$F$15,$M115-$A$15,BR$13)))</f>
        <v>1000000000000</v>
      </c>
      <c r="BS115" s="171">
        <f ca="1">IF(OR($D115&lt;&gt;"Serviço",AND(AUTOEVENTO="Manual",$M115=$A$15)),0,
         IF(OFFSET(CRONOPLE!$F$15,$M115-$A$15,BS$13)=0,10^12,OFFSET(CRONOPLE!$F$15,$M115-$A$15,BS$13)))</f>
        <v>1000000000000</v>
      </c>
      <c r="BT115" s="171">
        <f ca="1">IF(OR($D115&lt;&gt;"Serviço",AND(AUTOEVENTO="Manual",$M115=$A$15)),0,
         IF(OFFSET(CRONOPLE!$F$15,$M115-$A$15,BT$13)=0,10^12,OFFSET(CRONOPLE!$F$15,$M115-$A$15,BT$13)))</f>
        <v>1000000000000</v>
      </c>
      <c r="BV115" s="172">
        <f ca="1">IF(OR($D115&lt;&gt;"Serviço",AND(AUTOEVENTO="Manual",$M115=$A$15),$M115&gt;(ROW(PLE.lastrow)-ROW(PLE.firstrow))),0,
           IF(OFFSET(PLE!$G$15,$M115-$A$15,BV$13)="",10^12,OFFSET(PLE!$G$15,$M115-$A$15,BV$13)))</f>
        <v>1000000000000</v>
      </c>
      <c r="BW115" s="172">
        <f ca="1">IF(OR($D115&lt;&gt;"Serviço",AND(AUTOEVENTO="Manual",$M115=$A$15),$M115&gt;(ROW(PLE.lastrow)-ROW(PLE.firstrow))),0,
           IF(OFFSET(PLE!$G$15,$M115-$A$15,BW$13)="",10^12,OFFSET(PLE!$G$15,$M115-$A$15,BW$13)))</f>
        <v>1000000000000</v>
      </c>
      <c r="BX115" s="172">
        <f ca="1">IF(OR($D115&lt;&gt;"Serviço",AND(AUTOEVENTO="Manual",$M115=$A$15),$M115&gt;(ROW(PLE.lastrow)-ROW(PLE.firstrow))),0,
           IF(OFFSET(PLE!$G$15,$M115-$A$15,BX$13)="",10^12,OFFSET(PLE!$G$15,$M115-$A$15,BX$13)))</f>
        <v>1000000000000</v>
      </c>
      <c r="BY115" s="172">
        <f ca="1">IF(OR($D115&lt;&gt;"Serviço",AND(AUTOEVENTO="Manual",$M115=$A$15),$M115&gt;(ROW(PLE.lastrow)-ROW(PLE.firstrow))),0,
           IF(OFFSET(PLE!$G$15,$M115-$A$15,BY$13)="",10^12,OFFSET(PLE!$G$15,$M115-$A$15,BY$13)))</f>
        <v>1000000000000</v>
      </c>
      <c r="BZ115" s="172">
        <f ca="1">IF(OR($D115&lt;&gt;"Serviço",AND(AUTOEVENTO="Manual",$M115=$A$15),$M115&gt;(ROW(PLE.lastrow)-ROW(PLE.firstrow))),0,
           IF(OFFSET(PLE!$G$15,$M115-$A$15,BZ$13)="",10^12,OFFSET(PLE!$G$15,$M115-$A$15,BZ$13)))</f>
        <v>1000000000000</v>
      </c>
      <c r="CA115" s="172">
        <f ca="1">IF(OR($D115&lt;&gt;"Serviço",AND(AUTOEVENTO="Manual",$M115=$A$15),$M115&gt;(ROW(PLE.lastrow)-ROW(PLE.firstrow))),0,
           IF(OFFSET(PLE!$G$15,$M115-$A$15,CA$13)="",10^12,OFFSET(PLE!$G$15,$M115-$A$15,CA$13)))</f>
        <v>1000000000000</v>
      </c>
      <c r="CB115" s="172">
        <f ca="1">IF(OR($D115&lt;&gt;"Serviço",AND(AUTOEVENTO="Manual",$M115=$A$15),$M115&gt;(ROW(PLE.lastrow)-ROW(PLE.firstrow))),0,
           IF(OFFSET(PLE!$G$15,$M115-$A$15,CB$13)="",10^12,OFFSET(PLE!$G$15,$M115-$A$15,CB$13)))</f>
        <v>1000000000000</v>
      </c>
      <c r="CC115" s="172">
        <f ca="1">IF(OR($D115&lt;&gt;"Serviço",AND(AUTOEVENTO="Manual",$M115=$A$15),$M115&gt;(ROW(PLE.lastrow)-ROW(PLE.firstrow))),0,
           IF(OFFSET(PLE!$G$15,$M115-$A$15,CC$13)="",10^12,OFFSET(PLE!$G$15,$M115-$A$15,CC$13)))</f>
        <v>1000000000000</v>
      </c>
      <c r="CD115" s="172">
        <f ca="1">IF(OR($D115&lt;&gt;"Serviço",AND(AUTOEVENTO="Manual",$M115=$A$15),$M115&gt;(ROW(PLE.lastrow)-ROW(PLE.firstrow))),0,
           IF(OFFSET(PLE!$G$15,$M115-$A$15,CD$13)="",10^12,OFFSET(PLE!$G$15,$M115-$A$15,CD$13)))</f>
        <v>1000000000000</v>
      </c>
      <c r="CE115" s="172">
        <f ca="1">IF(OR($D115&lt;&gt;"Serviço",AND(AUTOEVENTO="Manual",$M115=$A$15),$M115&gt;(ROW(PLE.lastrow)-ROW(PLE.firstrow))),0,
           IF(OFFSET(PLE!$G$15,$M115-$A$15,CE$13)="",10^12,OFFSET(PLE!$G$15,$M115-$A$15,CE$13)))</f>
        <v>1000000000000</v>
      </c>
      <c r="CF115" s="172">
        <f ca="1">IF(OR($D115&lt;&gt;"Serviço",AND(AUTOEVENTO="Manual",$M115=$A$15),$M115&gt;(ROW(PLE.lastrow)-ROW(PLE.firstrow))),0,
           IF(OFFSET(PLE!$G$15,$M115-$A$15,CF$13)="",10^12,OFFSET(PLE!$G$15,$M115-$A$15,CF$13)))</f>
        <v>1000000000000</v>
      </c>
      <c r="CG115" s="172">
        <f ca="1">IF(OR($D115&lt;&gt;"Serviço",AND(AUTOEVENTO="Manual",$M115=$A$15),$M115&gt;(ROW(PLE.lastrow)-ROW(PLE.firstrow))),0,
           IF(OFFSET(PLE!$G$15,$M115-$A$15,CG$13)="",10^12,OFFSET(PLE!$G$15,$M115-$A$15,CG$13)))</f>
        <v>1000000000000</v>
      </c>
      <c r="CH115" s="172">
        <f ca="1">IF(OR($D115&lt;&gt;"Serviço",AND(AUTOEVENTO="Manual",$M115=$A$15),$M115&gt;(ROW(PLE.lastrow)-ROW(PLE.firstrow))),0,
           IF(OFFSET(PLE!$G$15,$M115-$A$15,CH$13)="",10^12,OFFSET(PLE!$G$15,$M115-$A$15,CH$13)))</f>
        <v>1000000000000</v>
      </c>
      <c r="CI115" s="172">
        <f ca="1">IF(OR($D115&lt;&gt;"Serviço",AND(AUTOEVENTO="Manual",$M115=$A$15),$M115&gt;(ROW(PLE.lastrow)-ROW(PLE.firstrow))),0,
           IF(OFFSET(PLE!$G$15,$M115-$A$15,CI$13)="",10^12,OFFSET(PLE!$G$15,$M115-$A$15,CI$13)))</f>
        <v>1000000000000</v>
      </c>
      <c r="CJ115" s="172">
        <f ca="1">IF(OR($D115&lt;&gt;"Serviço",AND(AUTOEVENTO="Manual",$M115=$A$15),$M115&gt;(ROW(PLE.lastrow)-ROW(PLE.firstrow))),0,
           IF(OFFSET(PLE!$G$15,$M115-$A$15,CJ$13)="",10^12,OFFSET(PLE!$G$15,$M115-$A$15,CJ$13)))</f>
        <v>1000000000000</v>
      </c>
      <c r="CK115" s="172">
        <f ca="1">IF(OR($D115&lt;&gt;"Serviço",AND(AUTOEVENTO="Manual",$M115=$A$15),$M115&gt;(ROW(PLE.lastrow)-ROW(PLE.firstrow))),0,
           IF(OFFSET(PLE!$G$15,$M115-$A$15,CK$13)="",10^12,OFFSET(PLE!$G$15,$M115-$A$15,CK$13)))</f>
        <v>1000000000000</v>
      </c>
      <c r="CL115" s="172">
        <f ca="1">IF(OR($D115&lt;&gt;"Serviço",AND(AUTOEVENTO="Manual",$M115=$A$15),$M115&gt;(ROW(PLE.lastrow)-ROW(PLE.firstrow))),0,
           IF(OFFSET(PLE!$G$15,$M115-$A$15,CL$13)="",10^12,OFFSET(PLE!$G$15,$M115-$A$15,CL$13)))</f>
        <v>1000000000000</v>
      </c>
      <c r="CM115" s="172">
        <f ca="1">IF(OR($D115&lt;&gt;"Serviço",AND(AUTOEVENTO="Manual",$M115=$A$15),$M115&gt;(ROW(PLE.lastrow)-ROW(PLE.firstrow))),0,
           IF(OFFSET(PLE!$G$15,$M115-$A$15,CM$13)="",10^12,OFFSET(PLE!$G$15,$M115-$A$15,CM$13)))</f>
        <v>1000000000000</v>
      </c>
    </row>
    <row r="116" spans="1:91" ht="13.2" x14ac:dyDescent="0.25">
      <c r="A116" s="7" t="str">
        <f t="shared" ca="1" si="11"/>
        <v>101.</v>
      </c>
      <c r="B116" s="7">
        <f ca="1">OFFSET(ORÇAMENTO!C$15,ROW(B116)-ROW(B$15),0)</f>
        <v>2</v>
      </c>
      <c r="C116" s="7" t="str">
        <f ca="1">OFFSET(ORÇAMENTO!L$15,ROW(C116)-ROW(C$15),0)</f>
        <v>F</v>
      </c>
      <c r="D116" s="116" t="str">
        <f ca="1">OFFSET(ORÇAMENTO!N$15,ROW(D116)-ROW(D$15),0)</f>
        <v>Nível 2</v>
      </c>
      <c r="E116" s="117" t="str">
        <f ca="1">OFFSET(ORÇAMENTO!O$15,ROW(E116)-ROW(E$15),0)</f>
        <v>3.3.</v>
      </c>
      <c r="F116" s="163" t="str">
        <f ca="1">OFFSET(ORÇAMENTO!R$15,ROW(F116)-ROW(F$15),0)</f>
        <v>LOMBADAS TIPO A (3,70m de comprimento x 0,10m altura)</v>
      </c>
      <c r="G116" s="164" t="str">
        <f ca="1">IF($D116&lt;&gt;"Serviço","",OFFSET(ORÇAMENTO!S$15,ROW(G116)-ROW(G$15),0))</f>
        <v/>
      </c>
      <c r="H116" s="122" cm="1">
        <f t="array" aca="1" ref="H116" ca="1">IF($D116&lt;&gt;"Serviço",0,IF(ACOMPANHAMENTO="BM",ROUND(OFFSET(ORÇAMENTO!AJ$15,ROW(H116)-ROW(H$15),0),15-13*ORÇAMENTO!$AF$7),SUMPRODUCT(($Q$1:$AI$1=1)*ROUND($Q116:$AI116,15-13*ORÇAMENTO!$AF$7))))</f>
        <v>0</v>
      </c>
      <c r="I116" s="468"/>
      <c r="J116" s="651" t="str" cm="1">
        <f t="array" aca="1" ref="J116" ca="1">IF(OR(B116&lt;&gt;"S",CÁLCULO.FrentesPreenchidas=0),"",IF(AND(ACOMPANHAMENTO="PLE",AUTOEVENTO="Manual",OR(H116&gt;0,ORÇAMENTO!AC116="QUANT."),OR(K116="",M116=0,N116="")),"►E",IF(AND(ACOMPANHAMENTO="PLE",ORÇAMENTO!AC116="QUANT."),"►Q",IF(AND(ACOMPANHAMENTO="PLE",H116&lt;&gt;SUMPRODUCT(($Q$1:$AI$1=1)*ROUND(Q116:AI116,15))),"►S",IF(AND(COUNTIF($P$11:$AI$11,"▼")=0,H116&gt;0,I116=""),"◄M","")))))</f>
        <v/>
      </c>
      <c r="K116" s="652"/>
      <c r="L116" s="165" t="s">
        <v>764</v>
      </c>
      <c r="M116" s="166" t="str">
        <f ca="1">IF($D116&lt;&gt;"Serviço","",
          IF(AUTOEVENTO="manual",$A116,
                IF(ISERROR(MATCH($A116,$A$15:OFFSET($A116,-1,0),0)),MAX($M$15:OFFSET(M116,-1,0))+1,
                      INDEX($M$15:OFFSET(M116,-1,0),MATCH($A116,$A$15:OFFSET($A116,-1,0),0)))))</f>
        <v/>
      </c>
      <c r="N116" s="167" t="str">
        <f ca="1">IF($D116&lt;&gt;"Serviço","",
         IF(AUTOEVENTO="Manual",
                IF($A116=0,"&lt;-- defina o número do agrupador",
                       OFFSET(EVENTOS!$D$15,$A116-$A$15,0)),
                OFFSET($F$15,$A116,0)))</f>
        <v/>
      </c>
      <c r="O116" s="168"/>
      <c r="Q116" s="168"/>
      <c r="R116" s="169"/>
      <c r="S116" s="169"/>
      <c r="T116" s="169"/>
      <c r="U116" s="169"/>
      <c r="V116" s="169"/>
      <c r="W116" s="169"/>
      <c r="X116" s="169"/>
      <c r="Y116" s="169"/>
      <c r="Z116" s="170"/>
      <c r="AA116" s="169"/>
      <c r="AB116" s="169"/>
      <c r="AC116" s="169"/>
      <c r="AD116" s="169"/>
      <c r="AE116" s="169"/>
      <c r="AF116" s="169"/>
      <c r="AG116" s="169"/>
      <c r="AH116" s="170"/>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L116" s="453">
        <f ca="1">IF(AND($D116="Serviço",AL$12&lt;&gt;0,$H116&gt;0,OR(AUTOEVENTO&lt;&gt;"manual",$M116&lt;&gt;$A$15)),
        IF(Import.TipoArredondamento&lt;&gt;"TransfereGOV",
              ROUND(OFFSET($P116,0,AL$13),15-13*ORÇAMENTO!$AF$7)/$H116*OFFSET(ORÇAMENTO!$X$15,ROW(AL116)-ROW(AL$15),0),
              ROUND(ROUND(OFFSET($P116,0,AL$13),15-13*ORÇAMENTO!$AF$7)*OFFSET(ORÇAMENTO!$W$15,ROW(AL116)-ROW(AL$15),0),15-13*ORÇAMENTO!$AF$11)),
         0)</f>
        <v>0</v>
      </c>
      <c r="AM116" s="453">
        <f ca="1">IF(AND($D116="Serviço",AM$12&lt;&gt;0,$H116&gt;0,OR(AUTOEVENTO&lt;&gt;"manual",$M116&lt;&gt;$A$15)),
        IF(Import.TipoArredondamento&lt;&gt;"TransfereGOV",
              ROUND(OFFSET($P116,0,AM$13),15-13*ORÇAMENTO!$AF$7)/$H116*OFFSET(ORÇAMENTO!$X$15,ROW(AM116)-ROW(AM$15),0),
              ROUND(ROUND(OFFSET($P116,0,AM$13),15-13*ORÇAMENTO!$AF$7)*OFFSET(ORÇAMENTO!$W$15,ROW(AM116)-ROW(AM$15),0),15-13*ORÇAMENTO!$AF$11)),
         0)</f>
        <v>0</v>
      </c>
      <c r="AN116" s="453">
        <f ca="1">IF(AND($D116="Serviço",AN$12&lt;&gt;0,$H116&gt;0,OR(AUTOEVENTO&lt;&gt;"manual",$M116&lt;&gt;$A$15)),
        IF(Import.TipoArredondamento&lt;&gt;"TransfereGOV",
              ROUND(OFFSET($P116,0,AN$13),15-13*ORÇAMENTO!$AF$7)/$H116*OFFSET(ORÇAMENTO!$X$15,ROW(AN116)-ROW(AN$15),0),
              ROUND(ROUND(OFFSET($P116,0,AN$13),15-13*ORÇAMENTO!$AF$7)*OFFSET(ORÇAMENTO!$W$15,ROW(AN116)-ROW(AN$15),0),15-13*ORÇAMENTO!$AF$11)),
         0)</f>
        <v>0</v>
      </c>
      <c r="AO116" s="453">
        <f ca="1">IF(AND($D116="Serviço",AO$12&lt;&gt;0,$H116&gt;0,OR(AUTOEVENTO&lt;&gt;"manual",$M116&lt;&gt;$A$15)),
        IF(Import.TipoArredondamento&lt;&gt;"TransfereGOV",
              ROUND(OFFSET($P116,0,AO$13),15-13*ORÇAMENTO!$AF$7)/$H116*OFFSET(ORÇAMENTO!$X$15,ROW(AO116)-ROW(AO$15),0),
              ROUND(ROUND(OFFSET($P116,0,AO$13),15-13*ORÇAMENTO!$AF$7)*OFFSET(ORÇAMENTO!$W$15,ROW(AO116)-ROW(AO$15),0),15-13*ORÇAMENTO!$AF$11)),
         0)</f>
        <v>0</v>
      </c>
      <c r="AP116" s="453">
        <f ca="1">IF(AND($D116="Serviço",AP$12&lt;&gt;0,$H116&gt;0,OR(AUTOEVENTO&lt;&gt;"manual",$M116&lt;&gt;$A$15)),
        IF(Import.TipoArredondamento&lt;&gt;"TransfereGOV",
              ROUND(OFFSET($P116,0,AP$13),15-13*ORÇAMENTO!$AF$7)/$H116*OFFSET(ORÇAMENTO!$X$15,ROW(AP116)-ROW(AP$15),0),
              ROUND(ROUND(OFFSET($P116,0,AP$13),15-13*ORÇAMENTO!$AF$7)*OFFSET(ORÇAMENTO!$W$15,ROW(AP116)-ROW(AP$15),0),15-13*ORÇAMENTO!$AF$11)),
         0)</f>
        <v>0</v>
      </c>
      <c r="AQ116" s="453">
        <f ca="1">IF(AND($D116="Serviço",AQ$12&lt;&gt;0,$H116&gt;0,OR(AUTOEVENTO&lt;&gt;"manual",$M116&lt;&gt;$A$15)),
        IF(Import.TipoArredondamento&lt;&gt;"TransfereGOV",
              ROUND(OFFSET($P116,0,AQ$13),15-13*ORÇAMENTO!$AF$7)/$H116*OFFSET(ORÇAMENTO!$X$15,ROW(AQ116)-ROW(AQ$15),0),
              ROUND(ROUND(OFFSET($P116,0,AQ$13),15-13*ORÇAMENTO!$AF$7)*OFFSET(ORÇAMENTO!$W$15,ROW(AQ116)-ROW(AQ$15),0),15-13*ORÇAMENTO!$AF$11)),
         0)</f>
        <v>0</v>
      </c>
      <c r="AR116" s="453">
        <f ca="1">IF(AND($D116="Serviço",AR$12&lt;&gt;0,$H116&gt;0,OR(AUTOEVENTO&lt;&gt;"manual",$M116&lt;&gt;$A$15)),
        IF(Import.TipoArredondamento&lt;&gt;"TransfereGOV",
              ROUND(OFFSET($P116,0,AR$13),15-13*ORÇAMENTO!$AF$7)/$H116*OFFSET(ORÇAMENTO!$X$15,ROW(AR116)-ROW(AR$15),0),
              ROUND(ROUND(OFFSET($P116,0,AR$13),15-13*ORÇAMENTO!$AF$7)*OFFSET(ORÇAMENTO!$W$15,ROW(AR116)-ROW(AR$15),0),15-13*ORÇAMENTO!$AF$11)),
         0)</f>
        <v>0</v>
      </c>
      <c r="AS116" s="453">
        <f ca="1">IF(AND($D116="Serviço",AS$12&lt;&gt;0,$H116&gt;0,OR(AUTOEVENTO&lt;&gt;"manual",$M116&lt;&gt;$A$15)),
        IF(Import.TipoArredondamento&lt;&gt;"TransfereGOV",
              ROUND(OFFSET($P116,0,AS$13),15-13*ORÇAMENTO!$AF$7)/$H116*OFFSET(ORÇAMENTO!$X$15,ROW(AS116)-ROW(AS$15),0),
              ROUND(ROUND(OFFSET($P116,0,AS$13),15-13*ORÇAMENTO!$AF$7)*OFFSET(ORÇAMENTO!$W$15,ROW(AS116)-ROW(AS$15),0),15-13*ORÇAMENTO!$AF$11)),
         0)</f>
        <v>0</v>
      </c>
      <c r="AT116" s="453">
        <f ca="1">IF(AND($D116="Serviço",AT$12&lt;&gt;0,$H116&gt;0,OR(AUTOEVENTO&lt;&gt;"manual",$M116&lt;&gt;$A$15)),
        IF(Import.TipoArredondamento&lt;&gt;"TransfereGOV",
              ROUND(OFFSET($P116,0,AT$13),15-13*ORÇAMENTO!$AF$7)/$H116*OFFSET(ORÇAMENTO!$X$15,ROW(AT116)-ROW(AT$15),0),
              ROUND(ROUND(OFFSET($P116,0,AT$13),15-13*ORÇAMENTO!$AF$7)*OFFSET(ORÇAMENTO!$W$15,ROW(AT116)-ROW(AT$15),0),15-13*ORÇAMENTO!$AF$11)),
         0)</f>
        <v>0</v>
      </c>
      <c r="AU116" s="453">
        <f ca="1">IF(AND($D116="Serviço",AU$12&lt;&gt;0,$H116&gt;0,OR(AUTOEVENTO&lt;&gt;"manual",$M116&lt;&gt;$A$15)),
        IF(Import.TipoArredondamento&lt;&gt;"TransfereGOV",
              ROUND(OFFSET($P116,0,AU$13),15-13*ORÇAMENTO!$AF$7)/$H116*OFFSET(ORÇAMENTO!$X$15,ROW(AU116)-ROW(AU$15),0),
              ROUND(ROUND(OFFSET($P116,0,AU$13),15-13*ORÇAMENTO!$AF$7)*OFFSET(ORÇAMENTO!$W$15,ROW(AU116)-ROW(AU$15),0),15-13*ORÇAMENTO!$AF$11)),
         0)</f>
        <v>0</v>
      </c>
      <c r="AV116" s="453">
        <f ca="1">IF(AND($D116="Serviço",AV$12&lt;&gt;0,$H116&gt;0,OR(AUTOEVENTO&lt;&gt;"manual",$M116&lt;&gt;$A$15)),
        IF(Import.TipoArredondamento&lt;&gt;"TransfereGOV",
              ROUND(OFFSET($P116,0,AV$13),15-13*ORÇAMENTO!$AF$7)/$H116*OFFSET(ORÇAMENTO!$X$15,ROW(AV116)-ROW(AV$15),0),
              ROUND(ROUND(OFFSET($P116,0,AV$13),15-13*ORÇAMENTO!$AF$7)*OFFSET(ORÇAMENTO!$W$15,ROW(AV116)-ROW(AV$15),0),15-13*ORÇAMENTO!$AF$11)),
         0)</f>
        <v>0</v>
      </c>
      <c r="AW116" s="453">
        <f ca="1">IF(AND($D116="Serviço",AW$12&lt;&gt;0,$H116&gt;0,OR(AUTOEVENTO&lt;&gt;"manual",$M116&lt;&gt;$A$15)),
        IF(Import.TipoArredondamento&lt;&gt;"TransfereGOV",
              ROUND(OFFSET($P116,0,AW$13),15-13*ORÇAMENTO!$AF$7)/$H116*OFFSET(ORÇAMENTO!$X$15,ROW(AW116)-ROW(AW$15),0),
              ROUND(ROUND(OFFSET($P116,0,AW$13),15-13*ORÇAMENTO!$AF$7)*OFFSET(ORÇAMENTO!$W$15,ROW(AW116)-ROW(AW$15),0),15-13*ORÇAMENTO!$AF$11)),
         0)</f>
        <v>0</v>
      </c>
      <c r="AX116" s="453">
        <f ca="1">IF(AND($D116="Serviço",AX$12&lt;&gt;0,$H116&gt;0,OR(AUTOEVENTO&lt;&gt;"manual",$M116&lt;&gt;$A$15)),
        IF(Import.TipoArredondamento&lt;&gt;"TransfereGOV",
              ROUND(OFFSET($P116,0,AX$13),15-13*ORÇAMENTO!$AF$7)/$H116*OFFSET(ORÇAMENTO!$X$15,ROW(AX116)-ROW(AX$15),0),
              ROUND(ROUND(OFFSET($P116,0,AX$13),15-13*ORÇAMENTO!$AF$7)*OFFSET(ORÇAMENTO!$W$15,ROW(AX116)-ROW(AX$15),0),15-13*ORÇAMENTO!$AF$11)),
         0)</f>
        <v>0</v>
      </c>
      <c r="AY116" s="453">
        <f ca="1">IF(AND($D116="Serviço",AY$12&lt;&gt;0,$H116&gt;0,OR(AUTOEVENTO&lt;&gt;"manual",$M116&lt;&gt;$A$15)),
        IF(Import.TipoArredondamento&lt;&gt;"TransfereGOV",
              ROUND(OFFSET($P116,0,AY$13),15-13*ORÇAMENTO!$AF$7)/$H116*OFFSET(ORÇAMENTO!$X$15,ROW(AY116)-ROW(AY$15),0),
              ROUND(ROUND(OFFSET($P116,0,AY$13),15-13*ORÇAMENTO!$AF$7)*OFFSET(ORÇAMENTO!$W$15,ROW(AY116)-ROW(AY$15),0),15-13*ORÇAMENTO!$AF$11)),
         0)</f>
        <v>0</v>
      </c>
      <c r="AZ116" s="453">
        <f ca="1">IF(AND($D116="Serviço",AZ$12&lt;&gt;0,$H116&gt;0,OR(AUTOEVENTO&lt;&gt;"manual",$M116&lt;&gt;$A$15)),
        IF(Import.TipoArredondamento&lt;&gt;"TransfereGOV",
              ROUND(OFFSET($P116,0,AZ$13),15-13*ORÇAMENTO!$AF$7)/$H116*OFFSET(ORÇAMENTO!$X$15,ROW(AZ116)-ROW(AZ$15),0),
              ROUND(ROUND(OFFSET($P116,0,AZ$13),15-13*ORÇAMENTO!$AF$7)*OFFSET(ORÇAMENTO!$W$15,ROW(AZ116)-ROW(AZ$15),0),15-13*ORÇAMENTO!$AF$11)),
         0)</f>
        <v>0</v>
      </c>
      <c r="BA116" s="453">
        <f ca="1">IF(AND($D116="Serviço",BA$12&lt;&gt;0,$H116&gt;0,OR(AUTOEVENTO&lt;&gt;"manual",$M116&lt;&gt;$A$15)),
        IF(Import.TipoArredondamento&lt;&gt;"TransfereGOV",
              ROUND(OFFSET($P116,0,BA$13),15-13*ORÇAMENTO!$AF$7)/$H116*OFFSET(ORÇAMENTO!$X$15,ROW(BA116)-ROW(BA$15),0),
              ROUND(ROUND(OFFSET($P116,0,BA$13),15-13*ORÇAMENTO!$AF$7)*OFFSET(ORÇAMENTO!$W$15,ROW(BA116)-ROW(BA$15),0),15-13*ORÇAMENTO!$AF$11)),
         0)</f>
        <v>0</v>
      </c>
      <c r="BC116" s="171">
        <f ca="1">IF(OR($D116&lt;&gt;"Serviço",AND(AUTOEVENTO="Manual",$M116=$A$15)),0,
         IF(OFFSET(CRONOPLE!$F$15,$M116-$A$15,BC$13)=0,10^12,OFFSET(CRONOPLE!$F$15,$M116-$A$15,BC$13)))</f>
        <v>0</v>
      </c>
      <c r="BD116" s="171">
        <f ca="1">IF(OR($D116&lt;&gt;"Serviço",AND(AUTOEVENTO="Manual",$M116=$A$15)),0,
         IF(OFFSET(CRONOPLE!$F$15,$M116-$A$15,BD$13)=0,10^12,OFFSET(CRONOPLE!$F$15,$M116-$A$15,BD$13)))</f>
        <v>0</v>
      </c>
      <c r="BE116" s="171">
        <f ca="1">IF(OR($D116&lt;&gt;"Serviço",AND(AUTOEVENTO="Manual",$M116=$A$15)),0,
         IF(OFFSET(CRONOPLE!$F$15,$M116-$A$15,BE$13)=0,10^12,OFFSET(CRONOPLE!$F$15,$M116-$A$15,BE$13)))</f>
        <v>0</v>
      </c>
      <c r="BF116" s="171">
        <f ca="1">IF(OR($D116&lt;&gt;"Serviço",AND(AUTOEVENTO="Manual",$M116=$A$15)),0,
         IF(OFFSET(CRONOPLE!$F$15,$M116-$A$15,BF$13)=0,10^12,OFFSET(CRONOPLE!$F$15,$M116-$A$15,BF$13)))</f>
        <v>0</v>
      </c>
      <c r="BG116" s="171">
        <f ca="1">IF(OR($D116&lt;&gt;"Serviço",AND(AUTOEVENTO="Manual",$M116=$A$15)),0,
         IF(OFFSET(CRONOPLE!$F$15,$M116-$A$15,BG$13)=0,10^12,OFFSET(CRONOPLE!$F$15,$M116-$A$15,BG$13)))</f>
        <v>0</v>
      </c>
      <c r="BH116" s="171">
        <f ca="1">IF(OR($D116&lt;&gt;"Serviço",AND(AUTOEVENTO="Manual",$M116=$A$15)),0,
         IF(OFFSET(CRONOPLE!$F$15,$M116-$A$15,BH$13)=0,10^12,OFFSET(CRONOPLE!$F$15,$M116-$A$15,BH$13)))</f>
        <v>0</v>
      </c>
      <c r="BI116" s="171">
        <f ca="1">IF(OR($D116&lt;&gt;"Serviço",AND(AUTOEVENTO="Manual",$M116=$A$15)),0,
         IF(OFFSET(CRONOPLE!$F$15,$M116-$A$15,BI$13)=0,10^12,OFFSET(CRONOPLE!$F$15,$M116-$A$15,BI$13)))</f>
        <v>0</v>
      </c>
      <c r="BJ116" s="171">
        <f ca="1">IF(OR($D116&lt;&gt;"Serviço",AND(AUTOEVENTO="Manual",$M116=$A$15)),0,
         IF(OFFSET(CRONOPLE!$F$15,$M116-$A$15,BJ$13)=0,10^12,OFFSET(CRONOPLE!$F$15,$M116-$A$15,BJ$13)))</f>
        <v>0</v>
      </c>
      <c r="BK116" s="171">
        <f ca="1">IF(OR($D116&lt;&gt;"Serviço",AND(AUTOEVENTO="Manual",$M116=$A$15)),0,
         IF(OFFSET(CRONOPLE!$F$15,$M116-$A$15,BK$13)=0,10^12,OFFSET(CRONOPLE!$F$15,$M116-$A$15,BK$13)))</f>
        <v>0</v>
      </c>
      <c r="BL116" s="171">
        <f ca="1">IF(OR($D116&lt;&gt;"Serviço",AND(AUTOEVENTO="Manual",$M116=$A$15)),0,
         IF(OFFSET(CRONOPLE!$F$15,$M116-$A$15,BL$13)=0,10^12,OFFSET(CRONOPLE!$F$15,$M116-$A$15,BL$13)))</f>
        <v>0</v>
      </c>
      <c r="BM116" s="171">
        <f ca="1">IF(OR($D116&lt;&gt;"Serviço",AND(AUTOEVENTO="Manual",$M116=$A$15)),0,
         IF(OFFSET(CRONOPLE!$F$15,$M116-$A$15,BM$13)=0,10^12,OFFSET(CRONOPLE!$F$15,$M116-$A$15,BM$13)))</f>
        <v>0</v>
      </c>
      <c r="BN116" s="171">
        <f ca="1">IF(OR($D116&lt;&gt;"Serviço",AND(AUTOEVENTO="Manual",$M116=$A$15)),0,
         IF(OFFSET(CRONOPLE!$F$15,$M116-$A$15,BN$13)=0,10^12,OFFSET(CRONOPLE!$F$15,$M116-$A$15,BN$13)))</f>
        <v>0</v>
      </c>
      <c r="BO116" s="171">
        <f ca="1">IF(OR($D116&lt;&gt;"Serviço",AND(AUTOEVENTO="Manual",$M116=$A$15)),0,
         IF(OFFSET(CRONOPLE!$F$15,$M116-$A$15,BO$13)=0,10^12,OFFSET(CRONOPLE!$F$15,$M116-$A$15,BO$13)))</f>
        <v>0</v>
      </c>
      <c r="BP116" s="171">
        <f ca="1">IF(OR($D116&lt;&gt;"Serviço",AND(AUTOEVENTO="Manual",$M116=$A$15)),0,
         IF(OFFSET(CRONOPLE!$F$15,$M116-$A$15,BP$13)=0,10^12,OFFSET(CRONOPLE!$F$15,$M116-$A$15,BP$13)))</f>
        <v>0</v>
      </c>
      <c r="BQ116" s="171">
        <f ca="1">IF(OR($D116&lt;&gt;"Serviço",AND(AUTOEVENTO="Manual",$M116=$A$15)),0,
         IF(OFFSET(CRONOPLE!$F$15,$M116-$A$15,BQ$13)=0,10^12,OFFSET(CRONOPLE!$F$15,$M116-$A$15,BQ$13)))</f>
        <v>0</v>
      </c>
      <c r="BR116" s="171">
        <f ca="1">IF(OR($D116&lt;&gt;"Serviço",AND(AUTOEVENTO="Manual",$M116=$A$15)),0,
         IF(OFFSET(CRONOPLE!$F$15,$M116-$A$15,BR$13)=0,10^12,OFFSET(CRONOPLE!$F$15,$M116-$A$15,BR$13)))</f>
        <v>0</v>
      </c>
      <c r="BS116" s="171">
        <f ca="1">IF(OR($D116&lt;&gt;"Serviço",AND(AUTOEVENTO="Manual",$M116=$A$15)),0,
         IF(OFFSET(CRONOPLE!$F$15,$M116-$A$15,BS$13)=0,10^12,OFFSET(CRONOPLE!$F$15,$M116-$A$15,BS$13)))</f>
        <v>0</v>
      </c>
      <c r="BT116" s="171">
        <f ca="1">IF(OR($D116&lt;&gt;"Serviço",AND(AUTOEVENTO="Manual",$M116=$A$15)),0,
         IF(OFFSET(CRONOPLE!$F$15,$M116-$A$15,BT$13)=0,10^12,OFFSET(CRONOPLE!$F$15,$M116-$A$15,BT$13)))</f>
        <v>0</v>
      </c>
      <c r="BV116" s="172">
        <f ca="1">IF(OR($D116&lt;&gt;"Serviço",AND(AUTOEVENTO="Manual",$M116=$A$15),$M116&gt;(ROW(PLE.lastrow)-ROW(PLE.firstrow))),0,
           IF(OFFSET(PLE!$G$15,$M116-$A$15,BV$13)="",10^12,OFFSET(PLE!$G$15,$M116-$A$15,BV$13)))</f>
        <v>0</v>
      </c>
      <c r="BW116" s="172">
        <f ca="1">IF(OR($D116&lt;&gt;"Serviço",AND(AUTOEVENTO="Manual",$M116=$A$15),$M116&gt;(ROW(PLE.lastrow)-ROW(PLE.firstrow))),0,
           IF(OFFSET(PLE!$G$15,$M116-$A$15,BW$13)="",10^12,OFFSET(PLE!$G$15,$M116-$A$15,BW$13)))</f>
        <v>0</v>
      </c>
      <c r="BX116" s="172">
        <f ca="1">IF(OR($D116&lt;&gt;"Serviço",AND(AUTOEVENTO="Manual",$M116=$A$15),$M116&gt;(ROW(PLE.lastrow)-ROW(PLE.firstrow))),0,
           IF(OFFSET(PLE!$G$15,$M116-$A$15,BX$13)="",10^12,OFFSET(PLE!$G$15,$M116-$A$15,BX$13)))</f>
        <v>0</v>
      </c>
      <c r="BY116" s="172">
        <f ca="1">IF(OR($D116&lt;&gt;"Serviço",AND(AUTOEVENTO="Manual",$M116=$A$15),$M116&gt;(ROW(PLE.lastrow)-ROW(PLE.firstrow))),0,
           IF(OFFSET(PLE!$G$15,$M116-$A$15,BY$13)="",10^12,OFFSET(PLE!$G$15,$M116-$A$15,BY$13)))</f>
        <v>0</v>
      </c>
      <c r="BZ116" s="172">
        <f ca="1">IF(OR($D116&lt;&gt;"Serviço",AND(AUTOEVENTO="Manual",$M116=$A$15),$M116&gt;(ROW(PLE.lastrow)-ROW(PLE.firstrow))),0,
           IF(OFFSET(PLE!$G$15,$M116-$A$15,BZ$13)="",10^12,OFFSET(PLE!$G$15,$M116-$A$15,BZ$13)))</f>
        <v>0</v>
      </c>
      <c r="CA116" s="172">
        <f ca="1">IF(OR($D116&lt;&gt;"Serviço",AND(AUTOEVENTO="Manual",$M116=$A$15),$M116&gt;(ROW(PLE.lastrow)-ROW(PLE.firstrow))),0,
           IF(OFFSET(PLE!$G$15,$M116-$A$15,CA$13)="",10^12,OFFSET(PLE!$G$15,$M116-$A$15,CA$13)))</f>
        <v>0</v>
      </c>
      <c r="CB116" s="172">
        <f ca="1">IF(OR($D116&lt;&gt;"Serviço",AND(AUTOEVENTO="Manual",$M116=$A$15),$M116&gt;(ROW(PLE.lastrow)-ROW(PLE.firstrow))),0,
           IF(OFFSET(PLE!$G$15,$M116-$A$15,CB$13)="",10^12,OFFSET(PLE!$G$15,$M116-$A$15,CB$13)))</f>
        <v>0</v>
      </c>
      <c r="CC116" s="172">
        <f ca="1">IF(OR($D116&lt;&gt;"Serviço",AND(AUTOEVENTO="Manual",$M116=$A$15),$M116&gt;(ROW(PLE.lastrow)-ROW(PLE.firstrow))),0,
           IF(OFFSET(PLE!$G$15,$M116-$A$15,CC$13)="",10^12,OFFSET(PLE!$G$15,$M116-$A$15,CC$13)))</f>
        <v>0</v>
      </c>
      <c r="CD116" s="172">
        <f ca="1">IF(OR($D116&lt;&gt;"Serviço",AND(AUTOEVENTO="Manual",$M116=$A$15),$M116&gt;(ROW(PLE.lastrow)-ROW(PLE.firstrow))),0,
           IF(OFFSET(PLE!$G$15,$M116-$A$15,CD$13)="",10^12,OFFSET(PLE!$G$15,$M116-$A$15,CD$13)))</f>
        <v>0</v>
      </c>
      <c r="CE116" s="172">
        <f ca="1">IF(OR($D116&lt;&gt;"Serviço",AND(AUTOEVENTO="Manual",$M116=$A$15),$M116&gt;(ROW(PLE.lastrow)-ROW(PLE.firstrow))),0,
           IF(OFFSET(PLE!$G$15,$M116-$A$15,CE$13)="",10^12,OFFSET(PLE!$G$15,$M116-$A$15,CE$13)))</f>
        <v>0</v>
      </c>
      <c r="CF116" s="172">
        <f ca="1">IF(OR($D116&lt;&gt;"Serviço",AND(AUTOEVENTO="Manual",$M116=$A$15),$M116&gt;(ROW(PLE.lastrow)-ROW(PLE.firstrow))),0,
           IF(OFFSET(PLE!$G$15,$M116-$A$15,CF$13)="",10^12,OFFSET(PLE!$G$15,$M116-$A$15,CF$13)))</f>
        <v>0</v>
      </c>
      <c r="CG116" s="172">
        <f ca="1">IF(OR($D116&lt;&gt;"Serviço",AND(AUTOEVENTO="Manual",$M116=$A$15),$M116&gt;(ROW(PLE.lastrow)-ROW(PLE.firstrow))),0,
           IF(OFFSET(PLE!$G$15,$M116-$A$15,CG$13)="",10^12,OFFSET(PLE!$G$15,$M116-$A$15,CG$13)))</f>
        <v>0</v>
      </c>
      <c r="CH116" s="172">
        <f ca="1">IF(OR($D116&lt;&gt;"Serviço",AND(AUTOEVENTO="Manual",$M116=$A$15),$M116&gt;(ROW(PLE.lastrow)-ROW(PLE.firstrow))),0,
           IF(OFFSET(PLE!$G$15,$M116-$A$15,CH$13)="",10^12,OFFSET(PLE!$G$15,$M116-$A$15,CH$13)))</f>
        <v>0</v>
      </c>
      <c r="CI116" s="172">
        <f ca="1">IF(OR($D116&lt;&gt;"Serviço",AND(AUTOEVENTO="Manual",$M116=$A$15),$M116&gt;(ROW(PLE.lastrow)-ROW(PLE.firstrow))),0,
           IF(OFFSET(PLE!$G$15,$M116-$A$15,CI$13)="",10^12,OFFSET(PLE!$G$15,$M116-$A$15,CI$13)))</f>
        <v>0</v>
      </c>
      <c r="CJ116" s="172">
        <f ca="1">IF(OR($D116&lt;&gt;"Serviço",AND(AUTOEVENTO="Manual",$M116=$A$15),$M116&gt;(ROW(PLE.lastrow)-ROW(PLE.firstrow))),0,
           IF(OFFSET(PLE!$G$15,$M116-$A$15,CJ$13)="",10^12,OFFSET(PLE!$G$15,$M116-$A$15,CJ$13)))</f>
        <v>0</v>
      </c>
      <c r="CK116" s="172">
        <f ca="1">IF(OR($D116&lt;&gt;"Serviço",AND(AUTOEVENTO="Manual",$M116=$A$15),$M116&gt;(ROW(PLE.lastrow)-ROW(PLE.firstrow))),0,
           IF(OFFSET(PLE!$G$15,$M116-$A$15,CK$13)="",10^12,OFFSET(PLE!$G$15,$M116-$A$15,CK$13)))</f>
        <v>0</v>
      </c>
      <c r="CL116" s="172">
        <f ca="1">IF(OR($D116&lt;&gt;"Serviço",AND(AUTOEVENTO="Manual",$M116=$A$15),$M116&gt;(ROW(PLE.lastrow)-ROW(PLE.firstrow))),0,
           IF(OFFSET(PLE!$G$15,$M116-$A$15,CL$13)="",10^12,OFFSET(PLE!$G$15,$M116-$A$15,CL$13)))</f>
        <v>0</v>
      </c>
      <c r="CM116" s="172">
        <f ca="1">IF(OR($D116&lt;&gt;"Serviço",AND(AUTOEVENTO="Manual",$M116=$A$15),$M116&gt;(ROW(PLE.lastrow)-ROW(PLE.firstrow))),0,
           IF(OFFSET(PLE!$G$15,$M116-$A$15,CM$13)="",10^12,OFFSET(PLE!$G$15,$M116-$A$15,CM$13)))</f>
        <v>0</v>
      </c>
    </row>
    <row r="117" spans="1:91" ht="26.4" x14ac:dyDescent="0.25">
      <c r="A117" s="7" t="str">
        <f t="shared" ca="1" si="11"/>
        <v>101</v>
      </c>
      <c r="B117" s="7" t="str">
        <f ca="1">OFFSET(ORÇAMENTO!C$15,ROW(B117)-ROW(B$15),0)</f>
        <v>S</v>
      </c>
      <c r="C117" s="7" t="str">
        <f ca="1">OFFSET(ORÇAMENTO!L$15,ROW(C117)-ROW(C$15),0)</f>
        <v>F</v>
      </c>
      <c r="D117" s="116" t="str">
        <f ca="1">OFFSET(ORÇAMENTO!N$15,ROW(D117)-ROW(D$15),0)</f>
        <v>Serviço</v>
      </c>
      <c r="E117" s="117" t="str">
        <f ca="1">OFFSET(ORÇAMENTO!O$15,ROW(E117)-ROW(E$15),0)</f>
        <v>3.3.1.</v>
      </c>
      <c r="F117" s="163" t="str">
        <f ca="1">OFFSET(ORÇAMENTO!R$15,ROW(F117)-ROW(F$15),0)</f>
        <v>Pintura de ligação</v>
      </c>
      <c r="G117" s="164" t="str">
        <f ca="1">IF($D117&lt;&gt;"Serviço","",OFFSET(ORÇAMENTO!S$15,ROW(G117)-ROW(G$15),0))</f>
        <v>m²</v>
      </c>
      <c r="H117" s="122" cm="1">
        <f t="array" aca="1" ref="H117" ca="1">IF($D117&lt;&gt;"Serviço",0,IF(ACOMPANHAMENTO="BM",ROUND(OFFSET(ORÇAMENTO!AJ$15,ROW(H117)-ROW(H$15),0),15-13*ORÇAMENTO!$AF$7),SUMPRODUCT(($Q$1:$AI$1=1)*ROUND($Q117:$AI117,15-13*ORÇAMENTO!$AF$7))))</f>
        <v>28.12</v>
      </c>
      <c r="I117" s="468"/>
      <c r="J117" s="651" t="e" cm="1">
        <f t="array" aca="1" ref="J117" ca="1">IF(OR(B117&lt;&gt;"S",CÁLCULO.FrentesPreenchidas=0),"",IF(AND(ACOMPANHAMENTO="PLE",AUTOEVENTO="Manual",OR(H117&gt;0,ORÇAMENTO!AC117="QUANT."),OR(K117="",M117=0,N117="")),"►E",IF(AND(ACOMPANHAMENTO="PLE",ORÇAMENTO!AC117="QUANT."),"►Q",IF(AND(ACOMPANHAMENTO="PLE",H117&lt;&gt;SUMPRODUCT(($Q$1:$AI$1=1)*ROUND(Q117:AI117,15))),"►S",IF(AND(COUNTIF($P$11:$AI$11,"▼")=0,H117&gt;0,I117=""),"◄M","")))))</f>
        <v>#NAME?</v>
      </c>
      <c r="K117" s="652"/>
      <c r="L117" s="165" t="s">
        <v>764</v>
      </c>
      <c r="M117" s="166">
        <f ca="1">IF($D117&lt;&gt;"Serviço","",
          IF(AUTOEVENTO="manual",$A117,
                IF(ISERROR(MATCH($A117,$A$15:OFFSET($A117,-1,0),0)),MAX($M$15:OFFSET(M117,-1,0))+1,
                      INDEX($M$15:OFFSET(M117,-1,0),MATCH($A117,$A$15:OFFSET($A117,-1,0),0)))))</f>
        <v>16</v>
      </c>
      <c r="N117" s="167" t="str">
        <f ca="1">IF($D117&lt;&gt;"Serviço","",
         IF(AUTOEVENTO="Manual",
                IF($A117=0,"&lt;-- defina o número do agrupador",
                       OFFSET(EVENTOS!$D$15,$A117-$A$15,0)),
                OFFSET($F$15,$A117,0)))</f>
        <v>LOMBADAS TIPO A (3,70m de comprimento x 0,10m altura)</v>
      </c>
      <c r="O117" s="168"/>
      <c r="Q117" s="168"/>
      <c r="R117" s="169"/>
      <c r="S117" s="169"/>
      <c r="T117" s="169"/>
      <c r="U117" s="169">
        <v>28.12</v>
      </c>
      <c r="V117" s="169"/>
      <c r="W117" s="169"/>
      <c r="X117" s="169"/>
      <c r="Y117" s="169"/>
      <c r="Z117" s="170"/>
      <c r="AA117" s="169"/>
      <c r="AB117" s="169"/>
      <c r="AC117" s="169"/>
      <c r="AD117" s="169"/>
      <c r="AE117" s="169"/>
      <c r="AF117" s="169"/>
      <c r="AG117" s="169"/>
      <c r="AH117" s="170"/>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L117" s="453">
        <f ca="1">IF(AND($D117="Serviço",AL$12&lt;&gt;0,$H117&gt;0,OR(AUTOEVENTO&lt;&gt;"manual",$M117&lt;&gt;$A$15)),
        IF(Import.TipoArredondamento&lt;&gt;"TransfereGOV",
              ROUND(OFFSET($P117,0,AL$13),15-13*ORÇAMENTO!$AF$7)/$H117*OFFSET(ORÇAMENTO!$X$15,ROW(AL117)-ROW(AL$15),0),
              ROUND(ROUND(OFFSET($P117,0,AL$13),15-13*ORÇAMENTO!$AF$7)*OFFSET(ORÇAMENTO!$W$15,ROW(AL117)-ROW(AL$15),0),15-13*ORÇAMENTO!$AF$11)),
         0)</f>
        <v>0</v>
      </c>
      <c r="AM117" s="453">
        <f ca="1">IF(AND($D117="Serviço",AM$12&lt;&gt;0,$H117&gt;0,OR(AUTOEVENTO&lt;&gt;"manual",$M117&lt;&gt;$A$15)),
        IF(Import.TipoArredondamento&lt;&gt;"TransfereGOV",
              ROUND(OFFSET($P117,0,AM$13),15-13*ORÇAMENTO!$AF$7)/$H117*OFFSET(ORÇAMENTO!$X$15,ROW(AM117)-ROW(AM$15),0),
              ROUND(ROUND(OFFSET($P117,0,AM$13),15-13*ORÇAMENTO!$AF$7)*OFFSET(ORÇAMENTO!$W$15,ROW(AM117)-ROW(AM$15),0),15-13*ORÇAMENTO!$AF$11)),
         0)</f>
        <v>0</v>
      </c>
      <c r="AN117" s="453">
        <f ca="1">IF(AND($D117="Serviço",AN$12&lt;&gt;0,$H117&gt;0,OR(AUTOEVENTO&lt;&gt;"manual",$M117&lt;&gt;$A$15)),
        IF(Import.TipoArredondamento&lt;&gt;"TransfereGOV",
              ROUND(OFFSET($P117,0,AN$13),15-13*ORÇAMENTO!$AF$7)/$H117*OFFSET(ORÇAMENTO!$X$15,ROW(AN117)-ROW(AN$15),0),
              ROUND(ROUND(OFFSET($P117,0,AN$13),15-13*ORÇAMENTO!$AF$7)*OFFSET(ORÇAMENTO!$W$15,ROW(AN117)-ROW(AN$15),0),15-13*ORÇAMENTO!$AF$11)),
         0)</f>
        <v>16.03</v>
      </c>
      <c r="AO117" s="453">
        <f ca="1">IF(AND($D117="Serviço",AO$12&lt;&gt;0,$H117&gt;0,OR(AUTOEVENTO&lt;&gt;"manual",$M117&lt;&gt;$A$15)),
        IF(Import.TipoArredondamento&lt;&gt;"TransfereGOV",
              ROUND(OFFSET($P117,0,AO$13),15-13*ORÇAMENTO!$AF$7)/$H117*OFFSET(ORÇAMENTO!$X$15,ROW(AO117)-ROW(AO$15),0),
              ROUND(ROUND(OFFSET($P117,0,AO$13),15-13*ORÇAMENTO!$AF$7)*OFFSET(ORÇAMENTO!$W$15,ROW(AO117)-ROW(AO$15),0),15-13*ORÇAMENTO!$AF$11)),
         0)</f>
        <v>0</v>
      </c>
      <c r="AP117" s="453">
        <f ca="1">IF(AND($D117="Serviço",AP$12&lt;&gt;0,$H117&gt;0,OR(AUTOEVENTO&lt;&gt;"manual",$M117&lt;&gt;$A$15)),
        IF(Import.TipoArredondamento&lt;&gt;"TransfereGOV",
              ROUND(OFFSET($P117,0,AP$13),15-13*ORÇAMENTO!$AF$7)/$H117*OFFSET(ORÇAMENTO!$X$15,ROW(AP117)-ROW(AP$15),0),
              ROUND(ROUND(OFFSET($P117,0,AP$13),15-13*ORÇAMENTO!$AF$7)*OFFSET(ORÇAMENTO!$W$15,ROW(AP117)-ROW(AP$15),0),15-13*ORÇAMENTO!$AF$11)),
         0)</f>
        <v>0</v>
      </c>
      <c r="AQ117" s="453">
        <f ca="1">IF(AND($D117="Serviço",AQ$12&lt;&gt;0,$H117&gt;0,OR(AUTOEVENTO&lt;&gt;"manual",$M117&lt;&gt;$A$15)),
        IF(Import.TipoArredondamento&lt;&gt;"TransfereGOV",
              ROUND(OFFSET($P117,0,AQ$13),15-13*ORÇAMENTO!$AF$7)/$H117*OFFSET(ORÇAMENTO!$X$15,ROW(AQ117)-ROW(AQ$15),0),
              ROUND(ROUND(OFFSET($P117,0,AQ$13),15-13*ORÇAMENTO!$AF$7)*OFFSET(ORÇAMENTO!$W$15,ROW(AQ117)-ROW(AQ$15),0),15-13*ORÇAMENTO!$AF$11)),
         0)</f>
        <v>0</v>
      </c>
      <c r="AR117" s="453">
        <f ca="1">IF(AND($D117="Serviço",AR$12&lt;&gt;0,$H117&gt;0,OR(AUTOEVENTO&lt;&gt;"manual",$M117&lt;&gt;$A$15)),
        IF(Import.TipoArredondamento&lt;&gt;"TransfereGOV",
              ROUND(OFFSET($P117,0,AR$13),15-13*ORÇAMENTO!$AF$7)/$H117*OFFSET(ORÇAMENTO!$X$15,ROW(AR117)-ROW(AR$15),0),
              ROUND(ROUND(OFFSET($P117,0,AR$13),15-13*ORÇAMENTO!$AF$7)*OFFSET(ORÇAMENTO!$W$15,ROW(AR117)-ROW(AR$15),0),15-13*ORÇAMENTO!$AF$11)),
         0)</f>
        <v>0</v>
      </c>
      <c r="AS117" s="453">
        <f ca="1">IF(AND($D117="Serviço",AS$12&lt;&gt;0,$H117&gt;0,OR(AUTOEVENTO&lt;&gt;"manual",$M117&lt;&gt;$A$15)),
        IF(Import.TipoArredondamento&lt;&gt;"TransfereGOV",
              ROUND(OFFSET($P117,0,AS$13),15-13*ORÇAMENTO!$AF$7)/$H117*OFFSET(ORÇAMENTO!$X$15,ROW(AS117)-ROW(AS$15),0),
              ROUND(ROUND(OFFSET($P117,0,AS$13),15-13*ORÇAMENTO!$AF$7)*OFFSET(ORÇAMENTO!$W$15,ROW(AS117)-ROW(AS$15),0),15-13*ORÇAMENTO!$AF$11)),
         0)</f>
        <v>0</v>
      </c>
      <c r="AT117" s="453">
        <f ca="1">IF(AND($D117="Serviço",AT$12&lt;&gt;0,$H117&gt;0,OR(AUTOEVENTO&lt;&gt;"manual",$M117&lt;&gt;$A$15)),
        IF(Import.TipoArredondamento&lt;&gt;"TransfereGOV",
              ROUND(OFFSET($P117,0,AT$13),15-13*ORÇAMENTO!$AF$7)/$H117*OFFSET(ORÇAMENTO!$X$15,ROW(AT117)-ROW(AT$15),0),
              ROUND(ROUND(OFFSET($P117,0,AT$13),15-13*ORÇAMENTO!$AF$7)*OFFSET(ORÇAMENTO!$W$15,ROW(AT117)-ROW(AT$15),0),15-13*ORÇAMENTO!$AF$11)),
         0)</f>
        <v>0</v>
      </c>
      <c r="AU117" s="453">
        <f ca="1">IF(AND($D117="Serviço",AU$12&lt;&gt;0,$H117&gt;0,OR(AUTOEVENTO&lt;&gt;"manual",$M117&lt;&gt;$A$15)),
        IF(Import.TipoArredondamento&lt;&gt;"TransfereGOV",
              ROUND(OFFSET($P117,0,AU$13),15-13*ORÇAMENTO!$AF$7)/$H117*OFFSET(ORÇAMENTO!$X$15,ROW(AU117)-ROW(AU$15),0),
              ROUND(ROUND(OFFSET($P117,0,AU$13),15-13*ORÇAMENTO!$AF$7)*OFFSET(ORÇAMENTO!$W$15,ROW(AU117)-ROW(AU$15),0),15-13*ORÇAMENTO!$AF$11)),
         0)</f>
        <v>0</v>
      </c>
      <c r="AV117" s="453">
        <f ca="1">IF(AND($D117="Serviço",AV$12&lt;&gt;0,$H117&gt;0,OR(AUTOEVENTO&lt;&gt;"manual",$M117&lt;&gt;$A$15)),
        IF(Import.TipoArredondamento&lt;&gt;"TransfereGOV",
              ROUND(OFFSET($P117,0,AV$13),15-13*ORÇAMENTO!$AF$7)/$H117*OFFSET(ORÇAMENTO!$X$15,ROW(AV117)-ROW(AV$15),0),
              ROUND(ROUND(OFFSET($P117,0,AV$13),15-13*ORÇAMENTO!$AF$7)*OFFSET(ORÇAMENTO!$W$15,ROW(AV117)-ROW(AV$15),0),15-13*ORÇAMENTO!$AF$11)),
         0)</f>
        <v>0</v>
      </c>
      <c r="AW117" s="453">
        <f ca="1">IF(AND($D117="Serviço",AW$12&lt;&gt;0,$H117&gt;0,OR(AUTOEVENTO&lt;&gt;"manual",$M117&lt;&gt;$A$15)),
        IF(Import.TipoArredondamento&lt;&gt;"TransfereGOV",
              ROUND(OFFSET($P117,0,AW$13),15-13*ORÇAMENTO!$AF$7)/$H117*OFFSET(ORÇAMENTO!$X$15,ROW(AW117)-ROW(AW$15),0),
              ROUND(ROUND(OFFSET($P117,0,AW$13),15-13*ORÇAMENTO!$AF$7)*OFFSET(ORÇAMENTO!$W$15,ROW(AW117)-ROW(AW$15),0),15-13*ORÇAMENTO!$AF$11)),
         0)</f>
        <v>0</v>
      </c>
      <c r="AX117" s="453">
        <f ca="1">IF(AND($D117="Serviço",AX$12&lt;&gt;0,$H117&gt;0,OR(AUTOEVENTO&lt;&gt;"manual",$M117&lt;&gt;$A$15)),
        IF(Import.TipoArredondamento&lt;&gt;"TransfereGOV",
              ROUND(OFFSET($P117,0,AX$13),15-13*ORÇAMENTO!$AF$7)/$H117*OFFSET(ORÇAMENTO!$X$15,ROW(AX117)-ROW(AX$15),0),
              ROUND(ROUND(OFFSET($P117,0,AX$13),15-13*ORÇAMENTO!$AF$7)*OFFSET(ORÇAMENTO!$W$15,ROW(AX117)-ROW(AX$15),0),15-13*ORÇAMENTO!$AF$11)),
         0)</f>
        <v>0</v>
      </c>
      <c r="AY117" s="453">
        <f ca="1">IF(AND($D117="Serviço",AY$12&lt;&gt;0,$H117&gt;0,OR(AUTOEVENTO&lt;&gt;"manual",$M117&lt;&gt;$A$15)),
        IF(Import.TipoArredondamento&lt;&gt;"TransfereGOV",
              ROUND(OFFSET($P117,0,AY$13),15-13*ORÇAMENTO!$AF$7)/$H117*OFFSET(ORÇAMENTO!$X$15,ROW(AY117)-ROW(AY$15),0),
              ROUND(ROUND(OFFSET($P117,0,AY$13),15-13*ORÇAMENTO!$AF$7)*OFFSET(ORÇAMENTO!$W$15,ROW(AY117)-ROW(AY$15),0),15-13*ORÇAMENTO!$AF$11)),
         0)</f>
        <v>0</v>
      </c>
      <c r="AZ117" s="453">
        <f ca="1">IF(AND($D117="Serviço",AZ$12&lt;&gt;0,$H117&gt;0,OR(AUTOEVENTO&lt;&gt;"manual",$M117&lt;&gt;$A$15)),
        IF(Import.TipoArredondamento&lt;&gt;"TransfereGOV",
              ROUND(OFFSET($P117,0,AZ$13),15-13*ORÇAMENTO!$AF$7)/$H117*OFFSET(ORÇAMENTO!$X$15,ROW(AZ117)-ROW(AZ$15),0),
              ROUND(ROUND(OFFSET($P117,0,AZ$13),15-13*ORÇAMENTO!$AF$7)*OFFSET(ORÇAMENTO!$W$15,ROW(AZ117)-ROW(AZ$15),0),15-13*ORÇAMENTO!$AF$11)),
         0)</f>
        <v>0</v>
      </c>
      <c r="BA117" s="453">
        <f ca="1">IF(AND($D117="Serviço",BA$12&lt;&gt;0,$H117&gt;0,OR(AUTOEVENTO&lt;&gt;"manual",$M117&lt;&gt;$A$15)),
        IF(Import.TipoArredondamento&lt;&gt;"TransfereGOV",
              ROUND(OFFSET($P117,0,BA$13),15-13*ORÇAMENTO!$AF$7)/$H117*OFFSET(ORÇAMENTO!$X$15,ROW(BA117)-ROW(BA$15),0),
              ROUND(ROUND(OFFSET($P117,0,BA$13),15-13*ORÇAMENTO!$AF$7)*OFFSET(ORÇAMENTO!$W$15,ROW(BA117)-ROW(BA$15),0),15-13*ORÇAMENTO!$AF$11)),
         0)</f>
        <v>0</v>
      </c>
      <c r="BC117" s="171">
        <f ca="1">IF(OR($D117&lt;&gt;"Serviço",AND(AUTOEVENTO="Manual",$M117=$A$15)),0,
         IF(OFFSET(CRONOPLE!$F$15,$M117-$A$15,BC$13)=0,10^12,OFFSET(CRONOPLE!$F$15,$M117-$A$15,BC$13)))</f>
        <v>1000000000000</v>
      </c>
      <c r="BD117" s="171">
        <f ca="1">IF(OR($D117&lt;&gt;"Serviço",AND(AUTOEVENTO="Manual",$M117=$A$15)),0,
         IF(OFFSET(CRONOPLE!$F$15,$M117-$A$15,BD$13)=0,10^12,OFFSET(CRONOPLE!$F$15,$M117-$A$15,BD$13)))</f>
        <v>1000000000000</v>
      </c>
      <c r="BE117" s="171">
        <f ca="1">IF(OR($D117&lt;&gt;"Serviço",AND(AUTOEVENTO="Manual",$M117=$A$15)),0,
         IF(OFFSET(CRONOPLE!$F$15,$M117-$A$15,BE$13)=0,10^12,OFFSET(CRONOPLE!$F$15,$M117-$A$15,BE$13)))</f>
        <v>1000000000000</v>
      </c>
      <c r="BF117" s="171">
        <f ca="1">IF(OR($D117&lt;&gt;"Serviço",AND(AUTOEVENTO="Manual",$M117=$A$15)),0,
         IF(OFFSET(CRONOPLE!$F$15,$M117-$A$15,BF$13)=0,10^12,OFFSET(CRONOPLE!$F$15,$M117-$A$15,BF$13)))</f>
        <v>1000000000000</v>
      </c>
      <c r="BG117" s="171">
        <f ca="1">IF(OR($D117&lt;&gt;"Serviço",AND(AUTOEVENTO="Manual",$M117=$A$15)),0,
         IF(OFFSET(CRONOPLE!$F$15,$M117-$A$15,BG$13)=0,10^12,OFFSET(CRONOPLE!$F$15,$M117-$A$15,BG$13)))</f>
        <v>3</v>
      </c>
      <c r="BH117" s="171">
        <f ca="1">IF(OR($D117&lt;&gt;"Serviço",AND(AUTOEVENTO="Manual",$M117=$A$15)),0,
         IF(OFFSET(CRONOPLE!$F$15,$M117-$A$15,BH$13)=0,10^12,OFFSET(CRONOPLE!$F$15,$M117-$A$15,BH$13)))</f>
        <v>1000000000000</v>
      </c>
      <c r="BI117" s="171">
        <f ca="1">IF(OR($D117&lt;&gt;"Serviço",AND(AUTOEVENTO="Manual",$M117=$A$15)),0,
         IF(OFFSET(CRONOPLE!$F$15,$M117-$A$15,BI$13)=0,10^12,OFFSET(CRONOPLE!$F$15,$M117-$A$15,BI$13)))</f>
        <v>1000000000000</v>
      </c>
      <c r="BJ117" s="171">
        <f ca="1">IF(OR($D117&lt;&gt;"Serviço",AND(AUTOEVENTO="Manual",$M117=$A$15)),0,
         IF(OFFSET(CRONOPLE!$F$15,$M117-$A$15,BJ$13)=0,10^12,OFFSET(CRONOPLE!$F$15,$M117-$A$15,BJ$13)))</f>
        <v>1000000000000</v>
      </c>
      <c r="BK117" s="171">
        <f ca="1">IF(OR($D117&lt;&gt;"Serviço",AND(AUTOEVENTO="Manual",$M117=$A$15)),0,
         IF(OFFSET(CRONOPLE!$F$15,$M117-$A$15,BK$13)=0,10^12,OFFSET(CRONOPLE!$F$15,$M117-$A$15,BK$13)))</f>
        <v>1000000000000</v>
      </c>
      <c r="BL117" s="171">
        <f ca="1">IF(OR($D117&lt;&gt;"Serviço",AND(AUTOEVENTO="Manual",$M117=$A$15)),0,
         IF(OFFSET(CRONOPLE!$F$15,$M117-$A$15,BL$13)=0,10^12,OFFSET(CRONOPLE!$F$15,$M117-$A$15,BL$13)))</f>
        <v>1000000000000</v>
      </c>
      <c r="BM117" s="171">
        <f ca="1">IF(OR($D117&lt;&gt;"Serviço",AND(AUTOEVENTO="Manual",$M117=$A$15)),0,
         IF(OFFSET(CRONOPLE!$F$15,$M117-$A$15,BM$13)=0,10^12,OFFSET(CRONOPLE!$F$15,$M117-$A$15,BM$13)))</f>
        <v>1000000000000</v>
      </c>
      <c r="BN117" s="171">
        <f ca="1">IF(OR($D117&lt;&gt;"Serviço",AND(AUTOEVENTO="Manual",$M117=$A$15)),0,
         IF(OFFSET(CRONOPLE!$F$15,$M117-$A$15,BN$13)=0,10^12,OFFSET(CRONOPLE!$F$15,$M117-$A$15,BN$13)))</f>
        <v>1000000000000</v>
      </c>
      <c r="BO117" s="171">
        <f ca="1">IF(OR($D117&lt;&gt;"Serviço",AND(AUTOEVENTO="Manual",$M117=$A$15)),0,
         IF(OFFSET(CRONOPLE!$F$15,$M117-$A$15,BO$13)=0,10^12,OFFSET(CRONOPLE!$F$15,$M117-$A$15,BO$13)))</f>
        <v>1000000000000</v>
      </c>
      <c r="BP117" s="171">
        <f ca="1">IF(OR($D117&lt;&gt;"Serviço",AND(AUTOEVENTO="Manual",$M117=$A$15)),0,
         IF(OFFSET(CRONOPLE!$F$15,$M117-$A$15,BP$13)=0,10^12,OFFSET(CRONOPLE!$F$15,$M117-$A$15,BP$13)))</f>
        <v>1000000000000</v>
      </c>
      <c r="BQ117" s="171">
        <f ca="1">IF(OR($D117&lt;&gt;"Serviço",AND(AUTOEVENTO="Manual",$M117=$A$15)),0,
         IF(OFFSET(CRONOPLE!$F$15,$M117-$A$15,BQ$13)=0,10^12,OFFSET(CRONOPLE!$F$15,$M117-$A$15,BQ$13)))</f>
        <v>1000000000000</v>
      </c>
      <c r="BR117" s="171">
        <f ca="1">IF(OR($D117&lt;&gt;"Serviço",AND(AUTOEVENTO="Manual",$M117=$A$15)),0,
         IF(OFFSET(CRONOPLE!$F$15,$M117-$A$15,BR$13)=0,10^12,OFFSET(CRONOPLE!$F$15,$M117-$A$15,BR$13)))</f>
        <v>1000000000000</v>
      </c>
      <c r="BS117" s="171">
        <f ca="1">IF(OR($D117&lt;&gt;"Serviço",AND(AUTOEVENTO="Manual",$M117=$A$15)),0,
         IF(OFFSET(CRONOPLE!$F$15,$M117-$A$15,BS$13)=0,10^12,OFFSET(CRONOPLE!$F$15,$M117-$A$15,BS$13)))</f>
        <v>1000000000000</v>
      </c>
      <c r="BT117" s="171">
        <f ca="1">IF(OR($D117&lt;&gt;"Serviço",AND(AUTOEVENTO="Manual",$M117=$A$15)),0,
         IF(OFFSET(CRONOPLE!$F$15,$M117-$A$15,BT$13)=0,10^12,OFFSET(CRONOPLE!$F$15,$M117-$A$15,BT$13)))</f>
        <v>1000000000000</v>
      </c>
      <c r="BV117" s="172">
        <f ca="1">IF(OR($D117&lt;&gt;"Serviço",AND(AUTOEVENTO="Manual",$M117=$A$15),$M117&gt;(ROW(PLE.lastrow)-ROW(PLE.firstrow))),0,
           IF(OFFSET(PLE!$G$15,$M117-$A$15,BV$13)="",10^12,OFFSET(PLE!$G$15,$M117-$A$15,BV$13)))</f>
        <v>1000000000000</v>
      </c>
      <c r="BW117" s="172">
        <f ca="1">IF(OR($D117&lt;&gt;"Serviço",AND(AUTOEVENTO="Manual",$M117=$A$15),$M117&gt;(ROW(PLE.lastrow)-ROW(PLE.firstrow))),0,
           IF(OFFSET(PLE!$G$15,$M117-$A$15,BW$13)="",10^12,OFFSET(PLE!$G$15,$M117-$A$15,BW$13)))</f>
        <v>1000000000000</v>
      </c>
      <c r="BX117" s="172">
        <f ca="1">IF(OR($D117&lt;&gt;"Serviço",AND(AUTOEVENTO="Manual",$M117=$A$15),$M117&gt;(ROW(PLE.lastrow)-ROW(PLE.firstrow))),0,
           IF(OFFSET(PLE!$G$15,$M117-$A$15,BX$13)="",10^12,OFFSET(PLE!$G$15,$M117-$A$15,BX$13)))</f>
        <v>1000000000000</v>
      </c>
      <c r="BY117" s="172">
        <f ca="1">IF(OR($D117&lt;&gt;"Serviço",AND(AUTOEVENTO="Manual",$M117=$A$15),$M117&gt;(ROW(PLE.lastrow)-ROW(PLE.firstrow))),0,
           IF(OFFSET(PLE!$G$15,$M117-$A$15,BY$13)="",10^12,OFFSET(PLE!$G$15,$M117-$A$15,BY$13)))</f>
        <v>1000000000000</v>
      </c>
      <c r="BZ117" s="172">
        <f ca="1">IF(OR($D117&lt;&gt;"Serviço",AND(AUTOEVENTO="Manual",$M117=$A$15),$M117&gt;(ROW(PLE.lastrow)-ROW(PLE.firstrow))),0,
           IF(OFFSET(PLE!$G$15,$M117-$A$15,BZ$13)="",10^12,OFFSET(PLE!$G$15,$M117-$A$15,BZ$13)))</f>
        <v>1000000000000</v>
      </c>
      <c r="CA117" s="172">
        <f ca="1">IF(OR($D117&lt;&gt;"Serviço",AND(AUTOEVENTO="Manual",$M117=$A$15),$M117&gt;(ROW(PLE.lastrow)-ROW(PLE.firstrow))),0,
           IF(OFFSET(PLE!$G$15,$M117-$A$15,CA$13)="",10^12,OFFSET(PLE!$G$15,$M117-$A$15,CA$13)))</f>
        <v>1000000000000</v>
      </c>
      <c r="CB117" s="172">
        <f ca="1">IF(OR($D117&lt;&gt;"Serviço",AND(AUTOEVENTO="Manual",$M117=$A$15),$M117&gt;(ROW(PLE.lastrow)-ROW(PLE.firstrow))),0,
           IF(OFFSET(PLE!$G$15,$M117-$A$15,CB$13)="",10^12,OFFSET(PLE!$G$15,$M117-$A$15,CB$13)))</f>
        <v>1000000000000</v>
      </c>
      <c r="CC117" s="172">
        <f ca="1">IF(OR($D117&lt;&gt;"Serviço",AND(AUTOEVENTO="Manual",$M117=$A$15),$M117&gt;(ROW(PLE.lastrow)-ROW(PLE.firstrow))),0,
           IF(OFFSET(PLE!$G$15,$M117-$A$15,CC$13)="",10^12,OFFSET(PLE!$G$15,$M117-$A$15,CC$13)))</f>
        <v>1000000000000</v>
      </c>
      <c r="CD117" s="172">
        <f ca="1">IF(OR($D117&lt;&gt;"Serviço",AND(AUTOEVENTO="Manual",$M117=$A$15),$M117&gt;(ROW(PLE.lastrow)-ROW(PLE.firstrow))),0,
           IF(OFFSET(PLE!$G$15,$M117-$A$15,CD$13)="",10^12,OFFSET(PLE!$G$15,$M117-$A$15,CD$13)))</f>
        <v>1000000000000</v>
      </c>
      <c r="CE117" s="172">
        <f ca="1">IF(OR($D117&lt;&gt;"Serviço",AND(AUTOEVENTO="Manual",$M117=$A$15),$M117&gt;(ROW(PLE.lastrow)-ROW(PLE.firstrow))),0,
           IF(OFFSET(PLE!$G$15,$M117-$A$15,CE$13)="",10^12,OFFSET(PLE!$G$15,$M117-$A$15,CE$13)))</f>
        <v>1000000000000</v>
      </c>
      <c r="CF117" s="172">
        <f ca="1">IF(OR($D117&lt;&gt;"Serviço",AND(AUTOEVENTO="Manual",$M117=$A$15),$M117&gt;(ROW(PLE.lastrow)-ROW(PLE.firstrow))),0,
           IF(OFFSET(PLE!$G$15,$M117-$A$15,CF$13)="",10^12,OFFSET(PLE!$G$15,$M117-$A$15,CF$13)))</f>
        <v>1000000000000</v>
      </c>
      <c r="CG117" s="172">
        <f ca="1">IF(OR($D117&lt;&gt;"Serviço",AND(AUTOEVENTO="Manual",$M117=$A$15),$M117&gt;(ROW(PLE.lastrow)-ROW(PLE.firstrow))),0,
           IF(OFFSET(PLE!$G$15,$M117-$A$15,CG$13)="",10^12,OFFSET(PLE!$G$15,$M117-$A$15,CG$13)))</f>
        <v>1000000000000</v>
      </c>
      <c r="CH117" s="172">
        <f ca="1">IF(OR($D117&lt;&gt;"Serviço",AND(AUTOEVENTO="Manual",$M117=$A$15),$M117&gt;(ROW(PLE.lastrow)-ROW(PLE.firstrow))),0,
           IF(OFFSET(PLE!$G$15,$M117-$A$15,CH$13)="",10^12,OFFSET(PLE!$G$15,$M117-$A$15,CH$13)))</f>
        <v>1000000000000</v>
      </c>
      <c r="CI117" s="172">
        <f ca="1">IF(OR($D117&lt;&gt;"Serviço",AND(AUTOEVENTO="Manual",$M117=$A$15),$M117&gt;(ROW(PLE.lastrow)-ROW(PLE.firstrow))),0,
           IF(OFFSET(PLE!$G$15,$M117-$A$15,CI$13)="",10^12,OFFSET(PLE!$G$15,$M117-$A$15,CI$13)))</f>
        <v>1000000000000</v>
      </c>
      <c r="CJ117" s="172">
        <f ca="1">IF(OR($D117&lt;&gt;"Serviço",AND(AUTOEVENTO="Manual",$M117=$A$15),$M117&gt;(ROW(PLE.lastrow)-ROW(PLE.firstrow))),0,
           IF(OFFSET(PLE!$G$15,$M117-$A$15,CJ$13)="",10^12,OFFSET(PLE!$G$15,$M117-$A$15,CJ$13)))</f>
        <v>1000000000000</v>
      </c>
      <c r="CK117" s="172">
        <f ca="1">IF(OR($D117&lt;&gt;"Serviço",AND(AUTOEVENTO="Manual",$M117=$A$15),$M117&gt;(ROW(PLE.lastrow)-ROW(PLE.firstrow))),0,
           IF(OFFSET(PLE!$G$15,$M117-$A$15,CK$13)="",10^12,OFFSET(PLE!$G$15,$M117-$A$15,CK$13)))</f>
        <v>1000000000000</v>
      </c>
      <c r="CL117" s="172">
        <f ca="1">IF(OR($D117&lt;&gt;"Serviço",AND(AUTOEVENTO="Manual",$M117=$A$15),$M117&gt;(ROW(PLE.lastrow)-ROW(PLE.firstrow))),0,
           IF(OFFSET(PLE!$G$15,$M117-$A$15,CL$13)="",10^12,OFFSET(PLE!$G$15,$M117-$A$15,CL$13)))</f>
        <v>1000000000000</v>
      </c>
      <c r="CM117" s="172">
        <f ca="1">IF(OR($D117&lt;&gt;"Serviço",AND(AUTOEVENTO="Manual",$M117=$A$15),$M117&gt;(ROW(PLE.lastrow)-ROW(PLE.firstrow))),0,
           IF(OFFSET(PLE!$G$15,$M117-$A$15,CM$13)="",10^12,OFFSET(PLE!$G$15,$M117-$A$15,CM$13)))</f>
        <v>1000000000000</v>
      </c>
    </row>
    <row r="118" spans="1:91" ht="26.4" x14ac:dyDescent="0.25">
      <c r="A118" s="7" t="str">
        <f t="shared" ca="1" si="11"/>
        <v>101</v>
      </c>
      <c r="B118" s="7" t="str">
        <f ca="1">OFFSET(ORÇAMENTO!C$15,ROW(B118)-ROW(B$15),0)</f>
        <v>S</v>
      </c>
      <c r="C118" s="7" t="str">
        <f ca="1">OFFSET(ORÇAMENTO!L$15,ROW(C118)-ROW(C$15),0)</f>
        <v>F</v>
      </c>
      <c r="D118" s="116" t="str">
        <f ca="1">OFFSET(ORÇAMENTO!N$15,ROW(D118)-ROW(D$15),0)</f>
        <v>Serviço</v>
      </c>
      <c r="E118" s="117" t="str">
        <f ca="1">OFFSET(ORÇAMENTO!O$15,ROW(E118)-ROW(E$15),0)</f>
        <v>3.3.2.</v>
      </c>
      <c r="F118" s="163" t="str">
        <f ca="1">OFFSET(ORÇAMENTO!R$15,ROW(F118)-ROW(F$15),0)</f>
        <v>EMULSÃO ASFÁLTICA RR-1C COLETADO NA ANP, ACRESCIDO DE IMPOSTOS (ICMS, PIS, COFINS)</v>
      </c>
      <c r="G118" s="164" t="str">
        <f ca="1">IF($D118&lt;&gt;"Serviço","",OFFSET(ORÇAMENTO!S$15,ROW(G118)-ROW(G$15),0))</f>
        <v>KG</v>
      </c>
      <c r="H118" s="122" cm="1">
        <f t="array" aca="1" ref="H118" ca="1">IF($D118&lt;&gt;"Serviço",0,IF(ACOMPANHAMENTO="BM",ROUND(OFFSET(ORÇAMENTO!AJ$15,ROW(H118)-ROW(H$15),0),15-13*ORÇAMENTO!$AF$7),SUMPRODUCT(($Q$1:$AI$1=1)*ROUND($Q118:$AI118,15-13*ORÇAMENTO!$AF$7))))</f>
        <v>12.65</v>
      </c>
      <c r="I118" s="468"/>
      <c r="J118" s="651" t="e" cm="1">
        <f t="array" aca="1" ref="J118" ca="1">IF(OR(B118&lt;&gt;"S",CÁLCULO.FrentesPreenchidas=0),"",IF(AND(ACOMPANHAMENTO="PLE",AUTOEVENTO="Manual",OR(H118&gt;0,ORÇAMENTO!AC118="QUANT."),OR(K118="",M118=0,N118="")),"►E",IF(AND(ACOMPANHAMENTO="PLE",ORÇAMENTO!AC118="QUANT."),"►Q",IF(AND(ACOMPANHAMENTO="PLE",H118&lt;&gt;SUMPRODUCT(($Q$1:$AI$1=1)*ROUND(Q118:AI118,15))),"►S",IF(AND(COUNTIF($P$11:$AI$11,"▼")=0,H118&gt;0,I118=""),"◄M","")))))</f>
        <v>#NAME?</v>
      </c>
      <c r="K118" s="652"/>
      <c r="L118" s="165" t="s">
        <v>764</v>
      </c>
      <c r="M118" s="166">
        <f ca="1">IF($D118&lt;&gt;"Serviço","",
          IF(AUTOEVENTO="manual",$A118,
                IF(ISERROR(MATCH($A118,$A$15:OFFSET($A118,-1,0),0)),MAX($M$15:OFFSET(M118,-1,0))+1,
                      INDEX($M$15:OFFSET(M118,-1,0),MATCH($A118,$A$15:OFFSET($A118,-1,0),0)))))</f>
        <v>16</v>
      </c>
      <c r="N118" s="167" t="str">
        <f ca="1">IF($D118&lt;&gt;"Serviço","",
         IF(AUTOEVENTO="Manual",
                IF($A118=0,"&lt;-- defina o número do agrupador",
                       OFFSET(EVENTOS!$D$15,$A118-$A$15,0)),
                OFFSET($F$15,$A118,0)))</f>
        <v>LOMBADAS TIPO A (3,70m de comprimento x 0,10m altura)</v>
      </c>
      <c r="O118" s="168"/>
      <c r="Q118" s="168"/>
      <c r="R118" s="169"/>
      <c r="S118" s="169"/>
      <c r="T118" s="169"/>
      <c r="U118" s="169">
        <f>TRUNC(U117*0.45,2)</f>
        <v>12.65</v>
      </c>
      <c r="V118" s="169"/>
      <c r="W118" s="169"/>
      <c r="X118" s="169"/>
      <c r="Y118" s="169"/>
      <c r="Z118" s="170"/>
      <c r="AA118" s="169"/>
      <c r="AB118" s="169"/>
      <c r="AC118" s="169"/>
      <c r="AD118" s="169"/>
      <c r="AE118" s="169"/>
      <c r="AF118" s="169"/>
      <c r="AG118" s="169"/>
      <c r="AH118" s="170"/>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L118" s="453">
        <f ca="1">IF(AND($D118="Serviço",AL$12&lt;&gt;0,$H118&gt;0,OR(AUTOEVENTO&lt;&gt;"manual",$M118&lt;&gt;$A$15)),
        IF(Import.TipoArredondamento&lt;&gt;"TransfereGOV",
              ROUND(OFFSET($P118,0,AL$13),15-13*ORÇAMENTO!$AF$7)/$H118*OFFSET(ORÇAMENTO!$X$15,ROW(AL118)-ROW(AL$15),0),
              ROUND(ROUND(OFFSET($P118,0,AL$13),15-13*ORÇAMENTO!$AF$7)*OFFSET(ORÇAMENTO!$W$15,ROW(AL118)-ROW(AL$15),0),15-13*ORÇAMENTO!$AF$11)),
         0)</f>
        <v>0</v>
      </c>
      <c r="AM118" s="453">
        <f ca="1">IF(AND($D118="Serviço",AM$12&lt;&gt;0,$H118&gt;0,OR(AUTOEVENTO&lt;&gt;"manual",$M118&lt;&gt;$A$15)),
        IF(Import.TipoArredondamento&lt;&gt;"TransfereGOV",
              ROUND(OFFSET($P118,0,AM$13),15-13*ORÇAMENTO!$AF$7)/$H118*OFFSET(ORÇAMENTO!$X$15,ROW(AM118)-ROW(AM$15),0),
              ROUND(ROUND(OFFSET($P118,0,AM$13),15-13*ORÇAMENTO!$AF$7)*OFFSET(ORÇAMENTO!$W$15,ROW(AM118)-ROW(AM$15),0),15-13*ORÇAMENTO!$AF$11)),
         0)</f>
        <v>0</v>
      </c>
      <c r="AN118" s="453">
        <f ca="1">IF(AND($D118="Serviço",AN$12&lt;&gt;0,$H118&gt;0,OR(AUTOEVENTO&lt;&gt;"manual",$M118&lt;&gt;$A$15)),
        IF(Import.TipoArredondamento&lt;&gt;"TransfereGOV",
              ROUND(OFFSET($P118,0,AN$13),15-13*ORÇAMENTO!$AF$7)/$H118*OFFSET(ORÇAMENTO!$X$15,ROW(AN118)-ROW(AN$15),0),
              ROUND(ROUND(OFFSET($P118,0,AN$13),15-13*ORÇAMENTO!$AF$7)*OFFSET(ORÇAMENTO!$W$15,ROW(AN118)-ROW(AN$15),0),15-13*ORÇAMENTO!$AF$11)),
         0)</f>
        <v>53.26</v>
      </c>
      <c r="AO118" s="453">
        <f ca="1">IF(AND($D118="Serviço",AO$12&lt;&gt;0,$H118&gt;0,OR(AUTOEVENTO&lt;&gt;"manual",$M118&lt;&gt;$A$15)),
        IF(Import.TipoArredondamento&lt;&gt;"TransfereGOV",
              ROUND(OFFSET($P118,0,AO$13),15-13*ORÇAMENTO!$AF$7)/$H118*OFFSET(ORÇAMENTO!$X$15,ROW(AO118)-ROW(AO$15),0),
              ROUND(ROUND(OFFSET($P118,0,AO$13),15-13*ORÇAMENTO!$AF$7)*OFFSET(ORÇAMENTO!$W$15,ROW(AO118)-ROW(AO$15),0),15-13*ORÇAMENTO!$AF$11)),
         0)</f>
        <v>0</v>
      </c>
      <c r="AP118" s="453">
        <f ca="1">IF(AND($D118="Serviço",AP$12&lt;&gt;0,$H118&gt;0,OR(AUTOEVENTO&lt;&gt;"manual",$M118&lt;&gt;$A$15)),
        IF(Import.TipoArredondamento&lt;&gt;"TransfereGOV",
              ROUND(OFFSET($P118,0,AP$13),15-13*ORÇAMENTO!$AF$7)/$H118*OFFSET(ORÇAMENTO!$X$15,ROW(AP118)-ROW(AP$15),0),
              ROUND(ROUND(OFFSET($P118,0,AP$13),15-13*ORÇAMENTO!$AF$7)*OFFSET(ORÇAMENTO!$W$15,ROW(AP118)-ROW(AP$15),0),15-13*ORÇAMENTO!$AF$11)),
         0)</f>
        <v>0</v>
      </c>
      <c r="AQ118" s="453">
        <f ca="1">IF(AND($D118="Serviço",AQ$12&lt;&gt;0,$H118&gt;0,OR(AUTOEVENTO&lt;&gt;"manual",$M118&lt;&gt;$A$15)),
        IF(Import.TipoArredondamento&lt;&gt;"TransfereGOV",
              ROUND(OFFSET($P118,0,AQ$13),15-13*ORÇAMENTO!$AF$7)/$H118*OFFSET(ORÇAMENTO!$X$15,ROW(AQ118)-ROW(AQ$15),0),
              ROUND(ROUND(OFFSET($P118,0,AQ$13),15-13*ORÇAMENTO!$AF$7)*OFFSET(ORÇAMENTO!$W$15,ROW(AQ118)-ROW(AQ$15),0),15-13*ORÇAMENTO!$AF$11)),
         0)</f>
        <v>0</v>
      </c>
      <c r="AR118" s="453">
        <f ca="1">IF(AND($D118="Serviço",AR$12&lt;&gt;0,$H118&gt;0,OR(AUTOEVENTO&lt;&gt;"manual",$M118&lt;&gt;$A$15)),
        IF(Import.TipoArredondamento&lt;&gt;"TransfereGOV",
              ROUND(OFFSET($P118,0,AR$13),15-13*ORÇAMENTO!$AF$7)/$H118*OFFSET(ORÇAMENTO!$X$15,ROW(AR118)-ROW(AR$15),0),
              ROUND(ROUND(OFFSET($P118,0,AR$13),15-13*ORÇAMENTO!$AF$7)*OFFSET(ORÇAMENTO!$W$15,ROW(AR118)-ROW(AR$15),0),15-13*ORÇAMENTO!$AF$11)),
         0)</f>
        <v>0</v>
      </c>
      <c r="AS118" s="453">
        <f ca="1">IF(AND($D118="Serviço",AS$12&lt;&gt;0,$H118&gt;0,OR(AUTOEVENTO&lt;&gt;"manual",$M118&lt;&gt;$A$15)),
        IF(Import.TipoArredondamento&lt;&gt;"TransfereGOV",
              ROUND(OFFSET($P118,0,AS$13),15-13*ORÇAMENTO!$AF$7)/$H118*OFFSET(ORÇAMENTO!$X$15,ROW(AS118)-ROW(AS$15),0),
              ROUND(ROUND(OFFSET($P118,0,AS$13),15-13*ORÇAMENTO!$AF$7)*OFFSET(ORÇAMENTO!$W$15,ROW(AS118)-ROW(AS$15),0),15-13*ORÇAMENTO!$AF$11)),
         0)</f>
        <v>0</v>
      </c>
      <c r="AT118" s="453">
        <f ca="1">IF(AND($D118="Serviço",AT$12&lt;&gt;0,$H118&gt;0,OR(AUTOEVENTO&lt;&gt;"manual",$M118&lt;&gt;$A$15)),
        IF(Import.TipoArredondamento&lt;&gt;"TransfereGOV",
              ROUND(OFFSET($P118,0,AT$13),15-13*ORÇAMENTO!$AF$7)/$H118*OFFSET(ORÇAMENTO!$X$15,ROW(AT118)-ROW(AT$15),0),
              ROUND(ROUND(OFFSET($P118,0,AT$13),15-13*ORÇAMENTO!$AF$7)*OFFSET(ORÇAMENTO!$W$15,ROW(AT118)-ROW(AT$15),0),15-13*ORÇAMENTO!$AF$11)),
         0)</f>
        <v>0</v>
      </c>
      <c r="AU118" s="453">
        <f ca="1">IF(AND($D118="Serviço",AU$12&lt;&gt;0,$H118&gt;0,OR(AUTOEVENTO&lt;&gt;"manual",$M118&lt;&gt;$A$15)),
        IF(Import.TipoArredondamento&lt;&gt;"TransfereGOV",
              ROUND(OFFSET($P118,0,AU$13),15-13*ORÇAMENTO!$AF$7)/$H118*OFFSET(ORÇAMENTO!$X$15,ROW(AU118)-ROW(AU$15),0),
              ROUND(ROUND(OFFSET($P118,0,AU$13),15-13*ORÇAMENTO!$AF$7)*OFFSET(ORÇAMENTO!$W$15,ROW(AU118)-ROW(AU$15),0),15-13*ORÇAMENTO!$AF$11)),
         0)</f>
        <v>0</v>
      </c>
      <c r="AV118" s="453">
        <f ca="1">IF(AND($D118="Serviço",AV$12&lt;&gt;0,$H118&gt;0,OR(AUTOEVENTO&lt;&gt;"manual",$M118&lt;&gt;$A$15)),
        IF(Import.TipoArredondamento&lt;&gt;"TransfereGOV",
              ROUND(OFFSET($P118,0,AV$13),15-13*ORÇAMENTO!$AF$7)/$H118*OFFSET(ORÇAMENTO!$X$15,ROW(AV118)-ROW(AV$15),0),
              ROUND(ROUND(OFFSET($P118,0,AV$13),15-13*ORÇAMENTO!$AF$7)*OFFSET(ORÇAMENTO!$W$15,ROW(AV118)-ROW(AV$15),0),15-13*ORÇAMENTO!$AF$11)),
         0)</f>
        <v>0</v>
      </c>
      <c r="AW118" s="453">
        <f ca="1">IF(AND($D118="Serviço",AW$12&lt;&gt;0,$H118&gt;0,OR(AUTOEVENTO&lt;&gt;"manual",$M118&lt;&gt;$A$15)),
        IF(Import.TipoArredondamento&lt;&gt;"TransfereGOV",
              ROUND(OFFSET($P118,0,AW$13),15-13*ORÇAMENTO!$AF$7)/$H118*OFFSET(ORÇAMENTO!$X$15,ROW(AW118)-ROW(AW$15),0),
              ROUND(ROUND(OFFSET($P118,0,AW$13),15-13*ORÇAMENTO!$AF$7)*OFFSET(ORÇAMENTO!$W$15,ROW(AW118)-ROW(AW$15),0),15-13*ORÇAMENTO!$AF$11)),
         0)</f>
        <v>0</v>
      </c>
      <c r="AX118" s="453">
        <f ca="1">IF(AND($D118="Serviço",AX$12&lt;&gt;0,$H118&gt;0,OR(AUTOEVENTO&lt;&gt;"manual",$M118&lt;&gt;$A$15)),
        IF(Import.TipoArredondamento&lt;&gt;"TransfereGOV",
              ROUND(OFFSET($P118,0,AX$13),15-13*ORÇAMENTO!$AF$7)/$H118*OFFSET(ORÇAMENTO!$X$15,ROW(AX118)-ROW(AX$15),0),
              ROUND(ROUND(OFFSET($P118,0,AX$13),15-13*ORÇAMENTO!$AF$7)*OFFSET(ORÇAMENTO!$W$15,ROW(AX118)-ROW(AX$15),0),15-13*ORÇAMENTO!$AF$11)),
         0)</f>
        <v>0</v>
      </c>
      <c r="AY118" s="453">
        <f ca="1">IF(AND($D118="Serviço",AY$12&lt;&gt;0,$H118&gt;0,OR(AUTOEVENTO&lt;&gt;"manual",$M118&lt;&gt;$A$15)),
        IF(Import.TipoArredondamento&lt;&gt;"TransfereGOV",
              ROUND(OFFSET($P118,0,AY$13),15-13*ORÇAMENTO!$AF$7)/$H118*OFFSET(ORÇAMENTO!$X$15,ROW(AY118)-ROW(AY$15),0),
              ROUND(ROUND(OFFSET($P118,0,AY$13),15-13*ORÇAMENTO!$AF$7)*OFFSET(ORÇAMENTO!$W$15,ROW(AY118)-ROW(AY$15),0),15-13*ORÇAMENTO!$AF$11)),
         0)</f>
        <v>0</v>
      </c>
      <c r="AZ118" s="453">
        <f ca="1">IF(AND($D118="Serviço",AZ$12&lt;&gt;0,$H118&gt;0,OR(AUTOEVENTO&lt;&gt;"manual",$M118&lt;&gt;$A$15)),
        IF(Import.TipoArredondamento&lt;&gt;"TransfereGOV",
              ROUND(OFFSET($P118,0,AZ$13),15-13*ORÇAMENTO!$AF$7)/$H118*OFFSET(ORÇAMENTO!$X$15,ROW(AZ118)-ROW(AZ$15),0),
              ROUND(ROUND(OFFSET($P118,0,AZ$13),15-13*ORÇAMENTO!$AF$7)*OFFSET(ORÇAMENTO!$W$15,ROW(AZ118)-ROW(AZ$15),0),15-13*ORÇAMENTO!$AF$11)),
         0)</f>
        <v>0</v>
      </c>
      <c r="BA118" s="453">
        <f ca="1">IF(AND($D118="Serviço",BA$12&lt;&gt;0,$H118&gt;0,OR(AUTOEVENTO&lt;&gt;"manual",$M118&lt;&gt;$A$15)),
        IF(Import.TipoArredondamento&lt;&gt;"TransfereGOV",
              ROUND(OFFSET($P118,0,BA$13),15-13*ORÇAMENTO!$AF$7)/$H118*OFFSET(ORÇAMENTO!$X$15,ROW(BA118)-ROW(BA$15),0),
              ROUND(ROUND(OFFSET($P118,0,BA$13),15-13*ORÇAMENTO!$AF$7)*OFFSET(ORÇAMENTO!$W$15,ROW(BA118)-ROW(BA$15),0),15-13*ORÇAMENTO!$AF$11)),
         0)</f>
        <v>0</v>
      </c>
      <c r="BC118" s="171">
        <f ca="1">IF(OR($D118&lt;&gt;"Serviço",AND(AUTOEVENTO="Manual",$M118=$A$15)),0,
         IF(OFFSET(CRONOPLE!$F$15,$M118-$A$15,BC$13)=0,10^12,OFFSET(CRONOPLE!$F$15,$M118-$A$15,BC$13)))</f>
        <v>1000000000000</v>
      </c>
      <c r="BD118" s="171">
        <f ca="1">IF(OR($D118&lt;&gt;"Serviço",AND(AUTOEVENTO="Manual",$M118=$A$15)),0,
         IF(OFFSET(CRONOPLE!$F$15,$M118-$A$15,BD$13)=0,10^12,OFFSET(CRONOPLE!$F$15,$M118-$A$15,BD$13)))</f>
        <v>1000000000000</v>
      </c>
      <c r="BE118" s="171">
        <f ca="1">IF(OR($D118&lt;&gt;"Serviço",AND(AUTOEVENTO="Manual",$M118=$A$15)),0,
         IF(OFFSET(CRONOPLE!$F$15,$M118-$A$15,BE$13)=0,10^12,OFFSET(CRONOPLE!$F$15,$M118-$A$15,BE$13)))</f>
        <v>1000000000000</v>
      </c>
      <c r="BF118" s="171">
        <f ca="1">IF(OR($D118&lt;&gt;"Serviço",AND(AUTOEVENTO="Manual",$M118=$A$15)),0,
         IF(OFFSET(CRONOPLE!$F$15,$M118-$A$15,BF$13)=0,10^12,OFFSET(CRONOPLE!$F$15,$M118-$A$15,BF$13)))</f>
        <v>1000000000000</v>
      </c>
      <c r="BG118" s="171">
        <f ca="1">IF(OR($D118&lt;&gt;"Serviço",AND(AUTOEVENTO="Manual",$M118=$A$15)),0,
         IF(OFFSET(CRONOPLE!$F$15,$M118-$A$15,BG$13)=0,10^12,OFFSET(CRONOPLE!$F$15,$M118-$A$15,BG$13)))</f>
        <v>3</v>
      </c>
      <c r="BH118" s="171">
        <f ca="1">IF(OR($D118&lt;&gt;"Serviço",AND(AUTOEVENTO="Manual",$M118=$A$15)),0,
         IF(OFFSET(CRONOPLE!$F$15,$M118-$A$15,BH$13)=0,10^12,OFFSET(CRONOPLE!$F$15,$M118-$A$15,BH$13)))</f>
        <v>1000000000000</v>
      </c>
      <c r="BI118" s="171">
        <f ca="1">IF(OR($D118&lt;&gt;"Serviço",AND(AUTOEVENTO="Manual",$M118=$A$15)),0,
         IF(OFFSET(CRONOPLE!$F$15,$M118-$A$15,BI$13)=0,10^12,OFFSET(CRONOPLE!$F$15,$M118-$A$15,BI$13)))</f>
        <v>1000000000000</v>
      </c>
      <c r="BJ118" s="171">
        <f ca="1">IF(OR($D118&lt;&gt;"Serviço",AND(AUTOEVENTO="Manual",$M118=$A$15)),0,
         IF(OFFSET(CRONOPLE!$F$15,$M118-$A$15,BJ$13)=0,10^12,OFFSET(CRONOPLE!$F$15,$M118-$A$15,BJ$13)))</f>
        <v>1000000000000</v>
      </c>
      <c r="BK118" s="171">
        <f ca="1">IF(OR($D118&lt;&gt;"Serviço",AND(AUTOEVENTO="Manual",$M118=$A$15)),0,
         IF(OFFSET(CRONOPLE!$F$15,$M118-$A$15,BK$13)=0,10^12,OFFSET(CRONOPLE!$F$15,$M118-$A$15,BK$13)))</f>
        <v>1000000000000</v>
      </c>
      <c r="BL118" s="171">
        <f ca="1">IF(OR($D118&lt;&gt;"Serviço",AND(AUTOEVENTO="Manual",$M118=$A$15)),0,
         IF(OFFSET(CRONOPLE!$F$15,$M118-$A$15,BL$13)=0,10^12,OFFSET(CRONOPLE!$F$15,$M118-$A$15,BL$13)))</f>
        <v>1000000000000</v>
      </c>
      <c r="BM118" s="171">
        <f ca="1">IF(OR($D118&lt;&gt;"Serviço",AND(AUTOEVENTO="Manual",$M118=$A$15)),0,
         IF(OFFSET(CRONOPLE!$F$15,$M118-$A$15,BM$13)=0,10^12,OFFSET(CRONOPLE!$F$15,$M118-$A$15,BM$13)))</f>
        <v>1000000000000</v>
      </c>
      <c r="BN118" s="171">
        <f ca="1">IF(OR($D118&lt;&gt;"Serviço",AND(AUTOEVENTO="Manual",$M118=$A$15)),0,
         IF(OFFSET(CRONOPLE!$F$15,$M118-$A$15,BN$13)=0,10^12,OFFSET(CRONOPLE!$F$15,$M118-$A$15,BN$13)))</f>
        <v>1000000000000</v>
      </c>
      <c r="BO118" s="171">
        <f ca="1">IF(OR($D118&lt;&gt;"Serviço",AND(AUTOEVENTO="Manual",$M118=$A$15)),0,
         IF(OFFSET(CRONOPLE!$F$15,$M118-$A$15,BO$13)=0,10^12,OFFSET(CRONOPLE!$F$15,$M118-$A$15,BO$13)))</f>
        <v>1000000000000</v>
      </c>
      <c r="BP118" s="171">
        <f ca="1">IF(OR($D118&lt;&gt;"Serviço",AND(AUTOEVENTO="Manual",$M118=$A$15)),0,
         IF(OFFSET(CRONOPLE!$F$15,$M118-$A$15,BP$13)=0,10^12,OFFSET(CRONOPLE!$F$15,$M118-$A$15,BP$13)))</f>
        <v>1000000000000</v>
      </c>
      <c r="BQ118" s="171">
        <f ca="1">IF(OR($D118&lt;&gt;"Serviço",AND(AUTOEVENTO="Manual",$M118=$A$15)),0,
         IF(OFFSET(CRONOPLE!$F$15,$M118-$A$15,BQ$13)=0,10^12,OFFSET(CRONOPLE!$F$15,$M118-$A$15,BQ$13)))</f>
        <v>1000000000000</v>
      </c>
      <c r="BR118" s="171">
        <f ca="1">IF(OR($D118&lt;&gt;"Serviço",AND(AUTOEVENTO="Manual",$M118=$A$15)),0,
         IF(OFFSET(CRONOPLE!$F$15,$M118-$A$15,BR$13)=0,10^12,OFFSET(CRONOPLE!$F$15,$M118-$A$15,BR$13)))</f>
        <v>1000000000000</v>
      </c>
      <c r="BS118" s="171">
        <f ca="1">IF(OR($D118&lt;&gt;"Serviço",AND(AUTOEVENTO="Manual",$M118=$A$15)),0,
         IF(OFFSET(CRONOPLE!$F$15,$M118-$A$15,BS$13)=0,10^12,OFFSET(CRONOPLE!$F$15,$M118-$A$15,BS$13)))</f>
        <v>1000000000000</v>
      </c>
      <c r="BT118" s="171">
        <f ca="1">IF(OR($D118&lt;&gt;"Serviço",AND(AUTOEVENTO="Manual",$M118=$A$15)),0,
         IF(OFFSET(CRONOPLE!$F$15,$M118-$A$15,BT$13)=0,10^12,OFFSET(CRONOPLE!$F$15,$M118-$A$15,BT$13)))</f>
        <v>1000000000000</v>
      </c>
      <c r="BV118" s="172">
        <f ca="1">IF(OR($D118&lt;&gt;"Serviço",AND(AUTOEVENTO="Manual",$M118=$A$15),$M118&gt;(ROW(PLE.lastrow)-ROW(PLE.firstrow))),0,
           IF(OFFSET(PLE!$G$15,$M118-$A$15,BV$13)="",10^12,OFFSET(PLE!$G$15,$M118-$A$15,BV$13)))</f>
        <v>1000000000000</v>
      </c>
      <c r="BW118" s="172">
        <f ca="1">IF(OR($D118&lt;&gt;"Serviço",AND(AUTOEVENTO="Manual",$M118=$A$15),$M118&gt;(ROW(PLE.lastrow)-ROW(PLE.firstrow))),0,
           IF(OFFSET(PLE!$G$15,$M118-$A$15,BW$13)="",10^12,OFFSET(PLE!$G$15,$M118-$A$15,BW$13)))</f>
        <v>1000000000000</v>
      </c>
      <c r="BX118" s="172">
        <f ca="1">IF(OR($D118&lt;&gt;"Serviço",AND(AUTOEVENTO="Manual",$M118=$A$15),$M118&gt;(ROW(PLE.lastrow)-ROW(PLE.firstrow))),0,
           IF(OFFSET(PLE!$G$15,$M118-$A$15,BX$13)="",10^12,OFFSET(PLE!$G$15,$M118-$A$15,BX$13)))</f>
        <v>1000000000000</v>
      </c>
      <c r="BY118" s="172">
        <f ca="1">IF(OR($D118&lt;&gt;"Serviço",AND(AUTOEVENTO="Manual",$M118=$A$15),$M118&gt;(ROW(PLE.lastrow)-ROW(PLE.firstrow))),0,
           IF(OFFSET(PLE!$G$15,$M118-$A$15,BY$13)="",10^12,OFFSET(PLE!$G$15,$M118-$A$15,BY$13)))</f>
        <v>1000000000000</v>
      </c>
      <c r="BZ118" s="172">
        <f ca="1">IF(OR($D118&lt;&gt;"Serviço",AND(AUTOEVENTO="Manual",$M118=$A$15),$M118&gt;(ROW(PLE.lastrow)-ROW(PLE.firstrow))),0,
           IF(OFFSET(PLE!$G$15,$M118-$A$15,BZ$13)="",10^12,OFFSET(PLE!$G$15,$M118-$A$15,BZ$13)))</f>
        <v>1000000000000</v>
      </c>
      <c r="CA118" s="172">
        <f ca="1">IF(OR($D118&lt;&gt;"Serviço",AND(AUTOEVENTO="Manual",$M118=$A$15),$M118&gt;(ROW(PLE.lastrow)-ROW(PLE.firstrow))),0,
           IF(OFFSET(PLE!$G$15,$M118-$A$15,CA$13)="",10^12,OFFSET(PLE!$G$15,$M118-$A$15,CA$13)))</f>
        <v>1000000000000</v>
      </c>
      <c r="CB118" s="172">
        <f ca="1">IF(OR($D118&lt;&gt;"Serviço",AND(AUTOEVENTO="Manual",$M118=$A$15),$M118&gt;(ROW(PLE.lastrow)-ROW(PLE.firstrow))),0,
           IF(OFFSET(PLE!$G$15,$M118-$A$15,CB$13)="",10^12,OFFSET(PLE!$G$15,$M118-$A$15,CB$13)))</f>
        <v>1000000000000</v>
      </c>
      <c r="CC118" s="172">
        <f ca="1">IF(OR($D118&lt;&gt;"Serviço",AND(AUTOEVENTO="Manual",$M118=$A$15),$M118&gt;(ROW(PLE.lastrow)-ROW(PLE.firstrow))),0,
           IF(OFFSET(PLE!$G$15,$M118-$A$15,CC$13)="",10^12,OFFSET(PLE!$G$15,$M118-$A$15,CC$13)))</f>
        <v>1000000000000</v>
      </c>
      <c r="CD118" s="172">
        <f ca="1">IF(OR($D118&lt;&gt;"Serviço",AND(AUTOEVENTO="Manual",$M118=$A$15),$M118&gt;(ROW(PLE.lastrow)-ROW(PLE.firstrow))),0,
           IF(OFFSET(PLE!$G$15,$M118-$A$15,CD$13)="",10^12,OFFSET(PLE!$G$15,$M118-$A$15,CD$13)))</f>
        <v>1000000000000</v>
      </c>
      <c r="CE118" s="172">
        <f ca="1">IF(OR($D118&lt;&gt;"Serviço",AND(AUTOEVENTO="Manual",$M118=$A$15),$M118&gt;(ROW(PLE.lastrow)-ROW(PLE.firstrow))),0,
           IF(OFFSET(PLE!$G$15,$M118-$A$15,CE$13)="",10^12,OFFSET(PLE!$G$15,$M118-$A$15,CE$13)))</f>
        <v>1000000000000</v>
      </c>
      <c r="CF118" s="172">
        <f ca="1">IF(OR($D118&lt;&gt;"Serviço",AND(AUTOEVENTO="Manual",$M118=$A$15),$M118&gt;(ROW(PLE.lastrow)-ROW(PLE.firstrow))),0,
           IF(OFFSET(PLE!$G$15,$M118-$A$15,CF$13)="",10^12,OFFSET(PLE!$G$15,$M118-$A$15,CF$13)))</f>
        <v>1000000000000</v>
      </c>
      <c r="CG118" s="172">
        <f ca="1">IF(OR($D118&lt;&gt;"Serviço",AND(AUTOEVENTO="Manual",$M118=$A$15),$M118&gt;(ROW(PLE.lastrow)-ROW(PLE.firstrow))),0,
           IF(OFFSET(PLE!$G$15,$M118-$A$15,CG$13)="",10^12,OFFSET(PLE!$G$15,$M118-$A$15,CG$13)))</f>
        <v>1000000000000</v>
      </c>
      <c r="CH118" s="172">
        <f ca="1">IF(OR($D118&lt;&gt;"Serviço",AND(AUTOEVENTO="Manual",$M118=$A$15),$M118&gt;(ROW(PLE.lastrow)-ROW(PLE.firstrow))),0,
           IF(OFFSET(PLE!$G$15,$M118-$A$15,CH$13)="",10^12,OFFSET(PLE!$G$15,$M118-$A$15,CH$13)))</f>
        <v>1000000000000</v>
      </c>
      <c r="CI118" s="172">
        <f ca="1">IF(OR($D118&lt;&gt;"Serviço",AND(AUTOEVENTO="Manual",$M118=$A$15),$M118&gt;(ROW(PLE.lastrow)-ROW(PLE.firstrow))),0,
           IF(OFFSET(PLE!$G$15,$M118-$A$15,CI$13)="",10^12,OFFSET(PLE!$G$15,$M118-$A$15,CI$13)))</f>
        <v>1000000000000</v>
      </c>
      <c r="CJ118" s="172">
        <f ca="1">IF(OR($D118&lt;&gt;"Serviço",AND(AUTOEVENTO="Manual",$M118=$A$15),$M118&gt;(ROW(PLE.lastrow)-ROW(PLE.firstrow))),0,
           IF(OFFSET(PLE!$G$15,$M118-$A$15,CJ$13)="",10^12,OFFSET(PLE!$G$15,$M118-$A$15,CJ$13)))</f>
        <v>1000000000000</v>
      </c>
      <c r="CK118" s="172">
        <f ca="1">IF(OR($D118&lt;&gt;"Serviço",AND(AUTOEVENTO="Manual",$M118=$A$15),$M118&gt;(ROW(PLE.lastrow)-ROW(PLE.firstrow))),0,
           IF(OFFSET(PLE!$G$15,$M118-$A$15,CK$13)="",10^12,OFFSET(PLE!$G$15,$M118-$A$15,CK$13)))</f>
        <v>1000000000000</v>
      </c>
      <c r="CL118" s="172">
        <f ca="1">IF(OR($D118&lt;&gt;"Serviço",AND(AUTOEVENTO="Manual",$M118=$A$15),$M118&gt;(ROW(PLE.lastrow)-ROW(PLE.firstrow))),0,
           IF(OFFSET(PLE!$G$15,$M118-$A$15,CL$13)="",10^12,OFFSET(PLE!$G$15,$M118-$A$15,CL$13)))</f>
        <v>1000000000000</v>
      </c>
      <c r="CM118" s="172">
        <f ca="1">IF(OR($D118&lt;&gt;"Serviço",AND(AUTOEVENTO="Manual",$M118=$A$15),$M118&gt;(ROW(PLE.lastrow)-ROW(PLE.firstrow))),0,
           IF(OFFSET(PLE!$G$15,$M118-$A$15,CM$13)="",10^12,OFFSET(PLE!$G$15,$M118-$A$15,CM$13)))</f>
        <v>1000000000000</v>
      </c>
    </row>
    <row r="119" spans="1:91" ht="26.4" x14ac:dyDescent="0.25">
      <c r="A119" s="7" t="str">
        <f t="shared" ca="1" si="11"/>
        <v>101</v>
      </c>
      <c r="B119" s="7" t="str">
        <f ca="1">OFFSET(ORÇAMENTO!C$15,ROW(B119)-ROW(B$15),0)</f>
        <v>S</v>
      </c>
      <c r="C119" s="7" t="str">
        <f ca="1">OFFSET(ORÇAMENTO!L$15,ROW(C119)-ROW(C$15),0)</f>
        <v>F</v>
      </c>
      <c r="D119" s="116" t="str">
        <f ca="1">OFFSET(ORÇAMENTO!N$15,ROW(D119)-ROW(D$15),0)</f>
        <v>Serviço</v>
      </c>
      <c r="E119" s="117" t="str">
        <f ca="1">OFFSET(ORÇAMENTO!O$15,ROW(E119)-ROW(E$15),0)</f>
        <v>3.3.3.</v>
      </c>
      <c r="F119" s="163" t="str">
        <f ca="1">OFFSET(ORÇAMENTO!R$15,ROW(F119)-ROW(F$15),0)</f>
        <v>Transporte de material betuminoso com caminhão tanque distribuidor - rodovia pavimentada</v>
      </c>
      <c r="G119" s="164" t="str">
        <f ca="1">IF($D119&lt;&gt;"Serviço","",OFFSET(ORÇAMENTO!S$15,ROW(G119)-ROW(G$15),0))</f>
        <v>tkm</v>
      </c>
      <c r="H119" s="122" cm="1">
        <f t="array" aca="1" ref="H119" ca="1">IF($D119&lt;&gt;"Serviço",0,IF(ACOMPANHAMENTO="BM",ROUND(OFFSET(ORÇAMENTO!AJ$15,ROW(H119)-ROW(H$15),0),15-13*ORÇAMENTO!$AF$7),SUMPRODUCT(($Q$1:$AI$1=1)*ROUND($Q119:$AI119,15-13*ORÇAMENTO!$AF$7))))</f>
        <v>4.26</v>
      </c>
      <c r="I119" s="468"/>
      <c r="J119" s="651" t="e" cm="1">
        <f t="array" aca="1" ref="J119" ca="1">IF(OR(B119&lt;&gt;"S",CÁLCULO.FrentesPreenchidas=0),"",IF(AND(ACOMPANHAMENTO="PLE",AUTOEVENTO="Manual",OR(H119&gt;0,ORÇAMENTO!AC119="QUANT."),OR(K119="",M119=0,N119="")),"►E",IF(AND(ACOMPANHAMENTO="PLE",ORÇAMENTO!AC119="QUANT."),"►Q",IF(AND(ACOMPANHAMENTO="PLE",H119&lt;&gt;SUMPRODUCT(($Q$1:$AI$1=1)*ROUND(Q119:AI119,15))),"►S",IF(AND(COUNTIF($P$11:$AI$11,"▼")=0,H119&gt;0,I119=""),"◄M","")))))</f>
        <v>#NAME?</v>
      </c>
      <c r="K119" s="652"/>
      <c r="L119" s="165" t="s">
        <v>764</v>
      </c>
      <c r="M119" s="166">
        <f ca="1">IF($D119&lt;&gt;"Serviço","",
          IF(AUTOEVENTO="manual",$A119,
                IF(ISERROR(MATCH($A119,$A$15:OFFSET($A119,-1,0),0)),MAX($M$15:OFFSET(M119,-1,0))+1,
                      INDEX($M$15:OFFSET(M119,-1,0),MATCH($A119,$A$15:OFFSET($A119,-1,0),0)))))</f>
        <v>16</v>
      </c>
      <c r="N119" s="167" t="str">
        <f ca="1">IF($D119&lt;&gt;"Serviço","",
         IF(AUTOEVENTO="Manual",
                IF($A119=0,"&lt;-- defina o número do agrupador",
                       OFFSET(EVENTOS!$D$15,$A119-$A$15,0)),
                OFFSET($F$15,$A119,0)))</f>
        <v>LOMBADAS TIPO A (3,70m de comprimento x 0,10m altura)</v>
      </c>
      <c r="O119" s="168"/>
      <c r="Q119" s="168"/>
      <c r="R119" s="169"/>
      <c r="S119" s="169"/>
      <c r="T119" s="169"/>
      <c r="U119" s="169">
        <f>TRUNC(U118/1000*337,2)</f>
        <v>4.26</v>
      </c>
      <c r="V119" s="169"/>
      <c r="W119" s="169"/>
      <c r="X119" s="169"/>
      <c r="Y119" s="169"/>
      <c r="Z119" s="170"/>
      <c r="AA119" s="169"/>
      <c r="AB119" s="169"/>
      <c r="AC119" s="169"/>
      <c r="AD119" s="169"/>
      <c r="AE119" s="169"/>
      <c r="AF119" s="169"/>
      <c r="AG119" s="169"/>
      <c r="AH119" s="170"/>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L119" s="453">
        <f ca="1">IF(AND($D119="Serviço",AL$12&lt;&gt;0,$H119&gt;0,OR(AUTOEVENTO&lt;&gt;"manual",$M119&lt;&gt;$A$15)),
        IF(Import.TipoArredondamento&lt;&gt;"TransfereGOV",
              ROUND(OFFSET($P119,0,AL$13),15-13*ORÇAMENTO!$AF$7)/$H119*OFFSET(ORÇAMENTO!$X$15,ROW(AL119)-ROW(AL$15),0),
              ROUND(ROUND(OFFSET($P119,0,AL$13),15-13*ORÇAMENTO!$AF$7)*OFFSET(ORÇAMENTO!$W$15,ROW(AL119)-ROW(AL$15),0),15-13*ORÇAMENTO!$AF$11)),
         0)</f>
        <v>0</v>
      </c>
      <c r="AM119" s="453">
        <f ca="1">IF(AND($D119="Serviço",AM$12&lt;&gt;0,$H119&gt;0,OR(AUTOEVENTO&lt;&gt;"manual",$M119&lt;&gt;$A$15)),
        IF(Import.TipoArredondamento&lt;&gt;"TransfereGOV",
              ROUND(OFFSET($P119,0,AM$13),15-13*ORÇAMENTO!$AF$7)/$H119*OFFSET(ORÇAMENTO!$X$15,ROW(AM119)-ROW(AM$15),0),
              ROUND(ROUND(OFFSET($P119,0,AM$13),15-13*ORÇAMENTO!$AF$7)*OFFSET(ORÇAMENTO!$W$15,ROW(AM119)-ROW(AM$15),0),15-13*ORÇAMENTO!$AF$11)),
         0)</f>
        <v>0</v>
      </c>
      <c r="AN119" s="453">
        <f ca="1">IF(AND($D119="Serviço",AN$12&lt;&gt;0,$H119&gt;0,OR(AUTOEVENTO&lt;&gt;"manual",$M119&lt;&gt;$A$15)),
        IF(Import.TipoArredondamento&lt;&gt;"TransfereGOV",
              ROUND(OFFSET($P119,0,AN$13),15-13*ORÇAMENTO!$AF$7)/$H119*OFFSET(ORÇAMENTO!$X$15,ROW(AN119)-ROW(AN$15),0),
              ROUND(ROUND(OFFSET($P119,0,AN$13),15-13*ORÇAMENTO!$AF$7)*OFFSET(ORÇAMENTO!$W$15,ROW(AN119)-ROW(AN$15),0),15-13*ORÇAMENTO!$AF$11)),
         0)</f>
        <v>10.86</v>
      </c>
      <c r="AO119" s="453">
        <f ca="1">IF(AND($D119="Serviço",AO$12&lt;&gt;0,$H119&gt;0,OR(AUTOEVENTO&lt;&gt;"manual",$M119&lt;&gt;$A$15)),
        IF(Import.TipoArredondamento&lt;&gt;"TransfereGOV",
              ROUND(OFFSET($P119,0,AO$13),15-13*ORÇAMENTO!$AF$7)/$H119*OFFSET(ORÇAMENTO!$X$15,ROW(AO119)-ROW(AO$15),0),
              ROUND(ROUND(OFFSET($P119,0,AO$13),15-13*ORÇAMENTO!$AF$7)*OFFSET(ORÇAMENTO!$W$15,ROW(AO119)-ROW(AO$15),0),15-13*ORÇAMENTO!$AF$11)),
         0)</f>
        <v>0</v>
      </c>
      <c r="AP119" s="453">
        <f ca="1">IF(AND($D119="Serviço",AP$12&lt;&gt;0,$H119&gt;0,OR(AUTOEVENTO&lt;&gt;"manual",$M119&lt;&gt;$A$15)),
        IF(Import.TipoArredondamento&lt;&gt;"TransfereGOV",
              ROUND(OFFSET($P119,0,AP$13),15-13*ORÇAMENTO!$AF$7)/$H119*OFFSET(ORÇAMENTO!$X$15,ROW(AP119)-ROW(AP$15),0),
              ROUND(ROUND(OFFSET($P119,0,AP$13),15-13*ORÇAMENTO!$AF$7)*OFFSET(ORÇAMENTO!$W$15,ROW(AP119)-ROW(AP$15),0),15-13*ORÇAMENTO!$AF$11)),
         0)</f>
        <v>0</v>
      </c>
      <c r="AQ119" s="453">
        <f ca="1">IF(AND($D119="Serviço",AQ$12&lt;&gt;0,$H119&gt;0,OR(AUTOEVENTO&lt;&gt;"manual",$M119&lt;&gt;$A$15)),
        IF(Import.TipoArredondamento&lt;&gt;"TransfereGOV",
              ROUND(OFFSET($P119,0,AQ$13),15-13*ORÇAMENTO!$AF$7)/$H119*OFFSET(ORÇAMENTO!$X$15,ROW(AQ119)-ROW(AQ$15),0),
              ROUND(ROUND(OFFSET($P119,0,AQ$13),15-13*ORÇAMENTO!$AF$7)*OFFSET(ORÇAMENTO!$W$15,ROW(AQ119)-ROW(AQ$15),0),15-13*ORÇAMENTO!$AF$11)),
         0)</f>
        <v>0</v>
      </c>
      <c r="AR119" s="453">
        <f ca="1">IF(AND($D119="Serviço",AR$12&lt;&gt;0,$H119&gt;0,OR(AUTOEVENTO&lt;&gt;"manual",$M119&lt;&gt;$A$15)),
        IF(Import.TipoArredondamento&lt;&gt;"TransfereGOV",
              ROUND(OFFSET($P119,0,AR$13),15-13*ORÇAMENTO!$AF$7)/$H119*OFFSET(ORÇAMENTO!$X$15,ROW(AR119)-ROW(AR$15),0),
              ROUND(ROUND(OFFSET($P119,0,AR$13),15-13*ORÇAMENTO!$AF$7)*OFFSET(ORÇAMENTO!$W$15,ROW(AR119)-ROW(AR$15),0),15-13*ORÇAMENTO!$AF$11)),
         0)</f>
        <v>0</v>
      </c>
      <c r="AS119" s="453">
        <f ca="1">IF(AND($D119="Serviço",AS$12&lt;&gt;0,$H119&gt;0,OR(AUTOEVENTO&lt;&gt;"manual",$M119&lt;&gt;$A$15)),
        IF(Import.TipoArredondamento&lt;&gt;"TransfereGOV",
              ROUND(OFFSET($P119,0,AS$13),15-13*ORÇAMENTO!$AF$7)/$H119*OFFSET(ORÇAMENTO!$X$15,ROW(AS119)-ROW(AS$15),0),
              ROUND(ROUND(OFFSET($P119,0,AS$13),15-13*ORÇAMENTO!$AF$7)*OFFSET(ORÇAMENTO!$W$15,ROW(AS119)-ROW(AS$15),0),15-13*ORÇAMENTO!$AF$11)),
         0)</f>
        <v>0</v>
      </c>
      <c r="AT119" s="453">
        <f ca="1">IF(AND($D119="Serviço",AT$12&lt;&gt;0,$H119&gt;0,OR(AUTOEVENTO&lt;&gt;"manual",$M119&lt;&gt;$A$15)),
        IF(Import.TipoArredondamento&lt;&gt;"TransfereGOV",
              ROUND(OFFSET($P119,0,AT$13),15-13*ORÇAMENTO!$AF$7)/$H119*OFFSET(ORÇAMENTO!$X$15,ROW(AT119)-ROW(AT$15),0),
              ROUND(ROUND(OFFSET($P119,0,AT$13),15-13*ORÇAMENTO!$AF$7)*OFFSET(ORÇAMENTO!$W$15,ROW(AT119)-ROW(AT$15),0),15-13*ORÇAMENTO!$AF$11)),
         0)</f>
        <v>0</v>
      </c>
      <c r="AU119" s="453">
        <f ca="1">IF(AND($D119="Serviço",AU$12&lt;&gt;0,$H119&gt;0,OR(AUTOEVENTO&lt;&gt;"manual",$M119&lt;&gt;$A$15)),
        IF(Import.TipoArredondamento&lt;&gt;"TransfereGOV",
              ROUND(OFFSET($P119,0,AU$13),15-13*ORÇAMENTO!$AF$7)/$H119*OFFSET(ORÇAMENTO!$X$15,ROW(AU119)-ROW(AU$15),0),
              ROUND(ROUND(OFFSET($P119,0,AU$13),15-13*ORÇAMENTO!$AF$7)*OFFSET(ORÇAMENTO!$W$15,ROW(AU119)-ROW(AU$15),0),15-13*ORÇAMENTO!$AF$11)),
         0)</f>
        <v>0</v>
      </c>
      <c r="AV119" s="453">
        <f ca="1">IF(AND($D119="Serviço",AV$12&lt;&gt;0,$H119&gt;0,OR(AUTOEVENTO&lt;&gt;"manual",$M119&lt;&gt;$A$15)),
        IF(Import.TipoArredondamento&lt;&gt;"TransfereGOV",
              ROUND(OFFSET($P119,0,AV$13),15-13*ORÇAMENTO!$AF$7)/$H119*OFFSET(ORÇAMENTO!$X$15,ROW(AV119)-ROW(AV$15),0),
              ROUND(ROUND(OFFSET($P119,0,AV$13),15-13*ORÇAMENTO!$AF$7)*OFFSET(ORÇAMENTO!$W$15,ROW(AV119)-ROW(AV$15),0),15-13*ORÇAMENTO!$AF$11)),
         0)</f>
        <v>0</v>
      </c>
      <c r="AW119" s="453">
        <f ca="1">IF(AND($D119="Serviço",AW$12&lt;&gt;0,$H119&gt;0,OR(AUTOEVENTO&lt;&gt;"manual",$M119&lt;&gt;$A$15)),
        IF(Import.TipoArredondamento&lt;&gt;"TransfereGOV",
              ROUND(OFFSET($P119,0,AW$13),15-13*ORÇAMENTO!$AF$7)/$H119*OFFSET(ORÇAMENTO!$X$15,ROW(AW119)-ROW(AW$15),0),
              ROUND(ROUND(OFFSET($P119,0,AW$13),15-13*ORÇAMENTO!$AF$7)*OFFSET(ORÇAMENTO!$W$15,ROW(AW119)-ROW(AW$15),0),15-13*ORÇAMENTO!$AF$11)),
         0)</f>
        <v>0</v>
      </c>
      <c r="AX119" s="453">
        <f ca="1">IF(AND($D119="Serviço",AX$12&lt;&gt;0,$H119&gt;0,OR(AUTOEVENTO&lt;&gt;"manual",$M119&lt;&gt;$A$15)),
        IF(Import.TipoArredondamento&lt;&gt;"TransfereGOV",
              ROUND(OFFSET($P119,0,AX$13),15-13*ORÇAMENTO!$AF$7)/$H119*OFFSET(ORÇAMENTO!$X$15,ROW(AX119)-ROW(AX$15),0),
              ROUND(ROUND(OFFSET($P119,0,AX$13),15-13*ORÇAMENTO!$AF$7)*OFFSET(ORÇAMENTO!$W$15,ROW(AX119)-ROW(AX$15),0),15-13*ORÇAMENTO!$AF$11)),
         0)</f>
        <v>0</v>
      </c>
      <c r="AY119" s="453">
        <f ca="1">IF(AND($D119="Serviço",AY$12&lt;&gt;0,$H119&gt;0,OR(AUTOEVENTO&lt;&gt;"manual",$M119&lt;&gt;$A$15)),
        IF(Import.TipoArredondamento&lt;&gt;"TransfereGOV",
              ROUND(OFFSET($P119,0,AY$13),15-13*ORÇAMENTO!$AF$7)/$H119*OFFSET(ORÇAMENTO!$X$15,ROW(AY119)-ROW(AY$15),0),
              ROUND(ROUND(OFFSET($P119,0,AY$13),15-13*ORÇAMENTO!$AF$7)*OFFSET(ORÇAMENTO!$W$15,ROW(AY119)-ROW(AY$15),0),15-13*ORÇAMENTO!$AF$11)),
         0)</f>
        <v>0</v>
      </c>
      <c r="AZ119" s="453">
        <f ca="1">IF(AND($D119="Serviço",AZ$12&lt;&gt;0,$H119&gt;0,OR(AUTOEVENTO&lt;&gt;"manual",$M119&lt;&gt;$A$15)),
        IF(Import.TipoArredondamento&lt;&gt;"TransfereGOV",
              ROUND(OFFSET($P119,0,AZ$13),15-13*ORÇAMENTO!$AF$7)/$H119*OFFSET(ORÇAMENTO!$X$15,ROW(AZ119)-ROW(AZ$15),0),
              ROUND(ROUND(OFFSET($P119,0,AZ$13),15-13*ORÇAMENTO!$AF$7)*OFFSET(ORÇAMENTO!$W$15,ROW(AZ119)-ROW(AZ$15),0),15-13*ORÇAMENTO!$AF$11)),
         0)</f>
        <v>0</v>
      </c>
      <c r="BA119" s="453">
        <f ca="1">IF(AND($D119="Serviço",BA$12&lt;&gt;0,$H119&gt;0,OR(AUTOEVENTO&lt;&gt;"manual",$M119&lt;&gt;$A$15)),
        IF(Import.TipoArredondamento&lt;&gt;"TransfereGOV",
              ROUND(OFFSET($P119,0,BA$13),15-13*ORÇAMENTO!$AF$7)/$H119*OFFSET(ORÇAMENTO!$X$15,ROW(BA119)-ROW(BA$15),0),
              ROUND(ROUND(OFFSET($P119,0,BA$13),15-13*ORÇAMENTO!$AF$7)*OFFSET(ORÇAMENTO!$W$15,ROW(BA119)-ROW(BA$15),0),15-13*ORÇAMENTO!$AF$11)),
         0)</f>
        <v>0</v>
      </c>
      <c r="BC119" s="171">
        <f ca="1">IF(OR($D119&lt;&gt;"Serviço",AND(AUTOEVENTO="Manual",$M119=$A$15)),0,
         IF(OFFSET(CRONOPLE!$F$15,$M119-$A$15,BC$13)=0,10^12,OFFSET(CRONOPLE!$F$15,$M119-$A$15,BC$13)))</f>
        <v>1000000000000</v>
      </c>
      <c r="BD119" s="171">
        <f ca="1">IF(OR($D119&lt;&gt;"Serviço",AND(AUTOEVENTO="Manual",$M119=$A$15)),0,
         IF(OFFSET(CRONOPLE!$F$15,$M119-$A$15,BD$13)=0,10^12,OFFSET(CRONOPLE!$F$15,$M119-$A$15,BD$13)))</f>
        <v>1000000000000</v>
      </c>
      <c r="BE119" s="171">
        <f ca="1">IF(OR($D119&lt;&gt;"Serviço",AND(AUTOEVENTO="Manual",$M119=$A$15)),0,
         IF(OFFSET(CRONOPLE!$F$15,$M119-$A$15,BE$13)=0,10^12,OFFSET(CRONOPLE!$F$15,$M119-$A$15,BE$13)))</f>
        <v>1000000000000</v>
      </c>
      <c r="BF119" s="171">
        <f ca="1">IF(OR($D119&lt;&gt;"Serviço",AND(AUTOEVENTO="Manual",$M119=$A$15)),0,
         IF(OFFSET(CRONOPLE!$F$15,$M119-$A$15,BF$13)=0,10^12,OFFSET(CRONOPLE!$F$15,$M119-$A$15,BF$13)))</f>
        <v>1000000000000</v>
      </c>
      <c r="BG119" s="171">
        <f ca="1">IF(OR($D119&lt;&gt;"Serviço",AND(AUTOEVENTO="Manual",$M119=$A$15)),0,
         IF(OFFSET(CRONOPLE!$F$15,$M119-$A$15,BG$13)=0,10^12,OFFSET(CRONOPLE!$F$15,$M119-$A$15,BG$13)))</f>
        <v>3</v>
      </c>
      <c r="BH119" s="171">
        <f ca="1">IF(OR($D119&lt;&gt;"Serviço",AND(AUTOEVENTO="Manual",$M119=$A$15)),0,
         IF(OFFSET(CRONOPLE!$F$15,$M119-$A$15,BH$13)=0,10^12,OFFSET(CRONOPLE!$F$15,$M119-$A$15,BH$13)))</f>
        <v>1000000000000</v>
      </c>
      <c r="BI119" s="171">
        <f ca="1">IF(OR($D119&lt;&gt;"Serviço",AND(AUTOEVENTO="Manual",$M119=$A$15)),0,
         IF(OFFSET(CRONOPLE!$F$15,$M119-$A$15,BI$13)=0,10^12,OFFSET(CRONOPLE!$F$15,$M119-$A$15,BI$13)))</f>
        <v>1000000000000</v>
      </c>
      <c r="BJ119" s="171">
        <f ca="1">IF(OR($D119&lt;&gt;"Serviço",AND(AUTOEVENTO="Manual",$M119=$A$15)),0,
         IF(OFFSET(CRONOPLE!$F$15,$M119-$A$15,BJ$13)=0,10^12,OFFSET(CRONOPLE!$F$15,$M119-$A$15,BJ$13)))</f>
        <v>1000000000000</v>
      </c>
      <c r="BK119" s="171">
        <f ca="1">IF(OR($D119&lt;&gt;"Serviço",AND(AUTOEVENTO="Manual",$M119=$A$15)),0,
         IF(OFFSET(CRONOPLE!$F$15,$M119-$A$15,BK$13)=0,10^12,OFFSET(CRONOPLE!$F$15,$M119-$A$15,BK$13)))</f>
        <v>1000000000000</v>
      </c>
      <c r="BL119" s="171">
        <f ca="1">IF(OR($D119&lt;&gt;"Serviço",AND(AUTOEVENTO="Manual",$M119=$A$15)),0,
         IF(OFFSET(CRONOPLE!$F$15,$M119-$A$15,BL$13)=0,10^12,OFFSET(CRONOPLE!$F$15,$M119-$A$15,BL$13)))</f>
        <v>1000000000000</v>
      </c>
      <c r="BM119" s="171">
        <f ca="1">IF(OR($D119&lt;&gt;"Serviço",AND(AUTOEVENTO="Manual",$M119=$A$15)),0,
         IF(OFFSET(CRONOPLE!$F$15,$M119-$A$15,BM$13)=0,10^12,OFFSET(CRONOPLE!$F$15,$M119-$A$15,BM$13)))</f>
        <v>1000000000000</v>
      </c>
      <c r="BN119" s="171">
        <f ca="1">IF(OR($D119&lt;&gt;"Serviço",AND(AUTOEVENTO="Manual",$M119=$A$15)),0,
         IF(OFFSET(CRONOPLE!$F$15,$M119-$A$15,BN$13)=0,10^12,OFFSET(CRONOPLE!$F$15,$M119-$A$15,BN$13)))</f>
        <v>1000000000000</v>
      </c>
      <c r="BO119" s="171">
        <f ca="1">IF(OR($D119&lt;&gt;"Serviço",AND(AUTOEVENTO="Manual",$M119=$A$15)),0,
         IF(OFFSET(CRONOPLE!$F$15,$M119-$A$15,BO$13)=0,10^12,OFFSET(CRONOPLE!$F$15,$M119-$A$15,BO$13)))</f>
        <v>1000000000000</v>
      </c>
      <c r="BP119" s="171">
        <f ca="1">IF(OR($D119&lt;&gt;"Serviço",AND(AUTOEVENTO="Manual",$M119=$A$15)),0,
         IF(OFFSET(CRONOPLE!$F$15,$M119-$A$15,BP$13)=0,10^12,OFFSET(CRONOPLE!$F$15,$M119-$A$15,BP$13)))</f>
        <v>1000000000000</v>
      </c>
      <c r="BQ119" s="171">
        <f ca="1">IF(OR($D119&lt;&gt;"Serviço",AND(AUTOEVENTO="Manual",$M119=$A$15)),0,
         IF(OFFSET(CRONOPLE!$F$15,$M119-$A$15,BQ$13)=0,10^12,OFFSET(CRONOPLE!$F$15,$M119-$A$15,BQ$13)))</f>
        <v>1000000000000</v>
      </c>
      <c r="BR119" s="171">
        <f ca="1">IF(OR($D119&lt;&gt;"Serviço",AND(AUTOEVENTO="Manual",$M119=$A$15)),0,
         IF(OFFSET(CRONOPLE!$F$15,$M119-$A$15,BR$13)=0,10^12,OFFSET(CRONOPLE!$F$15,$M119-$A$15,BR$13)))</f>
        <v>1000000000000</v>
      </c>
      <c r="BS119" s="171">
        <f ca="1">IF(OR($D119&lt;&gt;"Serviço",AND(AUTOEVENTO="Manual",$M119=$A$15)),0,
         IF(OFFSET(CRONOPLE!$F$15,$M119-$A$15,BS$13)=0,10^12,OFFSET(CRONOPLE!$F$15,$M119-$A$15,BS$13)))</f>
        <v>1000000000000</v>
      </c>
      <c r="BT119" s="171">
        <f ca="1">IF(OR($D119&lt;&gt;"Serviço",AND(AUTOEVENTO="Manual",$M119=$A$15)),0,
         IF(OFFSET(CRONOPLE!$F$15,$M119-$A$15,BT$13)=0,10^12,OFFSET(CRONOPLE!$F$15,$M119-$A$15,BT$13)))</f>
        <v>1000000000000</v>
      </c>
      <c r="BV119" s="172">
        <f ca="1">IF(OR($D119&lt;&gt;"Serviço",AND(AUTOEVENTO="Manual",$M119=$A$15),$M119&gt;(ROW(PLE.lastrow)-ROW(PLE.firstrow))),0,
           IF(OFFSET(PLE!$G$15,$M119-$A$15,BV$13)="",10^12,OFFSET(PLE!$G$15,$M119-$A$15,BV$13)))</f>
        <v>1000000000000</v>
      </c>
      <c r="BW119" s="172">
        <f ca="1">IF(OR($D119&lt;&gt;"Serviço",AND(AUTOEVENTO="Manual",$M119=$A$15),$M119&gt;(ROW(PLE.lastrow)-ROW(PLE.firstrow))),0,
           IF(OFFSET(PLE!$G$15,$M119-$A$15,BW$13)="",10^12,OFFSET(PLE!$G$15,$M119-$A$15,BW$13)))</f>
        <v>1000000000000</v>
      </c>
      <c r="BX119" s="172">
        <f ca="1">IF(OR($D119&lt;&gt;"Serviço",AND(AUTOEVENTO="Manual",$M119=$A$15),$M119&gt;(ROW(PLE.lastrow)-ROW(PLE.firstrow))),0,
           IF(OFFSET(PLE!$G$15,$M119-$A$15,BX$13)="",10^12,OFFSET(PLE!$G$15,$M119-$A$15,BX$13)))</f>
        <v>1000000000000</v>
      </c>
      <c r="BY119" s="172">
        <f ca="1">IF(OR($D119&lt;&gt;"Serviço",AND(AUTOEVENTO="Manual",$M119=$A$15),$M119&gt;(ROW(PLE.lastrow)-ROW(PLE.firstrow))),0,
           IF(OFFSET(PLE!$G$15,$M119-$A$15,BY$13)="",10^12,OFFSET(PLE!$G$15,$M119-$A$15,BY$13)))</f>
        <v>1000000000000</v>
      </c>
      <c r="BZ119" s="172">
        <f ca="1">IF(OR($D119&lt;&gt;"Serviço",AND(AUTOEVENTO="Manual",$M119=$A$15),$M119&gt;(ROW(PLE.lastrow)-ROW(PLE.firstrow))),0,
           IF(OFFSET(PLE!$G$15,$M119-$A$15,BZ$13)="",10^12,OFFSET(PLE!$G$15,$M119-$A$15,BZ$13)))</f>
        <v>1000000000000</v>
      </c>
      <c r="CA119" s="172">
        <f ca="1">IF(OR($D119&lt;&gt;"Serviço",AND(AUTOEVENTO="Manual",$M119=$A$15),$M119&gt;(ROW(PLE.lastrow)-ROW(PLE.firstrow))),0,
           IF(OFFSET(PLE!$G$15,$M119-$A$15,CA$13)="",10^12,OFFSET(PLE!$G$15,$M119-$A$15,CA$13)))</f>
        <v>1000000000000</v>
      </c>
      <c r="CB119" s="172">
        <f ca="1">IF(OR($D119&lt;&gt;"Serviço",AND(AUTOEVENTO="Manual",$M119=$A$15),$M119&gt;(ROW(PLE.lastrow)-ROW(PLE.firstrow))),0,
           IF(OFFSET(PLE!$G$15,$M119-$A$15,CB$13)="",10^12,OFFSET(PLE!$G$15,$M119-$A$15,CB$13)))</f>
        <v>1000000000000</v>
      </c>
      <c r="CC119" s="172">
        <f ca="1">IF(OR($D119&lt;&gt;"Serviço",AND(AUTOEVENTO="Manual",$M119=$A$15),$M119&gt;(ROW(PLE.lastrow)-ROW(PLE.firstrow))),0,
           IF(OFFSET(PLE!$G$15,$M119-$A$15,CC$13)="",10^12,OFFSET(PLE!$G$15,$M119-$A$15,CC$13)))</f>
        <v>1000000000000</v>
      </c>
      <c r="CD119" s="172">
        <f ca="1">IF(OR($D119&lt;&gt;"Serviço",AND(AUTOEVENTO="Manual",$M119=$A$15),$M119&gt;(ROW(PLE.lastrow)-ROW(PLE.firstrow))),0,
           IF(OFFSET(PLE!$G$15,$M119-$A$15,CD$13)="",10^12,OFFSET(PLE!$G$15,$M119-$A$15,CD$13)))</f>
        <v>1000000000000</v>
      </c>
      <c r="CE119" s="172">
        <f ca="1">IF(OR($D119&lt;&gt;"Serviço",AND(AUTOEVENTO="Manual",$M119=$A$15),$M119&gt;(ROW(PLE.lastrow)-ROW(PLE.firstrow))),0,
           IF(OFFSET(PLE!$G$15,$M119-$A$15,CE$13)="",10^12,OFFSET(PLE!$G$15,$M119-$A$15,CE$13)))</f>
        <v>1000000000000</v>
      </c>
      <c r="CF119" s="172">
        <f ca="1">IF(OR($D119&lt;&gt;"Serviço",AND(AUTOEVENTO="Manual",$M119=$A$15),$M119&gt;(ROW(PLE.lastrow)-ROW(PLE.firstrow))),0,
           IF(OFFSET(PLE!$G$15,$M119-$A$15,CF$13)="",10^12,OFFSET(PLE!$G$15,$M119-$A$15,CF$13)))</f>
        <v>1000000000000</v>
      </c>
      <c r="CG119" s="172">
        <f ca="1">IF(OR($D119&lt;&gt;"Serviço",AND(AUTOEVENTO="Manual",$M119=$A$15),$M119&gt;(ROW(PLE.lastrow)-ROW(PLE.firstrow))),0,
           IF(OFFSET(PLE!$G$15,$M119-$A$15,CG$13)="",10^12,OFFSET(PLE!$G$15,$M119-$A$15,CG$13)))</f>
        <v>1000000000000</v>
      </c>
      <c r="CH119" s="172">
        <f ca="1">IF(OR($D119&lt;&gt;"Serviço",AND(AUTOEVENTO="Manual",$M119=$A$15),$M119&gt;(ROW(PLE.lastrow)-ROW(PLE.firstrow))),0,
           IF(OFFSET(PLE!$G$15,$M119-$A$15,CH$13)="",10^12,OFFSET(PLE!$G$15,$M119-$A$15,CH$13)))</f>
        <v>1000000000000</v>
      </c>
      <c r="CI119" s="172">
        <f ca="1">IF(OR($D119&lt;&gt;"Serviço",AND(AUTOEVENTO="Manual",$M119=$A$15),$M119&gt;(ROW(PLE.lastrow)-ROW(PLE.firstrow))),0,
           IF(OFFSET(PLE!$G$15,$M119-$A$15,CI$13)="",10^12,OFFSET(PLE!$G$15,$M119-$A$15,CI$13)))</f>
        <v>1000000000000</v>
      </c>
      <c r="CJ119" s="172">
        <f ca="1">IF(OR($D119&lt;&gt;"Serviço",AND(AUTOEVENTO="Manual",$M119=$A$15),$M119&gt;(ROW(PLE.lastrow)-ROW(PLE.firstrow))),0,
           IF(OFFSET(PLE!$G$15,$M119-$A$15,CJ$13)="",10^12,OFFSET(PLE!$G$15,$M119-$A$15,CJ$13)))</f>
        <v>1000000000000</v>
      </c>
      <c r="CK119" s="172">
        <f ca="1">IF(OR($D119&lt;&gt;"Serviço",AND(AUTOEVENTO="Manual",$M119=$A$15),$M119&gt;(ROW(PLE.lastrow)-ROW(PLE.firstrow))),0,
           IF(OFFSET(PLE!$G$15,$M119-$A$15,CK$13)="",10^12,OFFSET(PLE!$G$15,$M119-$A$15,CK$13)))</f>
        <v>1000000000000</v>
      </c>
      <c r="CL119" s="172">
        <f ca="1">IF(OR($D119&lt;&gt;"Serviço",AND(AUTOEVENTO="Manual",$M119=$A$15),$M119&gt;(ROW(PLE.lastrow)-ROW(PLE.firstrow))),0,
           IF(OFFSET(PLE!$G$15,$M119-$A$15,CL$13)="",10^12,OFFSET(PLE!$G$15,$M119-$A$15,CL$13)))</f>
        <v>1000000000000</v>
      </c>
      <c r="CM119" s="172">
        <f ca="1">IF(OR($D119&lt;&gt;"Serviço",AND(AUTOEVENTO="Manual",$M119=$A$15),$M119&gt;(ROW(PLE.lastrow)-ROW(PLE.firstrow))),0,
           IF(OFFSET(PLE!$G$15,$M119-$A$15,CM$13)="",10^12,OFFSET(PLE!$G$15,$M119-$A$15,CM$13)))</f>
        <v>1000000000000</v>
      </c>
    </row>
    <row r="120" spans="1:91" ht="26.4" x14ac:dyDescent="0.25">
      <c r="A120" s="7" t="str">
        <f t="shared" ca="1" si="11"/>
        <v>101</v>
      </c>
      <c r="B120" s="7" t="str">
        <f ca="1">OFFSET(ORÇAMENTO!C$15,ROW(B120)-ROW(B$15),0)</f>
        <v>S</v>
      </c>
      <c r="C120" s="7" t="str">
        <f ca="1">OFFSET(ORÇAMENTO!L$15,ROW(C120)-ROW(C$15),0)</f>
        <v>F</v>
      </c>
      <c r="D120" s="116" t="str">
        <f ca="1">OFFSET(ORÇAMENTO!N$15,ROW(D120)-ROW(D$15),0)</f>
        <v>Serviço</v>
      </c>
      <c r="E120" s="117" t="str">
        <f ca="1">OFFSET(ORÇAMENTO!O$15,ROW(E120)-ROW(E$15),0)</f>
        <v>3.3.4.</v>
      </c>
      <c r="F120" s="163" t="str">
        <f ca="1">OFFSET(ORÇAMENTO!R$15,ROW(F120)-ROW(F$15),0)</f>
        <v>Concreto asfáltico - faixa C-12,5 - areia extraída e brita produzida</v>
      </c>
      <c r="G120" s="164" t="str">
        <f ca="1">IF($D120&lt;&gt;"Serviço","",OFFSET(ORÇAMENTO!S$15,ROW(G120)-ROW(G$15),0))</f>
        <v>t</v>
      </c>
      <c r="H120" s="122" cm="1">
        <f t="array" aca="1" ref="H120" ca="1">IF($D120&lt;&gt;"Serviço",0,IF(ACOMPANHAMENTO="BM",ROUND(OFFSET(ORÇAMENTO!AJ$15,ROW(H120)-ROW(H$15),0),15-13*ORÇAMENTO!$AF$7),SUMPRODUCT(($Q$1:$AI$1=1)*ROUND($Q120:$AI120,15-13*ORÇAMENTO!$AF$7))))</f>
        <v>4.58</v>
      </c>
      <c r="I120" s="468"/>
      <c r="J120" s="651" t="e" cm="1">
        <f t="array" aca="1" ref="J120" ca="1">IF(OR(B120&lt;&gt;"S",CÁLCULO.FrentesPreenchidas=0),"",IF(AND(ACOMPANHAMENTO="PLE",AUTOEVENTO="Manual",OR(H120&gt;0,ORÇAMENTO!AC120="QUANT."),OR(K120="",M120=0,N120="")),"►E",IF(AND(ACOMPANHAMENTO="PLE",ORÇAMENTO!AC120="QUANT."),"►Q",IF(AND(ACOMPANHAMENTO="PLE",H120&lt;&gt;SUMPRODUCT(($Q$1:$AI$1=1)*ROUND(Q120:AI120,15))),"►S",IF(AND(COUNTIF($P$11:$AI$11,"▼")=0,H120&gt;0,I120=""),"◄M","")))))</f>
        <v>#NAME?</v>
      </c>
      <c r="K120" s="652"/>
      <c r="L120" s="165" t="s">
        <v>764</v>
      </c>
      <c r="M120" s="166">
        <f ca="1">IF($D120&lt;&gt;"Serviço","",
          IF(AUTOEVENTO="manual",$A120,
                IF(ISERROR(MATCH($A120,$A$15:OFFSET($A120,-1,0),0)),MAX($M$15:OFFSET(M120,-1,0))+1,
                      INDEX($M$15:OFFSET(M120,-1,0),MATCH($A120,$A$15:OFFSET($A120,-1,0),0)))))</f>
        <v>16</v>
      </c>
      <c r="N120" s="167" t="str">
        <f ca="1">IF($D120&lt;&gt;"Serviço","",
         IF(AUTOEVENTO="Manual",
                IF($A120=0,"&lt;-- defina o número do agrupador",
                       OFFSET(EVENTOS!$D$15,$A120-$A$15,0)),
                OFFSET($F$15,$A120,0)))</f>
        <v>LOMBADAS TIPO A (3,70m de comprimento x 0,10m altura)</v>
      </c>
      <c r="O120" s="168"/>
      <c r="Q120" s="168"/>
      <c r="R120" s="169"/>
      <c r="S120" s="169"/>
      <c r="T120" s="169"/>
      <c r="U120" s="169">
        <v>4.58</v>
      </c>
      <c r="V120" s="169"/>
      <c r="W120" s="169"/>
      <c r="X120" s="169"/>
      <c r="Y120" s="169"/>
      <c r="Z120" s="170"/>
      <c r="AA120" s="169"/>
      <c r="AB120" s="169"/>
      <c r="AC120" s="169"/>
      <c r="AD120" s="169"/>
      <c r="AE120" s="169"/>
      <c r="AF120" s="169"/>
      <c r="AG120" s="169"/>
      <c r="AH120" s="170"/>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L120" s="453">
        <f ca="1">IF(AND($D120="Serviço",AL$12&lt;&gt;0,$H120&gt;0,OR(AUTOEVENTO&lt;&gt;"manual",$M120&lt;&gt;$A$15)),
        IF(Import.TipoArredondamento&lt;&gt;"TransfereGOV",
              ROUND(OFFSET($P120,0,AL$13),15-13*ORÇAMENTO!$AF$7)/$H120*OFFSET(ORÇAMENTO!$X$15,ROW(AL120)-ROW(AL$15),0),
              ROUND(ROUND(OFFSET($P120,0,AL$13),15-13*ORÇAMENTO!$AF$7)*OFFSET(ORÇAMENTO!$W$15,ROW(AL120)-ROW(AL$15),0),15-13*ORÇAMENTO!$AF$11)),
         0)</f>
        <v>0</v>
      </c>
      <c r="AM120" s="453">
        <f ca="1">IF(AND($D120="Serviço",AM$12&lt;&gt;0,$H120&gt;0,OR(AUTOEVENTO&lt;&gt;"manual",$M120&lt;&gt;$A$15)),
        IF(Import.TipoArredondamento&lt;&gt;"TransfereGOV",
              ROUND(OFFSET($P120,0,AM$13),15-13*ORÇAMENTO!$AF$7)/$H120*OFFSET(ORÇAMENTO!$X$15,ROW(AM120)-ROW(AM$15),0),
              ROUND(ROUND(OFFSET($P120,0,AM$13),15-13*ORÇAMENTO!$AF$7)*OFFSET(ORÇAMENTO!$W$15,ROW(AM120)-ROW(AM$15),0),15-13*ORÇAMENTO!$AF$11)),
         0)</f>
        <v>0</v>
      </c>
      <c r="AN120" s="453">
        <f ca="1">IF(AND($D120="Serviço",AN$12&lt;&gt;0,$H120&gt;0,OR(AUTOEVENTO&lt;&gt;"manual",$M120&lt;&gt;$A$15)),
        IF(Import.TipoArredondamento&lt;&gt;"TransfereGOV",
              ROUND(OFFSET($P120,0,AN$13),15-13*ORÇAMENTO!$AF$7)/$H120*OFFSET(ORÇAMENTO!$X$15,ROW(AN120)-ROW(AN$15),0),
              ROUND(ROUND(OFFSET($P120,0,AN$13),15-13*ORÇAMENTO!$AF$7)*OFFSET(ORÇAMENTO!$W$15,ROW(AN120)-ROW(AN$15),0),15-13*ORÇAMENTO!$AF$11)),
         0)</f>
        <v>799.9</v>
      </c>
      <c r="AO120" s="453">
        <f ca="1">IF(AND($D120="Serviço",AO$12&lt;&gt;0,$H120&gt;0,OR(AUTOEVENTO&lt;&gt;"manual",$M120&lt;&gt;$A$15)),
        IF(Import.TipoArredondamento&lt;&gt;"TransfereGOV",
              ROUND(OFFSET($P120,0,AO$13),15-13*ORÇAMENTO!$AF$7)/$H120*OFFSET(ORÇAMENTO!$X$15,ROW(AO120)-ROW(AO$15),0),
              ROUND(ROUND(OFFSET($P120,0,AO$13),15-13*ORÇAMENTO!$AF$7)*OFFSET(ORÇAMENTO!$W$15,ROW(AO120)-ROW(AO$15),0),15-13*ORÇAMENTO!$AF$11)),
         0)</f>
        <v>0</v>
      </c>
      <c r="AP120" s="453">
        <f ca="1">IF(AND($D120="Serviço",AP$12&lt;&gt;0,$H120&gt;0,OR(AUTOEVENTO&lt;&gt;"manual",$M120&lt;&gt;$A$15)),
        IF(Import.TipoArredondamento&lt;&gt;"TransfereGOV",
              ROUND(OFFSET($P120,0,AP$13),15-13*ORÇAMENTO!$AF$7)/$H120*OFFSET(ORÇAMENTO!$X$15,ROW(AP120)-ROW(AP$15),0),
              ROUND(ROUND(OFFSET($P120,0,AP$13),15-13*ORÇAMENTO!$AF$7)*OFFSET(ORÇAMENTO!$W$15,ROW(AP120)-ROW(AP$15),0),15-13*ORÇAMENTO!$AF$11)),
         0)</f>
        <v>0</v>
      </c>
      <c r="AQ120" s="453">
        <f ca="1">IF(AND($D120="Serviço",AQ$12&lt;&gt;0,$H120&gt;0,OR(AUTOEVENTO&lt;&gt;"manual",$M120&lt;&gt;$A$15)),
        IF(Import.TipoArredondamento&lt;&gt;"TransfereGOV",
              ROUND(OFFSET($P120,0,AQ$13),15-13*ORÇAMENTO!$AF$7)/$H120*OFFSET(ORÇAMENTO!$X$15,ROW(AQ120)-ROW(AQ$15),0),
              ROUND(ROUND(OFFSET($P120,0,AQ$13),15-13*ORÇAMENTO!$AF$7)*OFFSET(ORÇAMENTO!$W$15,ROW(AQ120)-ROW(AQ$15),0),15-13*ORÇAMENTO!$AF$11)),
         0)</f>
        <v>0</v>
      </c>
      <c r="AR120" s="453">
        <f ca="1">IF(AND($D120="Serviço",AR$12&lt;&gt;0,$H120&gt;0,OR(AUTOEVENTO&lt;&gt;"manual",$M120&lt;&gt;$A$15)),
        IF(Import.TipoArredondamento&lt;&gt;"TransfereGOV",
              ROUND(OFFSET($P120,0,AR$13),15-13*ORÇAMENTO!$AF$7)/$H120*OFFSET(ORÇAMENTO!$X$15,ROW(AR120)-ROW(AR$15),0),
              ROUND(ROUND(OFFSET($P120,0,AR$13),15-13*ORÇAMENTO!$AF$7)*OFFSET(ORÇAMENTO!$W$15,ROW(AR120)-ROW(AR$15),0),15-13*ORÇAMENTO!$AF$11)),
         0)</f>
        <v>0</v>
      </c>
      <c r="AS120" s="453">
        <f ca="1">IF(AND($D120="Serviço",AS$12&lt;&gt;0,$H120&gt;0,OR(AUTOEVENTO&lt;&gt;"manual",$M120&lt;&gt;$A$15)),
        IF(Import.TipoArredondamento&lt;&gt;"TransfereGOV",
              ROUND(OFFSET($P120,0,AS$13),15-13*ORÇAMENTO!$AF$7)/$H120*OFFSET(ORÇAMENTO!$X$15,ROW(AS120)-ROW(AS$15),0),
              ROUND(ROUND(OFFSET($P120,0,AS$13),15-13*ORÇAMENTO!$AF$7)*OFFSET(ORÇAMENTO!$W$15,ROW(AS120)-ROW(AS$15),0),15-13*ORÇAMENTO!$AF$11)),
         0)</f>
        <v>0</v>
      </c>
      <c r="AT120" s="453">
        <f ca="1">IF(AND($D120="Serviço",AT$12&lt;&gt;0,$H120&gt;0,OR(AUTOEVENTO&lt;&gt;"manual",$M120&lt;&gt;$A$15)),
        IF(Import.TipoArredondamento&lt;&gt;"TransfereGOV",
              ROUND(OFFSET($P120,0,AT$13),15-13*ORÇAMENTO!$AF$7)/$H120*OFFSET(ORÇAMENTO!$X$15,ROW(AT120)-ROW(AT$15),0),
              ROUND(ROUND(OFFSET($P120,0,AT$13),15-13*ORÇAMENTO!$AF$7)*OFFSET(ORÇAMENTO!$W$15,ROW(AT120)-ROW(AT$15),0),15-13*ORÇAMENTO!$AF$11)),
         0)</f>
        <v>0</v>
      </c>
      <c r="AU120" s="453">
        <f ca="1">IF(AND($D120="Serviço",AU$12&lt;&gt;0,$H120&gt;0,OR(AUTOEVENTO&lt;&gt;"manual",$M120&lt;&gt;$A$15)),
        IF(Import.TipoArredondamento&lt;&gt;"TransfereGOV",
              ROUND(OFFSET($P120,0,AU$13),15-13*ORÇAMENTO!$AF$7)/$H120*OFFSET(ORÇAMENTO!$X$15,ROW(AU120)-ROW(AU$15),0),
              ROUND(ROUND(OFFSET($P120,0,AU$13),15-13*ORÇAMENTO!$AF$7)*OFFSET(ORÇAMENTO!$W$15,ROW(AU120)-ROW(AU$15),0),15-13*ORÇAMENTO!$AF$11)),
         0)</f>
        <v>0</v>
      </c>
      <c r="AV120" s="453">
        <f ca="1">IF(AND($D120="Serviço",AV$12&lt;&gt;0,$H120&gt;0,OR(AUTOEVENTO&lt;&gt;"manual",$M120&lt;&gt;$A$15)),
        IF(Import.TipoArredondamento&lt;&gt;"TransfereGOV",
              ROUND(OFFSET($P120,0,AV$13),15-13*ORÇAMENTO!$AF$7)/$H120*OFFSET(ORÇAMENTO!$X$15,ROW(AV120)-ROW(AV$15),0),
              ROUND(ROUND(OFFSET($P120,0,AV$13),15-13*ORÇAMENTO!$AF$7)*OFFSET(ORÇAMENTO!$W$15,ROW(AV120)-ROW(AV$15),0),15-13*ORÇAMENTO!$AF$11)),
         0)</f>
        <v>0</v>
      </c>
      <c r="AW120" s="453">
        <f ca="1">IF(AND($D120="Serviço",AW$12&lt;&gt;0,$H120&gt;0,OR(AUTOEVENTO&lt;&gt;"manual",$M120&lt;&gt;$A$15)),
        IF(Import.TipoArredondamento&lt;&gt;"TransfereGOV",
              ROUND(OFFSET($P120,0,AW$13),15-13*ORÇAMENTO!$AF$7)/$H120*OFFSET(ORÇAMENTO!$X$15,ROW(AW120)-ROW(AW$15),0),
              ROUND(ROUND(OFFSET($P120,0,AW$13),15-13*ORÇAMENTO!$AF$7)*OFFSET(ORÇAMENTO!$W$15,ROW(AW120)-ROW(AW$15),0),15-13*ORÇAMENTO!$AF$11)),
         0)</f>
        <v>0</v>
      </c>
      <c r="AX120" s="453">
        <f ca="1">IF(AND($D120="Serviço",AX$12&lt;&gt;0,$H120&gt;0,OR(AUTOEVENTO&lt;&gt;"manual",$M120&lt;&gt;$A$15)),
        IF(Import.TipoArredondamento&lt;&gt;"TransfereGOV",
              ROUND(OFFSET($P120,0,AX$13),15-13*ORÇAMENTO!$AF$7)/$H120*OFFSET(ORÇAMENTO!$X$15,ROW(AX120)-ROW(AX$15),0),
              ROUND(ROUND(OFFSET($P120,0,AX$13),15-13*ORÇAMENTO!$AF$7)*OFFSET(ORÇAMENTO!$W$15,ROW(AX120)-ROW(AX$15),0),15-13*ORÇAMENTO!$AF$11)),
         0)</f>
        <v>0</v>
      </c>
      <c r="AY120" s="453">
        <f ca="1">IF(AND($D120="Serviço",AY$12&lt;&gt;0,$H120&gt;0,OR(AUTOEVENTO&lt;&gt;"manual",$M120&lt;&gt;$A$15)),
        IF(Import.TipoArredondamento&lt;&gt;"TransfereGOV",
              ROUND(OFFSET($P120,0,AY$13),15-13*ORÇAMENTO!$AF$7)/$H120*OFFSET(ORÇAMENTO!$X$15,ROW(AY120)-ROW(AY$15),0),
              ROUND(ROUND(OFFSET($P120,0,AY$13),15-13*ORÇAMENTO!$AF$7)*OFFSET(ORÇAMENTO!$W$15,ROW(AY120)-ROW(AY$15),0),15-13*ORÇAMENTO!$AF$11)),
         0)</f>
        <v>0</v>
      </c>
      <c r="AZ120" s="453">
        <f ca="1">IF(AND($D120="Serviço",AZ$12&lt;&gt;0,$H120&gt;0,OR(AUTOEVENTO&lt;&gt;"manual",$M120&lt;&gt;$A$15)),
        IF(Import.TipoArredondamento&lt;&gt;"TransfereGOV",
              ROUND(OFFSET($P120,0,AZ$13),15-13*ORÇAMENTO!$AF$7)/$H120*OFFSET(ORÇAMENTO!$X$15,ROW(AZ120)-ROW(AZ$15),0),
              ROUND(ROUND(OFFSET($P120,0,AZ$13),15-13*ORÇAMENTO!$AF$7)*OFFSET(ORÇAMENTO!$W$15,ROW(AZ120)-ROW(AZ$15),0),15-13*ORÇAMENTO!$AF$11)),
         0)</f>
        <v>0</v>
      </c>
      <c r="BA120" s="453">
        <f ca="1">IF(AND($D120="Serviço",BA$12&lt;&gt;0,$H120&gt;0,OR(AUTOEVENTO&lt;&gt;"manual",$M120&lt;&gt;$A$15)),
        IF(Import.TipoArredondamento&lt;&gt;"TransfereGOV",
              ROUND(OFFSET($P120,0,BA$13),15-13*ORÇAMENTO!$AF$7)/$H120*OFFSET(ORÇAMENTO!$X$15,ROW(BA120)-ROW(BA$15),0),
              ROUND(ROUND(OFFSET($P120,0,BA$13),15-13*ORÇAMENTO!$AF$7)*OFFSET(ORÇAMENTO!$W$15,ROW(BA120)-ROW(BA$15),0),15-13*ORÇAMENTO!$AF$11)),
         0)</f>
        <v>0</v>
      </c>
      <c r="BC120" s="171">
        <f ca="1">IF(OR($D120&lt;&gt;"Serviço",AND(AUTOEVENTO="Manual",$M120=$A$15)),0,
         IF(OFFSET(CRONOPLE!$F$15,$M120-$A$15,BC$13)=0,10^12,OFFSET(CRONOPLE!$F$15,$M120-$A$15,BC$13)))</f>
        <v>1000000000000</v>
      </c>
      <c r="BD120" s="171">
        <f ca="1">IF(OR($D120&lt;&gt;"Serviço",AND(AUTOEVENTO="Manual",$M120=$A$15)),0,
         IF(OFFSET(CRONOPLE!$F$15,$M120-$A$15,BD$13)=0,10^12,OFFSET(CRONOPLE!$F$15,$M120-$A$15,BD$13)))</f>
        <v>1000000000000</v>
      </c>
      <c r="BE120" s="171">
        <f ca="1">IF(OR($D120&lt;&gt;"Serviço",AND(AUTOEVENTO="Manual",$M120=$A$15)),0,
         IF(OFFSET(CRONOPLE!$F$15,$M120-$A$15,BE$13)=0,10^12,OFFSET(CRONOPLE!$F$15,$M120-$A$15,BE$13)))</f>
        <v>1000000000000</v>
      </c>
      <c r="BF120" s="171">
        <f ca="1">IF(OR($D120&lt;&gt;"Serviço",AND(AUTOEVENTO="Manual",$M120=$A$15)),0,
         IF(OFFSET(CRONOPLE!$F$15,$M120-$A$15,BF$13)=0,10^12,OFFSET(CRONOPLE!$F$15,$M120-$A$15,BF$13)))</f>
        <v>1000000000000</v>
      </c>
      <c r="BG120" s="171">
        <f ca="1">IF(OR($D120&lt;&gt;"Serviço",AND(AUTOEVENTO="Manual",$M120=$A$15)),0,
         IF(OFFSET(CRONOPLE!$F$15,$M120-$A$15,BG$13)=0,10^12,OFFSET(CRONOPLE!$F$15,$M120-$A$15,BG$13)))</f>
        <v>3</v>
      </c>
      <c r="BH120" s="171">
        <f ca="1">IF(OR($D120&lt;&gt;"Serviço",AND(AUTOEVENTO="Manual",$M120=$A$15)),0,
         IF(OFFSET(CRONOPLE!$F$15,$M120-$A$15,BH$13)=0,10^12,OFFSET(CRONOPLE!$F$15,$M120-$A$15,BH$13)))</f>
        <v>1000000000000</v>
      </c>
      <c r="BI120" s="171">
        <f ca="1">IF(OR($D120&lt;&gt;"Serviço",AND(AUTOEVENTO="Manual",$M120=$A$15)),0,
         IF(OFFSET(CRONOPLE!$F$15,$M120-$A$15,BI$13)=0,10^12,OFFSET(CRONOPLE!$F$15,$M120-$A$15,BI$13)))</f>
        <v>1000000000000</v>
      </c>
      <c r="BJ120" s="171">
        <f ca="1">IF(OR($D120&lt;&gt;"Serviço",AND(AUTOEVENTO="Manual",$M120=$A$15)),0,
         IF(OFFSET(CRONOPLE!$F$15,$M120-$A$15,BJ$13)=0,10^12,OFFSET(CRONOPLE!$F$15,$M120-$A$15,BJ$13)))</f>
        <v>1000000000000</v>
      </c>
      <c r="BK120" s="171">
        <f ca="1">IF(OR($D120&lt;&gt;"Serviço",AND(AUTOEVENTO="Manual",$M120=$A$15)),0,
         IF(OFFSET(CRONOPLE!$F$15,$M120-$A$15,BK$13)=0,10^12,OFFSET(CRONOPLE!$F$15,$M120-$A$15,BK$13)))</f>
        <v>1000000000000</v>
      </c>
      <c r="BL120" s="171">
        <f ca="1">IF(OR($D120&lt;&gt;"Serviço",AND(AUTOEVENTO="Manual",$M120=$A$15)),0,
         IF(OFFSET(CRONOPLE!$F$15,$M120-$A$15,BL$13)=0,10^12,OFFSET(CRONOPLE!$F$15,$M120-$A$15,BL$13)))</f>
        <v>1000000000000</v>
      </c>
      <c r="BM120" s="171">
        <f ca="1">IF(OR($D120&lt;&gt;"Serviço",AND(AUTOEVENTO="Manual",$M120=$A$15)),0,
         IF(OFFSET(CRONOPLE!$F$15,$M120-$A$15,BM$13)=0,10^12,OFFSET(CRONOPLE!$F$15,$M120-$A$15,BM$13)))</f>
        <v>1000000000000</v>
      </c>
      <c r="BN120" s="171">
        <f ca="1">IF(OR($D120&lt;&gt;"Serviço",AND(AUTOEVENTO="Manual",$M120=$A$15)),0,
         IF(OFFSET(CRONOPLE!$F$15,$M120-$A$15,BN$13)=0,10^12,OFFSET(CRONOPLE!$F$15,$M120-$A$15,BN$13)))</f>
        <v>1000000000000</v>
      </c>
      <c r="BO120" s="171">
        <f ca="1">IF(OR($D120&lt;&gt;"Serviço",AND(AUTOEVENTO="Manual",$M120=$A$15)),0,
         IF(OFFSET(CRONOPLE!$F$15,$M120-$A$15,BO$13)=0,10^12,OFFSET(CRONOPLE!$F$15,$M120-$A$15,BO$13)))</f>
        <v>1000000000000</v>
      </c>
      <c r="BP120" s="171">
        <f ca="1">IF(OR($D120&lt;&gt;"Serviço",AND(AUTOEVENTO="Manual",$M120=$A$15)),0,
         IF(OFFSET(CRONOPLE!$F$15,$M120-$A$15,BP$13)=0,10^12,OFFSET(CRONOPLE!$F$15,$M120-$A$15,BP$13)))</f>
        <v>1000000000000</v>
      </c>
      <c r="BQ120" s="171">
        <f ca="1">IF(OR($D120&lt;&gt;"Serviço",AND(AUTOEVENTO="Manual",$M120=$A$15)),0,
         IF(OFFSET(CRONOPLE!$F$15,$M120-$A$15,BQ$13)=0,10^12,OFFSET(CRONOPLE!$F$15,$M120-$A$15,BQ$13)))</f>
        <v>1000000000000</v>
      </c>
      <c r="BR120" s="171">
        <f ca="1">IF(OR($D120&lt;&gt;"Serviço",AND(AUTOEVENTO="Manual",$M120=$A$15)),0,
         IF(OFFSET(CRONOPLE!$F$15,$M120-$A$15,BR$13)=0,10^12,OFFSET(CRONOPLE!$F$15,$M120-$A$15,BR$13)))</f>
        <v>1000000000000</v>
      </c>
      <c r="BS120" s="171">
        <f ca="1">IF(OR($D120&lt;&gt;"Serviço",AND(AUTOEVENTO="Manual",$M120=$A$15)),0,
         IF(OFFSET(CRONOPLE!$F$15,$M120-$A$15,BS$13)=0,10^12,OFFSET(CRONOPLE!$F$15,$M120-$A$15,BS$13)))</f>
        <v>1000000000000</v>
      </c>
      <c r="BT120" s="171">
        <f ca="1">IF(OR($D120&lt;&gt;"Serviço",AND(AUTOEVENTO="Manual",$M120=$A$15)),0,
         IF(OFFSET(CRONOPLE!$F$15,$M120-$A$15,BT$13)=0,10^12,OFFSET(CRONOPLE!$F$15,$M120-$A$15,BT$13)))</f>
        <v>1000000000000</v>
      </c>
      <c r="BV120" s="172">
        <f ca="1">IF(OR($D120&lt;&gt;"Serviço",AND(AUTOEVENTO="Manual",$M120=$A$15),$M120&gt;(ROW(PLE.lastrow)-ROW(PLE.firstrow))),0,
           IF(OFFSET(PLE!$G$15,$M120-$A$15,BV$13)="",10^12,OFFSET(PLE!$G$15,$M120-$A$15,BV$13)))</f>
        <v>1000000000000</v>
      </c>
      <c r="BW120" s="172">
        <f ca="1">IF(OR($D120&lt;&gt;"Serviço",AND(AUTOEVENTO="Manual",$M120=$A$15),$M120&gt;(ROW(PLE.lastrow)-ROW(PLE.firstrow))),0,
           IF(OFFSET(PLE!$G$15,$M120-$A$15,BW$13)="",10^12,OFFSET(PLE!$G$15,$M120-$A$15,BW$13)))</f>
        <v>1000000000000</v>
      </c>
      <c r="BX120" s="172">
        <f ca="1">IF(OR($D120&lt;&gt;"Serviço",AND(AUTOEVENTO="Manual",$M120=$A$15),$M120&gt;(ROW(PLE.lastrow)-ROW(PLE.firstrow))),0,
           IF(OFFSET(PLE!$G$15,$M120-$A$15,BX$13)="",10^12,OFFSET(PLE!$G$15,$M120-$A$15,BX$13)))</f>
        <v>1000000000000</v>
      </c>
      <c r="BY120" s="172">
        <f ca="1">IF(OR($D120&lt;&gt;"Serviço",AND(AUTOEVENTO="Manual",$M120=$A$15),$M120&gt;(ROW(PLE.lastrow)-ROW(PLE.firstrow))),0,
           IF(OFFSET(PLE!$G$15,$M120-$A$15,BY$13)="",10^12,OFFSET(PLE!$G$15,$M120-$A$15,BY$13)))</f>
        <v>1000000000000</v>
      </c>
      <c r="BZ120" s="172">
        <f ca="1">IF(OR($D120&lt;&gt;"Serviço",AND(AUTOEVENTO="Manual",$M120=$A$15),$M120&gt;(ROW(PLE.lastrow)-ROW(PLE.firstrow))),0,
           IF(OFFSET(PLE!$G$15,$M120-$A$15,BZ$13)="",10^12,OFFSET(PLE!$G$15,$M120-$A$15,BZ$13)))</f>
        <v>1000000000000</v>
      </c>
      <c r="CA120" s="172">
        <f ca="1">IF(OR($D120&lt;&gt;"Serviço",AND(AUTOEVENTO="Manual",$M120=$A$15),$M120&gt;(ROW(PLE.lastrow)-ROW(PLE.firstrow))),0,
           IF(OFFSET(PLE!$G$15,$M120-$A$15,CA$13)="",10^12,OFFSET(PLE!$G$15,$M120-$A$15,CA$13)))</f>
        <v>1000000000000</v>
      </c>
      <c r="CB120" s="172">
        <f ca="1">IF(OR($D120&lt;&gt;"Serviço",AND(AUTOEVENTO="Manual",$M120=$A$15),$M120&gt;(ROW(PLE.lastrow)-ROW(PLE.firstrow))),0,
           IF(OFFSET(PLE!$G$15,$M120-$A$15,CB$13)="",10^12,OFFSET(PLE!$G$15,$M120-$A$15,CB$13)))</f>
        <v>1000000000000</v>
      </c>
      <c r="CC120" s="172">
        <f ca="1">IF(OR($D120&lt;&gt;"Serviço",AND(AUTOEVENTO="Manual",$M120=$A$15),$M120&gt;(ROW(PLE.lastrow)-ROW(PLE.firstrow))),0,
           IF(OFFSET(PLE!$G$15,$M120-$A$15,CC$13)="",10^12,OFFSET(PLE!$G$15,$M120-$A$15,CC$13)))</f>
        <v>1000000000000</v>
      </c>
      <c r="CD120" s="172">
        <f ca="1">IF(OR($D120&lt;&gt;"Serviço",AND(AUTOEVENTO="Manual",$M120=$A$15),$M120&gt;(ROW(PLE.lastrow)-ROW(PLE.firstrow))),0,
           IF(OFFSET(PLE!$G$15,$M120-$A$15,CD$13)="",10^12,OFFSET(PLE!$G$15,$M120-$A$15,CD$13)))</f>
        <v>1000000000000</v>
      </c>
      <c r="CE120" s="172">
        <f ca="1">IF(OR($D120&lt;&gt;"Serviço",AND(AUTOEVENTO="Manual",$M120=$A$15),$M120&gt;(ROW(PLE.lastrow)-ROW(PLE.firstrow))),0,
           IF(OFFSET(PLE!$G$15,$M120-$A$15,CE$13)="",10^12,OFFSET(PLE!$G$15,$M120-$A$15,CE$13)))</f>
        <v>1000000000000</v>
      </c>
      <c r="CF120" s="172">
        <f ca="1">IF(OR($D120&lt;&gt;"Serviço",AND(AUTOEVENTO="Manual",$M120=$A$15),$M120&gt;(ROW(PLE.lastrow)-ROW(PLE.firstrow))),0,
           IF(OFFSET(PLE!$G$15,$M120-$A$15,CF$13)="",10^12,OFFSET(PLE!$G$15,$M120-$A$15,CF$13)))</f>
        <v>1000000000000</v>
      </c>
      <c r="CG120" s="172">
        <f ca="1">IF(OR($D120&lt;&gt;"Serviço",AND(AUTOEVENTO="Manual",$M120=$A$15),$M120&gt;(ROW(PLE.lastrow)-ROW(PLE.firstrow))),0,
           IF(OFFSET(PLE!$G$15,$M120-$A$15,CG$13)="",10^12,OFFSET(PLE!$G$15,$M120-$A$15,CG$13)))</f>
        <v>1000000000000</v>
      </c>
      <c r="CH120" s="172">
        <f ca="1">IF(OR($D120&lt;&gt;"Serviço",AND(AUTOEVENTO="Manual",$M120=$A$15),$M120&gt;(ROW(PLE.lastrow)-ROW(PLE.firstrow))),0,
           IF(OFFSET(PLE!$G$15,$M120-$A$15,CH$13)="",10^12,OFFSET(PLE!$G$15,$M120-$A$15,CH$13)))</f>
        <v>1000000000000</v>
      </c>
      <c r="CI120" s="172">
        <f ca="1">IF(OR($D120&lt;&gt;"Serviço",AND(AUTOEVENTO="Manual",$M120=$A$15),$M120&gt;(ROW(PLE.lastrow)-ROW(PLE.firstrow))),0,
           IF(OFFSET(PLE!$G$15,$M120-$A$15,CI$13)="",10^12,OFFSET(PLE!$G$15,$M120-$A$15,CI$13)))</f>
        <v>1000000000000</v>
      </c>
      <c r="CJ120" s="172">
        <f ca="1">IF(OR($D120&lt;&gt;"Serviço",AND(AUTOEVENTO="Manual",$M120=$A$15),$M120&gt;(ROW(PLE.lastrow)-ROW(PLE.firstrow))),0,
           IF(OFFSET(PLE!$G$15,$M120-$A$15,CJ$13)="",10^12,OFFSET(PLE!$G$15,$M120-$A$15,CJ$13)))</f>
        <v>1000000000000</v>
      </c>
      <c r="CK120" s="172">
        <f ca="1">IF(OR($D120&lt;&gt;"Serviço",AND(AUTOEVENTO="Manual",$M120=$A$15),$M120&gt;(ROW(PLE.lastrow)-ROW(PLE.firstrow))),0,
           IF(OFFSET(PLE!$G$15,$M120-$A$15,CK$13)="",10^12,OFFSET(PLE!$G$15,$M120-$A$15,CK$13)))</f>
        <v>1000000000000</v>
      </c>
      <c r="CL120" s="172">
        <f ca="1">IF(OR($D120&lt;&gt;"Serviço",AND(AUTOEVENTO="Manual",$M120=$A$15),$M120&gt;(ROW(PLE.lastrow)-ROW(PLE.firstrow))),0,
           IF(OFFSET(PLE!$G$15,$M120-$A$15,CL$13)="",10^12,OFFSET(PLE!$G$15,$M120-$A$15,CL$13)))</f>
        <v>1000000000000</v>
      </c>
      <c r="CM120" s="172">
        <f ca="1">IF(OR($D120&lt;&gt;"Serviço",AND(AUTOEVENTO="Manual",$M120=$A$15),$M120&gt;(ROW(PLE.lastrow)-ROW(PLE.firstrow))),0,
           IF(OFFSET(PLE!$G$15,$M120-$A$15,CM$13)="",10^12,OFFSET(PLE!$G$15,$M120-$A$15,CM$13)))</f>
        <v>1000000000000</v>
      </c>
    </row>
    <row r="121" spans="1:91" ht="26.4" x14ac:dyDescent="0.25">
      <c r="A121" s="7" t="str">
        <f t="shared" ca="1" si="11"/>
        <v>101</v>
      </c>
      <c r="B121" s="7" t="str">
        <f ca="1">OFFSET(ORÇAMENTO!C$15,ROW(B121)-ROW(B$15),0)</f>
        <v>S</v>
      </c>
      <c r="C121" s="7" t="str">
        <f ca="1">OFFSET(ORÇAMENTO!L$15,ROW(C121)-ROW(C$15),0)</f>
        <v>F</v>
      </c>
      <c r="D121" s="116" t="str">
        <f ca="1">OFFSET(ORÇAMENTO!N$15,ROW(D121)-ROW(D$15),0)</f>
        <v>Serviço</v>
      </c>
      <c r="E121" s="117" t="str">
        <f ca="1">OFFSET(ORÇAMENTO!O$15,ROW(E121)-ROW(E$15),0)</f>
        <v>3.3.5.</v>
      </c>
      <c r="F121" s="163" t="str">
        <f ca="1">OFFSET(ORÇAMENTO!R$15,ROW(F121)-ROW(F$15),0)</f>
        <v>Transporte com caminhão basculante de 10 m³ - rodovia pavimentada</v>
      </c>
      <c r="G121" s="164" t="str">
        <f ca="1">IF($D121&lt;&gt;"Serviço","",OFFSET(ORÇAMENTO!S$15,ROW(G121)-ROW(G$15),0))</f>
        <v>tkm</v>
      </c>
      <c r="H121" s="122" cm="1">
        <f t="array" aca="1" ref="H121" ca="1">IF($D121&lt;&gt;"Serviço",0,IF(ACOMPANHAMENTO="BM",ROUND(OFFSET(ORÇAMENTO!AJ$15,ROW(H121)-ROW(H$15),0),15-13*ORÇAMENTO!$AF$7),SUMPRODUCT(($Q$1:$AI$1=1)*ROUND($Q121:$AI121,15-13*ORÇAMENTO!$AF$7))))</f>
        <v>96.18</v>
      </c>
      <c r="I121" s="468"/>
      <c r="J121" s="651" t="e" cm="1">
        <f t="array" aca="1" ref="J121" ca="1">IF(OR(B121&lt;&gt;"S",CÁLCULO.FrentesPreenchidas=0),"",IF(AND(ACOMPANHAMENTO="PLE",AUTOEVENTO="Manual",OR(H121&gt;0,ORÇAMENTO!AC121="QUANT."),OR(K121="",M121=0,N121="")),"►E",IF(AND(ACOMPANHAMENTO="PLE",ORÇAMENTO!AC121="QUANT."),"►Q",IF(AND(ACOMPANHAMENTO="PLE",H121&lt;&gt;SUMPRODUCT(($Q$1:$AI$1=1)*ROUND(Q121:AI121,15))),"►S",IF(AND(COUNTIF($P$11:$AI$11,"▼")=0,H121&gt;0,I121=""),"◄M","")))))</f>
        <v>#NAME?</v>
      </c>
      <c r="K121" s="652"/>
      <c r="L121" s="165" t="s">
        <v>764</v>
      </c>
      <c r="M121" s="166">
        <f ca="1">IF($D121&lt;&gt;"Serviço","",
          IF(AUTOEVENTO="manual",$A121,
                IF(ISERROR(MATCH($A121,$A$15:OFFSET($A121,-1,0),0)),MAX($M$15:OFFSET(M121,-1,0))+1,
                      INDEX($M$15:OFFSET(M121,-1,0),MATCH($A121,$A$15:OFFSET($A121,-1,0),0)))))</f>
        <v>16</v>
      </c>
      <c r="N121" s="167" t="str">
        <f ca="1">IF($D121&lt;&gt;"Serviço","",
         IF(AUTOEVENTO="Manual",
                IF($A121=0,"&lt;-- defina o número do agrupador",
                       OFFSET(EVENTOS!$D$15,$A121-$A$15,0)),
                OFFSET($F$15,$A121,0)))</f>
        <v>LOMBADAS TIPO A (3,70m de comprimento x 0,10m altura)</v>
      </c>
      <c r="O121" s="168"/>
      <c r="Q121" s="168"/>
      <c r="R121" s="169"/>
      <c r="S121" s="169"/>
      <c r="T121" s="169"/>
      <c r="U121" s="169">
        <f>U120*21</f>
        <v>96.18</v>
      </c>
      <c r="V121" s="169"/>
      <c r="W121" s="169"/>
      <c r="X121" s="169"/>
      <c r="Y121" s="169"/>
      <c r="Z121" s="170"/>
      <c r="AA121" s="169"/>
      <c r="AB121" s="169"/>
      <c r="AC121" s="169"/>
      <c r="AD121" s="169"/>
      <c r="AE121" s="169"/>
      <c r="AF121" s="169"/>
      <c r="AG121" s="169"/>
      <c r="AH121" s="170"/>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L121" s="453">
        <f ca="1">IF(AND($D121="Serviço",AL$12&lt;&gt;0,$H121&gt;0,OR(AUTOEVENTO&lt;&gt;"manual",$M121&lt;&gt;$A$15)),
        IF(Import.TipoArredondamento&lt;&gt;"TransfereGOV",
              ROUND(OFFSET($P121,0,AL$13),15-13*ORÇAMENTO!$AF$7)/$H121*OFFSET(ORÇAMENTO!$X$15,ROW(AL121)-ROW(AL$15),0),
              ROUND(ROUND(OFFSET($P121,0,AL$13),15-13*ORÇAMENTO!$AF$7)*OFFSET(ORÇAMENTO!$W$15,ROW(AL121)-ROW(AL$15),0),15-13*ORÇAMENTO!$AF$11)),
         0)</f>
        <v>0</v>
      </c>
      <c r="AM121" s="453">
        <f ca="1">IF(AND($D121="Serviço",AM$12&lt;&gt;0,$H121&gt;0,OR(AUTOEVENTO&lt;&gt;"manual",$M121&lt;&gt;$A$15)),
        IF(Import.TipoArredondamento&lt;&gt;"TransfereGOV",
              ROUND(OFFSET($P121,0,AM$13),15-13*ORÇAMENTO!$AF$7)/$H121*OFFSET(ORÇAMENTO!$X$15,ROW(AM121)-ROW(AM$15),0),
              ROUND(ROUND(OFFSET($P121,0,AM$13),15-13*ORÇAMENTO!$AF$7)*OFFSET(ORÇAMENTO!$W$15,ROW(AM121)-ROW(AM$15),0),15-13*ORÇAMENTO!$AF$11)),
         0)</f>
        <v>0</v>
      </c>
      <c r="AN121" s="453">
        <f ca="1">IF(AND($D121="Serviço",AN$12&lt;&gt;0,$H121&gt;0,OR(AUTOEVENTO&lt;&gt;"manual",$M121&lt;&gt;$A$15)),
        IF(Import.TipoArredondamento&lt;&gt;"TransfereGOV",
              ROUND(OFFSET($P121,0,AN$13),15-13*ORÇAMENTO!$AF$7)/$H121*OFFSET(ORÇAMENTO!$X$15,ROW(AN121)-ROW(AN$15),0),
              ROUND(ROUND(OFFSET($P121,0,AN$13),15-13*ORÇAMENTO!$AF$7)*OFFSET(ORÇAMENTO!$W$15,ROW(AN121)-ROW(AN$15),0),15-13*ORÇAMENTO!$AF$11)),
         0)</f>
        <v>97.14</v>
      </c>
      <c r="AO121" s="453">
        <f ca="1">IF(AND($D121="Serviço",AO$12&lt;&gt;0,$H121&gt;0,OR(AUTOEVENTO&lt;&gt;"manual",$M121&lt;&gt;$A$15)),
        IF(Import.TipoArredondamento&lt;&gt;"TransfereGOV",
              ROUND(OFFSET($P121,0,AO$13),15-13*ORÇAMENTO!$AF$7)/$H121*OFFSET(ORÇAMENTO!$X$15,ROW(AO121)-ROW(AO$15),0),
              ROUND(ROUND(OFFSET($P121,0,AO$13),15-13*ORÇAMENTO!$AF$7)*OFFSET(ORÇAMENTO!$W$15,ROW(AO121)-ROW(AO$15),0),15-13*ORÇAMENTO!$AF$11)),
         0)</f>
        <v>0</v>
      </c>
      <c r="AP121" s="453">
        <f ca="1">IF(AND($D121="Serviço",AP$12&lt;&gt;0,$H121&gt;0,OR(AUTOEVENTO&lt;&gt;"manual",$M121&lt;&gt;$A$15)),
        IF(Import.TipoArredondamento&lt;&gt;"TransfereGOV",
              ROUND(OFFSET($P121,0,AP$13),15-13*ORÇAMENTO!$AF$7)/$H121*OFFSET(ORÇAMENTO!$X$15,ROW(AP121)-ROW(AP$15),0),
              ROUND(ROUND(OFFSET($P121,0,AP$13),15-13*ORÇAMENTO!$AF$7)*OFFSET(ORÇAMENTO!$W$15,ROW(AP121)-ROW(AP$15),0),15-13*ORÇAMENTO!$AF$11)),
         0)</f>
        <v>0</v>
      </c>
      <c r="AQ121" s="453">
        <f ca="1">IF(AND($D121="Serviço",AQ$12&lt;&gt;0,$H121&gt;0,OR(AUTOEVENTO&lt;&gt;"manual",$M121&lt;&gt;$A$15)),
        IF(Import.TipoArredondamento&lt;&gt;"TransfereGOV",
              ROUND(OFFSET($P121,0,AQ$13),15-13*ORÇAMENTO!$AF$7)/$H121*OFFSET(ORÇAMENTO!$X$15,ROW(AQ121)-ROW(AQ$15),0),
              ROUND(ROUND(OFFSET($P121,0,AQ$13),15-13*ORÇAMENTO!$AF$7)*OFFSET(ORÇAMENTO!$W$15,ROW(AQ121)-ROW(AQ$15),0),15-13*ORÇAMENTO!$AF$11)),
         0)</f>
        <v>0</v>
      </c>
      <c r="AR121" s="453">
        <f ca="1">IF(AND($D121="Serviço",AR$12&lt;&gt;0,$H121&gt;0,OR(AUTOEVENTO&lt;&gt;"manual",$M121&lt;&gt;$A$15)),
        IF(Import.TipoArredondamento&lt;&gt;"TransfereGOV",
              ROUND(OFFSET($P121,0,AR$13),15-13*ORÇAMENTO!$AF$7)/$H121*OFFSET(ORÇAMENTO!$X$15,ROW(AR121)-ROW(AR$15),0),
              ROUND(ROUND(OFFSET($P121,0,AR$13),15-13*ORÇAMENTO!$AF$7)*OFFSET(ORÇAMENTO!$W$15,ROW(AR121)-ROW(AR$15),0),15-13*ORÇAMENTO!$AF$11)),
         0)</f>
        <v>0</v>
      </c>
      <c r="AS121" s="453">
        <f ca="1">IF(AND($D121="Serviço",AS$12&lt;&gt;0,$H121&gt;0,OR(AUTOEVENTO&lt;&gt;"manual",$M121&lt;&gt;$A$15)),
        IF(Import.TipoArredondamento&lt;&gt;"TransfereGOV",
              ROUND(OFFSET($P121,0,AS$13),15-13*ORÇAMENTO!$AF$7)/$H121*OFFSET(ORÇAMENTO!$X$15,ROW(AS121)-ROW(AS$15),0),
              ROUND(ROUND(OFFSET($P121,0,AS$13),15-13*ORÇAMENTO!$AF$7)*OFFSET(ORÇAMENTO!$W$15,ROW(AS121)-ROW(AS$15),0),15-13*ORÇAMENTO!$AF$11)),
         0)</f>
        <v>0</v>
      </c>
      <c r="AT121" s="453">
        <f ca="1">IF(AND($D121="Serviço",AT$12&lt;&gt;0,$H121&gt;0,OR(AUTOEVENTO&lt;&gt;"manual",$M121&lt;&gt;$A$15)),
        IF(Import.TipoArredondamento&lt;&gt;"TransfereGOV",
              ROUND(OFFSET($P121,0,AT$13),15-13*ORÇAMENTO!$AF$7)/$H121*OFFSET(ORÇAMENTO!$X$15,ROW(AT121)-ROW(AT$15),0),
              ROUND(ROUND(OFFSET($P121,0,AT$13),15-13*ORÇAMENTO!$AF$7)*OFFSET(ORÇAMENTO!$W$15,ROW(AT121)-ROW(AT$15),0),15-13*ORÇAMENTO!$AF$11)),
         0)</f>
        <v>0</v>
      </c>
      <c r="AU121" s="453">
        <f ca="1">IF(AND($D121="Serviço",AU$12&lt;&gt;0,$H121&gt;0,OR(AUTOEVENTO&lt;&gt;"manual",$M121&lt;&gt;$A$15)),
        IF(Import.TipoArredondamento&lt;&gt;"TransfereGOV",
              ROUND(OFFSET($P121,0,AU$13),15-13*ORÇAMENTO!$AF$7)/$H121*OFFSET(ORÇAMENTO!$X$15,ROW(AU121)-ROW(AU$15),0),
              ROUND(ROUND(OFFSET($P121,0,AU$13),15-13*ORÇAMENTO!$AF$7)*OFFSET(ORÇAMENTO!$W$15,ROW(AU121)-ROW(AU$15),0),15-13*ORÇAMENTO!$AF$11)),
         0)</f>
        <v>0</v>
      </c>
      <c r="AV121" s="453">
        <f ca="1">IF(AND($D121="Serviço",AV$12&lt;&gt;0,$H121&gt;0,OR(AUTOEVENTO&lt;&gt;"manual",$M121&lt;&gt;$A$15)),
        IF(Import.TipoArredondamento&lt;&gt;"TransfereGOV",
              ROUND(OFFSET($P121,0,AV$13),15-13*ORÇAMENTO!$AF$7)/$H121*OFFSET(ORÇAMENTO!$X$15,ROW(AV121)-ROW(AV$15),0),
              ROUND(ROUND(OFFSET($P121,0,AV$13),15-13*ORÇAMENTO!$AF$7)*OFFSET(ORÇAMENTO!$W$15,ROW(AV121)-ROW(AV$15),0),15-13*ORÇAMENTO!$AF$11)),
         0)</f>
        <v>0</v>
      </c>
      <c r="AW121" s="453">
        <f ca="1">IF(AND($D121="Serviço",AW$12&lt;&gt;0,$H121&gt;0,OR(AUTOEVENTO&lt;&gt;"manual",$M121&lt;&gt;$A$15)),
        IF(Import.TipoArredondamento&lt;&gt;"TransfereGOV",
              ROUND(OFFSET($P121,0,AW$13),15-13*ORÇAMENTO!$AF$7)/$H121*OFFSET(ORÇAMENTO!$X$15,ROW(AW121)-ROW(AW$15),0),
              ROUND(ROUND(OFFSET($P121,0,AW$13),15-13*ORÇAMENTO!$AF$7)*OFFSET(ORÇAMENTO!$W$15,ROW(AW121)-ROW(AW$15),0),15-13*ORÇAMENTO!$AF$11)),
         0)</f>
        <v>0</v>
      </c>
      <c r="AX121" s="453">
        <f ca="1">IF(AND($D121="Serviço",AX$12&lt;&gt;0,$H121&gt;0,OR(AUTOEVENTO&lt;&gt;"manual",$M121&lt;&gt;$A$15)),
        IF(Import.TipoArredondamento&lt;&gt;"TransfereGOV",
              ROUND(OFFSET($P121,0,AX$13),15-13*ORÇAMENTO!$AF$7)/$H121*OFFSET(ORÇAMENTO!$X$15,ROW(AX121)-ROW(AX$15),0),
              ROUND(ROUND(OFFSET($P121,0,AX$13),15-13*ORÇAMENTO!$AF$7)*OFFSET(ORÇAMENTO!$W$15,ROW(AX121)-ROW(AX$15),0),15-13*ORÇAMENTO!$AF$11)),
         0)</f>
        <v>0</v>
      </c>
      <c r="AY121" s="453">
        <f ca="1">IF(AND($D121="Serviço",AY$12&lt;&gt;0,$H121&gt;0,OR(AUTOEVENTO&lt;&gt;"manual",$M121&lt;&gt;$A$15)),
        IF(Import.TipoArredondamento&lt;&gt;"TransfereGOV",
              ROUND(OFFSET($P121,0,AY$13),15-13*ORÇAMENTO!$AF$7)/$H121*OFFSET(ORÇAMENTO!$X$15,ROW(AY121)-ROW(AY$15),0),
              ROUND(ROUND(OFFSET($P121,0,AY$13),15-13*ORÇAMENTO!$AF$7)*OFFSET(ORÇAMENTO!$W$15,ROW(AY121)-ROW(AY$15),0),15-13*ORÇAMENTO!$AF$11)),
         0)</f>
        <v>0</v>
      </c>
      <c r="AZ121" s="453">
        <f ca="1">IF(AND($D121="Serviço",AZ$12&lt;&gt;0,$H121&gt;0,OR(AUTOEVENTO&lt;&gt;"manual",$M121&lt;&gt;$A$15)),
        IF(Import.TipoArredondamento&lt;&gt;"TransfereGOV",
              ROUND(OFFSET($P121,0,AZ$13),15-13*ORÇAMENTO!$AF$7)/$H121*OFFSET(ORÇAMENTO!$X$15,ROW(AZ121)-ROW(AZ$15),0),
              ROUND(ROUND(OFFSET($P121,0,AZ$13),15-13*ORÇAMENTO!$AF$7)*OFFSET(ORÇAMENTO!$W$15,ROW(AZ121)-ROW(AZ$15),0),15-13*ORÇAMENTO!$AF$11)),
         0)</f>
        <v>0</v>
      </c>
      <c r="BA121" s="453">
        <f ca="1">IF(AND($D121="Serviço",BA$12&lt;&gt;0,$H121&gt;0,OR(AUTOEVENTO&lt;&gt;"manual",$M121&lt;&gt;$A$15)),
        IF(Import.TipoArredondamento&lt;&gt;"TransfereGOV",
              ROUND(OFFSET($P121,0,BA$13),15-13*ORÇAMENTO!$AF$7)/$H121*OFFSET(ORÇAMENTO!$X$15,ROW(BA121)-ROW(BA$15),0),
              ROUND(ROUND(OFFSET($P121,0,BA$13),15-13*ORÇAMENTO!$AF$7)*OFFSET(ORÇAMENTO!$W$15,ROW(BA121)-ROW(BA$15),0),15-13*ORÇAMENTO!$AF$11)),
         0)</f>
        <v>0</v>
      </c>
      <c r="BC121" s="171">
        <f ca="1">IF(OR($D121&lt;&gt;"Serviço",AND(AUTOEVENTO="Manual",$M121=$A$15)),0,
         IF(OFFSET(CRONOPLE!$F$15,$M121-$A$15,BC$13)=0,10^12,OFFSET(CRONOPLE!$F$15,$M121-$A$15,BC$13)))</f>
        <v>1000000000000</v>
      </c>
      <c r="BD121" s="171">
        <f ca="1">IF(OR($D121&lt;&gt;"Serviço",AND(AUTOEVENTO="Manual",$M121=$A$15)),0,
         IF(OFFSET(CRONOPLE!$F$15,$M121-$A$15,BD$13)=0,10^12,OFFSET(CRONOPLE!$F$15,$M121-$A$15,BD$13)))</f>
        <v>1000000000000</v>
      </c>
      <c r="BE121" s="171">
        <f ca="1">IF(OR($D121&lt;&gt;"Serviço",AND(AUTOEVENTO="Manual",$M121=$A$15)),0,
         IF(OFFSET(CRONOPLE!$F$15,$M121-$A$15,BE$13)=0,10^12,OFFSET(CRONOPLE!$F$15,$M121-$A$15,BE$13)))</f>
        <v>1000000000000</v>
      </c>
      <c r="BF121" s="171">
        <f ca="1">IF(OR($D121&lt;&gt;"Serviço",AND(AUTOEVENTO="Manual",$M121=$A$15)),0,
         IF(OFFSET(CRONOPLE!$F$15,$M121-$A$15,BF$13)=0,10^12,OFFSET(CRONOPLE!$F$15,$M121-$A$15,BF$13)))</f>
        <v>1000000000000</v>
      </c>
      <c r="BG121" s="171">
        <f ca="1">IF(OR($D121&lt;&gt;"Serviço",AND(AUTOEVENTO="Manual",$M121=$A$15)),0,
         IF(OFFSET(CRONOPLE!$F$15,$M121-$A$15,BG$13)=0,10^12,OFFSET(CRONOPLE!$F$15,$M121-$A$15,BG$13)))</f>
        <v>3</v>
      </c>
      <c r="BH121" s="171">
        <f ca="1">IF(OR($D121&lt;&gt;"Serviço",AND(AUTOEVENTO="Manual",$M121=$A$15)),0,
         IF(OFFSET(CRONOPLE!$F$15,$M121-$A$15,BH$13)=0,10^12,OFFSET(CRONOPLE!$F$15,$M121-$A$15,BH$13)))</f>
        <v>1000000000000</v>
      </c>
      <c r="BI121" s="171">
        <f ca="1">IF(OR($D121&lt;&gt;"Serviço",AND(AUTOEVENTO="Manual",$M121=$A$15)),0,
         IF(OFFSET(CRONOPLE!$F$15,$M121-$A$15,BI$13)=0,10^12,OFFSET(CRONOPLE!$F$15,$M121-$A$15,BI$13)))</f>
        <v>1000000000000</v>
      </c>
      <c r="BJ121" s="171">
        <f ca="1">IF(OR($D121&lt;&gt;"Serviço",AND(AUTOEVENTO="Manual",$M121=$A$15)),0,
         IF(OFFSET(CRONOPLE!$F$15,$M121-$A$15,BJ$13)=0,10^12,OFFSET(CRONOPLE!$F$15,$M121-$A$15,BJ$13)))</f>
        <v>1000000000000</v>
      </c>
      <c r="BK121" s="171">
        <f ca="1">IF(OR($D121&lt;&gt;"Serviço",AND(AUTOEVENTO="Manual",$M121=$A$15)),0,
         IF(OFFSET(CRONOPLE!$F$15,$M121-$A$15,BK$13)=0,10^12,OFFSET(CRONOPLE!$F$15,$M121-$A$15,BK$13)))</f>
        <v>1000000000000</v>
      </c>
      <c r="BL121" s="171">
        <f ca="1">IF(OR($D121&lt;&gt;"Serviço",AND(AUTOEVENTO="Manual",$M121=$A$15)),0,
         IF(OFFSET(CRONOPLE!$F$15,$M121-$A$15,BL$13)=0,10^12,OFFSET(CRONOPLE!$F$15,$M121-$A$15,BL$13)))</f>
        <v>1000000000000</v>
      </c>
      <c r="BM121" s="171">
        <f ca="1">IF(OR($D121&lt;&gt;"Serviço",AND(AUTOEVENTO="Manual",$M121=$A$15)),0,
         IF(OFFSET(CRONOPLE!$F$15,$M121-$A$15,BM$13)=0,10^12,OFFSET(CRONOPLE!$F$15,$M121-$A$15,BM$13)))</f>
        <v>1000000000000</v>
      </c>
      <c r="BN121" s="171">
        <f ca="1">IF(OR($D121&lt;&gt;"Serviço",AND(AUTOEVENTO="Manual",$M121=$A$15)),0,
         IF(OFFSET(CRONOPLE!$F$15,$M121-$A$15,BN$13)=0,10^12,OFFSET(CRONOPLE!$F$15,$M121-$A$15,BN$13)))</f>
        <v>1000000000000</v>
      </c>
      <c r="BO121" s="171">
        <f ca="1">IF(OR($D121&lt;&gt;"Serviço",AND(AUTOEVENTO="Manual",$M121=$A$15)),0,
         IF(OFFSET(CRONOPLE!$F$15,$M121-$A$15,BO$13)=0,10^12,OFFSET(CRONOPLE!$F$15,$M121-$A$15,BO$13)))</f>
        <v>1000000000000</v>
      </c>
      <c r="BP121" s="171">
        <f ca="1">IF(OR($D121&lt;&gt;"Serviço",AND(AUTOEVENTO="Manual",$M121=$A$15)),0,
         IF(OFFSET(CRONOPLE!$F$15,$M121-$A$15,BP$13)=0,10^12,OFFSET(CRONOPLE!$F$15,$M121-$A$15,BP$13)))</f>
        <v>1000000000000</v>
      </c>
      <c r="BQ121" s="171">
        <f ca="1">IF(OR($D121&lt;&gt;"Serviço",AND(AUTOEVENTO="Manual",$M121=$A$15)),0,
         IF(OFFSET(CRONOPLE!$F$15,$M121-$A$15,BQ$13)=0,10^12,OFFSET(CRONOPLE!$F$15,$M121-$A$15,BQ$13)))</f>
        <v>1000000000000</v>
      </c>
      <c r="BR121" s="171">
        <f ca="1">IF(OR($D121&lt;&gt;"Serviço",AND(AUTOEVENTO="Manual",$M121=$A$15)),0,
         IF(OFFSET(CRONOPLE!$F$15,$M121-$A$15,BR$13)=0,10^12,OFFSET(CRONOPLE!$F$15,$M121-$A$15,BR$13)))</f>
        <v>1000000000000</v>
      </c>
      <c r="BS121" s="171">
        <f ca="1">IF(OR($D121&lt;&gt;"Serviço",AND(AUTOEVENTO="Manual",$M121=$A$15)),0,
         IF(OFFSET(CRONOPLE!$F$15,$M121-$A$15,BS$13)=0,10^12,OFFSET(CRONOPLE!$F$15,$M121-$A$15,BS$13)))</f>
        <v>1000000000000</v>
      </c>
      <c r="BT121" s="171">
        <f ca="1">IF(OR($D121&lt;&gt;"Serviço",AND(AUTOEVENTO="Manual",$M121=$A$15)),0,
         IF(OFFSET(CRONOPLE!$F$15,$M121-$A$15,BT$13)=0,10^12,OFFSET(CRONOPLE!$F$15,$M121-$A$15,BT$13)))</f>
        <v>1000000000000</v>
      </c>
      <c r="BV121" s="172">
        <f ca="1">IF(OR($D121&lt;&gt;"Serviço",AND(AUTOEVENTO="Manual",$M121=$A$15),$M121&gt;(ROW(PLE.lastrow)-ROW(PLE.firstrow))),0,
           IF(OFFSET(PLE!$G$15,$M121-$A$15,BV$13)="",10^12,OFFSET(PLE!$G$15,$M121-$A$15,BV$13)))</f>
        <v>1000000000000</v>
      </c>
      <c r="BW121" s="172">
        <f ca="1">IF(OR($D121&lt;&gt;"Serviço",AND(AUTOEVENTO="Manual",$M121=$A$15),$M121&gt;(ROW(PLE.lastrow)-ROW(PLE.firstrow))),0,
           IF(OFFSET(PLE!$G$15,$M121-$A$15,BW$13)="",10^12,OFFSET(PLE!$G$15,$M121-$A$15,BW$13)))</f>
        <v>1000000000000</v>
      </c>
      <c r="BX121" s="172">
        <f ca="1">IF(OR($D121&lt;&gt;"Serviço",AND(AUTOEVENTO="Manual",$M121=$A$15),$M121&gt;(ROW(PLE.lastrow)-ROW(PLE.firstrow))),0,
           IF(OFFSET(PLE!$G$15,$M121-$A$15,BX$13)="",10^12,OFFSET(PLE!$G$15,$M121-$A$15,BX$13)))</f>
        <v>1000000000000</v>
      </c>
      <c r="BY121" s="172">
        <f ca="1">IF(OR($D121&lt;&gt;"Serviço",AND(AUTOEVENTO="Manual",$M121=$A$15),$M121&gt;(ROW(PLE.lastrow)-ROW(PLE.firstrow))),0,
           IF(OFFSET(PLE!$G$15,$M121-$A$15,BY$13)="",10^12,OFFSET(PLE!$G$15,$M121-$A$15,BY$13)))</f>
        <v>1000000000000</v>
      </c>
      <c r="BZ121" s="172">
        <f ca="1">IF(OR($D121&lt;&gt;"Serviço",AND(AUTOEVENTO="Manual",$M121=$A$15),$M121&gt;(ROW(PLE.lastrow)-ROW(PLE.firstrow))),0,
           IF(OFFSET(PLE!$G$15,$M121-$A$15,BZ$13)="",10^12,OFFSET(PLE!$G$15,$M121-$A$15,BZ$13)))</f>
        <v>1000000000000</v>
      </c>
      <c r="CA121" s="172">
        <f ca="1">IF(OR($D121&lt;&gt;"Serviço",AND(AUTOEVENTO="Manual",$M121=$A$15),$M121&gt;(ROW(PLE.lastrow)-ROW(PLE.firstrow))),0,
           IF(OFFSET(PLE!$G$15,$M121-$A$15,CA$13)="",10^12,OFFSET(PLE!$G$15,$M121-$A$15,CA$13)))</f>
        <v>1000000000000</v>
      </c>
      <c r="CB121" s="172">
        <f ca="1">IF(OR($D121&lt;&gt;"Serviço",AND(AUTOEVENTO="Manual",$M121=$A$15),$M121&gt;(ROW(PLE.lastrow)-ROW(PLE.firstrow))),0,
           IF(OFFSET(PLE!$G$15,$M121-$A$15,CB$13)="",10^12,OFFSET(PLE!$G$15,$M121-$A$15,CB$13)))</f>
        <v>1000000000000</v>
      </c>
      <c r="CC121" s="172">
        <f ca="1">IF(OR($D121&lt;&gt;"Serviço",AND(AUTOEVENTO="Manual",$M121=$A$15),$M121&gt;(ROW(PLE.lastrow)-ROW(PLE.firstrow))),0,
           IF(OFFSET(PLE!$G$15,$M121-$A$15,CC$13)="",10^12,OFFSET(PLE!$G$15,$M121-$A$15,CC$13)))</f>
        <v>1000000000000</v>
      </c>
      <c r="CD121" s="172">
        <f ca="1">IF(OR($D121&lt;&gt;"Serviço",AND(AUTOEVENTO="Manual",$M121=$A$15),$M121&gt;(ROW(PLE.lastrow)-ROW(PLE.firstrow))),0,
           IF(OFFSET(PLE!$G$15,$M121-$A$15,CD$13)="",10^12,OFFSET(PLE!$G$15,$M121-$A$15,CD$13)))</f>
        <v>1000000000000</v>
      </c>
      <c r="CE121" s="172">
        <f ca="1">IF(OR($D121&lt;&gt;"Serviço",AND(AUTOEVENTO="Manual",$M121=$A$15),$M121&gt;(ROW(PLE.lastrow)-ROW(PLE.firstrow))),0,
           IF(OFFSET(PLE!$G$15,$M121-$A$15,CE$13)="",10^12,OFFSET(PLE!$G$15,$M121-$A$15,CE$13)))</f>
        <v>1000000000000</v>
      </c>
      <c r="CF121" s="172">
        <f ca="1">IF(OR($D121&lt;&gt;"Serviço",AND(AUTOEVENTO="Manual",$M121=$A$15),$M121&gt;(ROW(PLE.lastrow)-ROW(PLE.firstrow))),0,
           IF(OFFSET(PLE!$G$15,$M121-$A$15,CF$13)="",10^12,OFFSET(PLE!$G$15,$M121-$A$15,CF$13)))</f>
        <v>1000000000000</v>
      </c>
      <c r="CG121" s="172">
        <f ca="1">IF(OR($D121&lt;&gt;"Serviço",AND(AUTOEVENTO="Manual",$M121=$A$15),$M121&gt;(ROW(PLE.lastrow)-ROW(PLE.firstrow))),0,
           IF(OFFSET(PLE!$G$15,$M121-$A$15,CG$13)="",10^12,OFFSET(PLE!$G$15,$M121-$A$15,CG$13)))</f>
        <v>1000000000000</v>
      </c>
      <c r="CH121" s="172">
        <f ca="1">IF(OR($D121&lt;&gt;"Serviço",AND(AUTOEVENTO="Manual",$M121=$A$15),$M121&gt;(ROW(PLE.lastrow)-ROW(PLE.firstrow))),0,
           IF(OFFSET(PLE!$G$15,$M121-$A$15,CH$13)="",10^12,OFFSET(PLE!$G$15,$M121-$A$15,CH$13)))</f>
        <v>1000000000000</v>
      </c>
      <c r="CI121" s="172">
        <f ca="1">IF(OR($D121&lt;&gt;"Serviço",AND(AUTOEVENTO="Manual",$M121=$A$15),$M121&gt;(ROW(PLE.lastrow)-ROW(PLE.firstrow))),0,
           IF(OFFSET(PLE!$G$15,$M121-$A$15,CI$13)="",10^12,OFFSET(PLE!$G$15,$M121-$A$15,CI$13)))</f>
        <v>1000000000000</v>
      </c>
      <c r="CJ121" s="172">
        <f ca="1">IF(OR($D121&lt;&gt;"Serviço",AND(AUTOEVENTO="Manual",$M121=$A$15),$M121&gt;(ROW(PLE.lastrow)-ROW(PLE.firstrow))),0,
           IF(OFFSET(PLE!$G$15,$M121-$A$15,CJ$13)="",10^12,OFFSET(PLE!$G$15,$M121-$A$15,CJ$13)))</f>
        <v>1000000000000</v>
      </c>
      <c r="CK121" s="172">
        <f ca="1">IF(OR($D121&lt;&gt;"Serviço",AND(AUTOEVENTO="Manual",$M121=$A$15),$M121&gt;(ROW(PLE.lastrow)-ROW(PLE.firstrow))),0,
           IF(OFFSET(PLE!$G$15,$M121-$A$15,CK$13)="",10^12,OFFSET(PLE!$G$15,$M121-$A$15,CK$13)))</f>
        <v>1000000000000</v>
      </c>
      <c r="CL121" s="172">
        <f ca="1">IF(OR($D121&lt;&gt;"Serviço",AND(AUTOEVENTO="Manual",$M121=$A$15),$M121&gt;(ROW(PLE.lastrow)-ROW(PLE.firstrow))),0,
           IF(OFFSET(PLE!$G$15,$M121-$A$15,CL$13)="",10^12,OFFSET(PLE!$G$15,$M121-$A$15,CL$13)))</f>
        <v>1000000000000</v>
      </c>
      <c r="CM121" s="172">
        <f ca="1">IF(OR($D121&lt;&gt;"Serviço",AND(AUTOEVENTO="Manual",$M121=$A$15),$M121&gt;(ROW(PLE.lastrow)-ROW(PLE.firstrow))),0,
           IF(OFFSET(PLE!$G$15,$M121-$A$15,CM$13)="",10^12,OFFSET(PLE!$G$15,$M121-$A$15,CM$13)))</f>
        <v>1000000000000</v>
      </c>
    </row>
    <row r="122" spans="1:91" ht="26.4" x14ac:dyDescent="0.25">
      <c r="A122" s="7" t="str">
        <f t="shared" ca="1" si="11"/>
        <v>101</v>
      </c>
      <c r="B122" s="7" t="str">
        <f ca="1">OFFSET(ORÇAMENTO!C$15,ROW(B122)-ROW(B$15),0)</f>
        <v>S</v>
      </c>
      <c r="C122" s="7" t="str">
        <f ca="1">OFFSET(ORÇAMENTO!L$15,ROW(C122)-ROW(C$15),0)</f>
        <v>F</v>
      </c>
      <c r="D122" s="116" t="str">
        <f ca="1">OFFSET(ORÇAMENTO!N$15,ROW(D122)-ROW(D$15),0)</f>
        <v>Serviço</v>
      </c>
      <c r="E122" s="117" t="str">
        <f ca="1">OFFSET(ORÇAMENTO!O$15,ROW(E122)-ROW(E$15),0)</f>
        <v>3.3.6.</v>
      </c>
      <c r="F122" s="163" t="str">
        <f ca="1">OFFSET(ORÇAMENTO!R$15,ROW(F122)-ROW(F$15),0)</f>
        <v>CIMENTO ASFÁLTICO CAP 50-70, COLETADO NA ANP, ACRESCIDO DE IMPOSTOS (ICMS, PIS, CONFINS)</v>
      </c>
      <c r="G122" s="164" t="str">
        <f ca="1">IF($D122&lt;&gt;"Serviço","",OFFSET(ORÇAMENTO!S$15,ROW(G122)-ROW(G$15),0))</f>
        <v>KG</v>
      </c>
      <c r="H122" s="122" cm="1">
        <f t="array" aca="1" ref="H122" ca="1">IF($D122&lt;&gt;"Serviço",0,IF(ACOMPANHAMENTO="BM",ROUND(OFFSET(ORÇAMENTO!AJ$15,ROW(H122)-ROW(H$15),0),15-13*ORÇAMENTO!$AF$7),SUMPRODUCT(($Q$1:$AI$1=1)*ROUND($Q122:$AI122,15-13*ORÇAMENTO!$AF$7))))</f>
        <v>259.45999999999998</v>
      </c>
      <c r="I122" s="468"/>
      <c r="J122" s="651" t="e" cm="1">
        <f t="array" aca="1" ref="J122" ca="1">IF(OR(B122&lt;&gt;"S",CÁLCULO.FrentesPreenchidas=0),"",IF(AND(ACOMPANHAMENTO="PLE",AUTOEVENTO="Manual",OR(H122&gt;0,ORÇAMENTO!AC122="QUANT."),OR(K122="",M122=0,N122="")),"►E",IF(AND(ACOMPANHAMENTO="PLE",ORÇAMENTO!AC122="QUANT."),"►Q",IF(AND(ACOMPANHAMENTO="PLE",H122&lt;&gt;SUMPRODUCT(($Q$1:$AI$1=1)*ROUND(Q122:AI122,15))),"►S",IF(AND(COUNTIF($P$11:$AI$11,"▼")=0,H122&gt;0,I122=""),"◄M","")))))</f>
        <v>#NAME?</v>
      </c>
      <c r="K122" s="652"/>
      <c r="L122" s="165" t="s">
        <v>764</v>
      </c>
      <c r="M122" s="166">
        <f ca="1">IF($D122&lt;&gt;"Serviço","",
          IF(AUTOEVENTO="manual",$A122,
                IF(ISERROR(MATCH($A122,$A$15:OFFSET($A122,-1,0),0)),MAX($M$15:OFFSET(M122,-1,0))+1,
                      INDEX($M$15:OFFSET(M122,-1,0),MATCH($A122,$A$15:OFFSET($A122,-1,0),0)))))</f>
        <v>16</v>
      </c>
      <c r="N122" s="167" t="str">
        <f ca="1">IF($D122&lt;&gt;"Serviço","",
         IF(AUTOEVENTO="Manual",
                IF($A122=0,"&lt;-- defina o número do agrupador",
                       OFFSET(EVENTOS!$D$15,$A122-$A$15,0)),
                OFFSET($F$15,$A122,0)))</f>
        <v>LOMBADAS TIPO A (3,70m de comprimento x 0,10m altura)</v>
      </c>
      <c r="O122" s="168"/>
      <c r="Q122" s="168"/>
      <c r="R122" s="169"/>
      <c r="S122" s="169"/>
      <c r="T122" s="169"/>
      <c r="U122" s="169">
        <v>259.45999999999998</v>
      </c>
      <c r="V122" s="169"/>
      <c r="W122" s="169"/>
      <c r="X122" s="169"/>
      <c r="Y122" s="169"/>
      <c r="Z122" s="170"/>
      <c r="AA122" s="169"/>
      <c r="AB122" s="169"/>
      <c r="AC122" s="169"/>
      <c r="AD122" s="169"/>
      <c r="AE122" s="169"/>
      <c r="AF122" s="169"/>
      <c r="AG122" s="169"/>
      <c r="AH122" s="170"/>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L122" s="453">
        <f ca="1">IF(AND($D122="Serviço",AL$12&lt;&gt;0,$H122&gt;0,OR(AUTOEVENTO&lt;&gt;"manual",$M122&lt;&gt;$A$15)),
        IF(Import.TipoArredondamento&lt;&gt;"TransfereGOV",
              ROUND(OFFSET($P122,0,AL$13),15-13*ORÇAMENTO!$AF$7)/$H122*OFFSET(ORÇAMENTO!$X$15,ROW(AL122)-ROW(AL$15),0),
              ROUND(ROUND(OFFSET($P122,0,AL$13),15-13*ORÇAMENTO!$AF$7)*OFFSET(ORÇAMENTO!$W$15,ROW(AL122)-ROW(AL$15),0),15-13*ORÇAMENTO!$AF$11)),
         0)</f>
        <v>0</v>
      </c>
      <c r="AM122" s="453">
        <f ca="1">IF(AND($D122="Serviço",AM$12&lt;&gt;0,$H122&gt;0,OR(AUTOEVENTO&lt;&gt;"manual",$M122&lt;&gt;$A$15)),
        IF(Import.TipoArredondamento&lt;&gt;"TransfereGOV",
              ROUND(OFFSET($P122,0,AM$13),15-13*ORÇAMENTO!$AF$7)/$H122*OFFSET(ORÇAMENTO!$X$15,ROW(AM122)-ROW(AM$15),0),
              ROUND(ROUND(OFFSET($P122,0,AM$13),15-13*ORÇAMENTO!$AF$7)*OFFSET(ORÇAMENTO!$W$15,ROW(AM122)-ROW(AM$15),0),15-13*ORÇAMENTO!$AF$11)),
         0)</f>
        <v>0</v>
      </c>
      <c r="AN122" s="453">
        <f ca="1">IF(AND($D122="Serviço",AN$12&lt;&gt;0,$H122&gt;0,OR(AUTOEVENTO&lt;&gt;"manual",$M122&lt;&gt;$A$15)),
        IF(Import.TipoArredondamento&lt;&gt;"TransfereGOV",
              ROUND(OFFSET($P122,0,AN$13),15-13*ORÇAMENTO!$AF$7)/$H122*OFFSET(ORÇAMENTO!$X$15,ROW(AN122)-ROW(AN$15),0),
              ROUND(ROUND(OFFSET($P122,0,AN$13),15-13*ORÇAMENTO!$AF$7)*OFFSET(ORÇAMENTO!$W$15,ROW(AN122)-ROW(AN$15),0),15-13*ORÇAMENTO!$AF$11)),
         0)</f>
        <v>1450.38</v>
      </c>
      <c r="AO122" s="453">
        <f ca="1">IF(AND($D122="Serviço",AO$12&lt;&gt;0,$H122&gt;0,OR(AUTOEVENTO&lt;&gt;"manual",$M122&lt;&gt;$A$15)),
        IF(Import.TipoArredondamento&lt;&gt;"TransfereGOV",
              ROUND(OFFSET($P122,0,AO$13),15-13*ORÇAMENTO!$AF$7)/$H122*OFFSET(ORÇAMENTO!$X$15,ROW(AO122)-ROW(AO$15),0),
              ROUND(ROUND(OFFSET($P122,0,AO$13),15-13*ORÇAMENTO!$AF$7)*OFFSET(ORÇAMENTO!$W$15,ROW(AO122)-ROW(AO$15),0),15-13*ORÇAMENTO!$AF$11)),
         0)</f>
        <v>0</v>
      </c>
      <c r="AP122" s="453">
        <f ca="1">IF(AND($D122="Serviço",AP$12&lt;&gt;0,$H122&gt;0,OR(AUTOEVENTO&lt;&gt;"manual",$M122&lt;&gt;$A$15)),
        IF(Import.TipoArredondamento&lt;&gt;"TransfereGOV",
              ROUND(OFFSET($P122,0,AP$13),15-13*ORÇAMENTO!$AF$7)/$H122*OFFSET(ORÇAMENTO!$X$15,ROW(AP122)-ROW(AP$15),0),
              ROUND(ROUND(OFFSET($P122,0,AP$13),15-13*ORÇAMENTO!$AF$7)*OFFSET(ORÇAMENTO!$W$15,ROW(AP122)-ROW(AP$15),0),15-13*ORÇAMENTO!$AF$11)),
         0)</f>
        <v>0</v>
      </c>
      <c r="AQ122" s="453">
        <f ca="1">IF(AND($D122="Serviço",AQ$12&lt;&gt;0,$H122&gt;0,OR(AUTOEVENTO&lt;&gt;"manual",$M122&lt;&gt;$A$15)),
        IF(Import.TipoArredondamento&lt;&gt;"TransfereGOV",
              ROUND(OFFSET($P122,0,AQ$13),15-13*ORÇAMENTO!$AF$7)/$H122*OFFSET(ORÇAMENTO!$X$15,ROW(AQ122)-ROW(AQ$15),0),
              ROUND(ROUND(OFFSET($P122,0,AQ$13),15-13*ORÇAMENTO!$AF$7)*OFFSET(ORÇAMENTO!$W$15,ROW(AQ122)-ROW(AQ$15),0),15-13*ORÇAMENTO!$AF$11)),
         0)</f>
        <v>0</v>
      </c>
      <c r="AR122" s="453">
        <f ca="1">IF(AND($D122="Serviço",AR$12&lt;&gt;0,$H122&gt;0,OR(AUTOEVENTO&lt;&gt;"manual",$M122&lt;&gt;$A$15)),
        IF(Import.TipoArredondamento&lt;&gt;"TransfereGOV",
              ROUND(OFFSET($P122,0,AR$13),15-13*ORÇAMENTO!$AF$7)/$H122*OFFSET(ORÇAMENTO!$X$15,ROW(AR122)-ROW(AR$15),0),
              ROUND(ROUND(OFFSET($P122,0,AR$13),15-13*ORÇAMENTO!$AF$7)*OFFSET(ORÇAMENTO!$W$15,ROW(AR122)-ROW(AR$15),0),15-13*ORÇAMENTO!$AF$11)),
         0)</f>
        <v>0</v>
      </c>
      <c r="AS122" s="453">
        <f ca="1">IF(AND($D122="Serviço",AS$12&lt;&gt;0,$H122&gt;0,OR(AUTOEVENTO&lt;&gt;"manual",$M122&lt;&gt;$A$15)),
        IF(Import.TipoArredondamento&lt;&gt;"TransfereGOV",
              ROUND(OFFSET($P122,0,AS$13),15-13*ORÇAMENTO!$AF$7)/$H122*OFFSET(ORÇAMENTO!$X$15,ROW(AS122)-ROW(AS$15),0),
              ROUND(ROUND(OFFSET($P122,0,AS$13),15-13*ORÇAMENTO!$AF$7)*OFFSET(ORÇAMENTO!$W$15,ROW(AS122)-ROW(AS$15),0),15-13*ORÇAMENTO!$AF$11)),
         0)</f>
        <v>0</v>
      </c>
      <c r="AT122" s="453">
        <f ca="1">IF(AND($D122="Serviço",AT$12&lt;&gt;0,$H122&gt;0,OR(AUTOEVENTO&lt;&gt;"manual",$M122&lt;&gt;$A$15)),
        IF(Import.TipoArredondamento&lt;&gt;"TransfereGOV",
              ROUND(OFFSET($P122,0,AT$13),15-13*ORÇAMENTO!$AF$7)/$H122*OFFSET(ORÇAMENTO!$X$15,ROW(AT122)-ROW(AT$15),0),
              ROUND(ROUND(OFFSET($P122,0,AT$13),15-13*ORÇAMENTO!$AF$7)*OFFSET(ORÇAMENTO!$W$15,ROW(AT122)-ROW(AT$15),0),15-13*ORÇAMENTO!$AF$11)),
         0)</f>
        <v>0</v>
      </c>
      <c r="AU122" s="453">
        <f ca="1">IF(AND($D122="Serviço",AU$12&lt;&gt;0,$H122&gt;0,OR(AUTOEVENTO&lt;&gt;"manual",$M122&lt;&gt;$A$15)),
        IF(Import.TipoArredondamento&lt;&gt;"TransfereGOV",
              ROUND(OFFSET($P122,0,AU$13),15-13*ORÇAMENTO!$AF$7)/$H122*OFFSET(ORÇAMENTO!$X$15,ROW(AU122)-ROW(AU$15),0),
              ROUND(ROUND(OFFSET($P122,0,AU$13),15-13*ORÇAMENTO!$AF$7)*OFFSET(ORÇAMENTO!$W$15,ROW(AU122)-ROW(AU$15),0),15-13*ORÇAMENTO!$AF$11)),
         0)</f>
        <v>0</v>
      </c>
      <c r="AV122" s="453">
        <f ca="1">IF(AND($D122="Serviço",AV$12&lt;&gt;0,$H122&gt;0,OR(AUTOEVENTO&lt;&gt;"manual",$M122&lt;&gt;$A$15)),
        IF(Import.TipoArredondamento&lt;&gt;"TransfereGOV",
              ROUND(OFFSET($P122,0,AV$13),15-13*ORÇAMENTO!$AF$7)/$H122*OFFSET(ORÇAMENTO!$X$15,ROW(AV122)-ROW(AV$15),0),
              ROUND(ROUND(OFFSET($P122,0,AV$13),15-13*ORÇAMENTO!$AF$7)*OFFSET(ORÇAMENTO!$W$15,ROW(AV122)-ROW(AV$15),0),15-13*ORÇAMENTO!$AF$11)),
         0)</f>
        <v>0</v>
      </c>
      <c r="AW122" s="453">
        <f ca="1">IF(AND($D122="Serviço",AW$12&lt;&gt;0,$H122&gt;0,OR(AUTOEVENTO&lt;&gt;"manual",$M122&lt;&gt;$A$15)),
        IF(Import.TipoArredondamento&lt;&gt;"TransfereGOV",
              ROUND(OFFSET($P122,0,AW$13),15-13*ORÇAMENTO!$AF$7)/$H122*OFFSET(ORÇAMENTO!$X$15,ROW(AW122)-ROW(AW$15),0),
              ROUND(ROUND(OFFSET($P122,0,AW$13),15-13*ORÇAMENTO!$AF$7)*OFFSET(ORÇAMENTO!$W$15,ROW(AW122)-ROW(AW$15),0),15-13*ORÇAMENTO!$AF$11)),
         0)</f>
        <v>0</v>
      </c>
      <c r="AX122" s="453">
        <f ca="1">IF(AND($D122="Serviço",AX$12&lt;&gt;0,$H122&gt;0,OR(AUTOEVENTO&lt;&gt;"manual",$M122&lt;&gt;$A$15)),
        IF(Import.TipoArredondamento&lt;&gt;"TransfereGOV",
              ROUND(OFFSET($P122,0,AX$13),15-13*ORÇAMENTO!$AF$7)/$H122*OFFSET(ORÇAMENTO!$X$15,ROW(AX122)-ROW(AX$15),0),
              ROUND(ROUND(OFFSET($P122,0,AX$13),15-13*ORÇAMENTO!$AF$7)*OFFSET(ORÇAMENTO!$W$15,ROW(AX122)-ROW(AX$15),0),15-13*ORÇAMENTO!$AF$11)),
         0)</f>
        <v>0</v>
      </c>
      <c r="AY122" s="453">
        <f ca="1">IF(AND($D122="Serviço",AY$12&lt;&gt;0,$H122&gt;0,OR(AUTOEVENTO&lt;&gt;"manual",$M122&lt;&gt;$A$15)),
        IF(Import.TipoArredondamento&lt;&gt;"TransfereGOV",
              ROUND(OFFSET($P122,0,AY$13),15-13*ORÇAMENTO!$AF$7)/$H122*OFFSET(ORÇAMENTO!$X$15,ROW(AY122)-ROW(AY$15),0),
              ROUND(ROUND(OFFSET($P122,0,AY$13),15-13*ORÇAMENTO!$AF$7)*OFFSET(ORÇAMENTO!$W$15,ROW(AY122)-ROW(AY$15),0),15-13*ORÇAMENTO!$AF$11)),
         0)</f>
        <v>0</v>
      </c>
      <c r="AZ122" s="453">
        <f ca="1">IF(AND($D122="Serviço",AZ$12&lt;&gt;0,$H122&gt;0,OR(AUTOEVENTO&lt;&gt;"manual",$M122&lt;&gt;$A$15)),
        IF(Import.TipoArredondamento&lt;&gt;"TransfereGOV",
              ROUND(OFFSET($P122,0,AZ$13),15-13*ORÇAMENTO!$AF$7)/$H122*OFFSET(ORÇAMENTO!$X$15,ROW(AZ122)-ROW(AZ$15),0),
              ROUND(ROUND(OFFSET($P122,0,AZ$13),15-13*ORÇAMENTO!$AF$7)*OFFSET(ORÇAMENTO!$W$15,ROW(AZ122)-ROW(AZ$15),0),15-13*ORÇAMENTO!$AF$11)),
         0)</f>
        <v>0</v>
      </c>
      <c r="BA122" s="453">
        <f ca="1">IF(AND($D122="Serviço",BA$12&lt;&gt;0,$H122&gt;0,OR(AUTOEVENTO&lt;&gt;"manual",$M122&lt;&gt;$A$15)),
        IF(Import.TipoArredondamento&lt;&gt;"TransfereGOV",
              ROUND(OFFSET($P122,0,BA$13),15-13*ORÇAMENTO!$AF$7)/$H122*OFFSET(ORÇAMENTO!$X$15,ROW(BA122)-ROW(BA$15),0),
              ROUND(ROUND(OFFSET($P122,0,BA$13),15-13*ORÇAMENTO!$AF$7)*OFFSET(ORÇAMENTO!$W$15,ROW(BA122)-ROW(BA$15),0),15-13*ORÇAMENTO!$AF$11)),
         0)</f>
        <v>0</v>
      </c>
      <c r="BC122" s="171">
        <f ca="1">IF(OR($D122&lt;&gt;"Serviço",AND(AUTOEVENTO="Manual",$M122=$A$15)),0,
         IF(OFFSET(CRONOPLE!$F$15,$M122-$A$15,BC$13)=0,10^12,OFFSET(CRONOPLE!$F$15,$M122-$A$15,BC$13)))</f>
        <v>1000000000000</v>
      </c>
      <c r="BD122" s="171">
        <f ca="1">IF(OR($D122&lt;&gt;"Serviço",AND(AUTOEVENTO="Manual",$M122=$A$15)),0,
         IF(OFFSET(CRONOPLE!$F$15,$M122-$A$15,BD$13)=0,10^12,OFFSET(CRONOPLE!$F$15,$M122-$A$15,BD$13)))</f>
        <v>1000000000000</v>
      </c>
      <c r="BE122" s="171">
        <f ca="1">IF(OR($D122&lt;&gt;"Serviço",AND(AUTOEVENTO="Manual",$M122=$A$15)),0,
         IF(OFFSET(CRONOPLE!$F$15,$M122-$A$15,BE$13)=0,10^12,OFFSET(CRONOPLE!$F$15,$M122-$A$15,BE$13)))</f>
        <v>1000000000000</v>
      </c>
      <c r="BF122" s="171">
        <f ca="1">IF(OR($D122&lt;&gt;"Serviço",AND(AUTOEVENTO="Manual",$M122=$A$15)),0,
         IF(OFFSET(CRONOPLE!$F$15,$M122-$A$15,BF$13)=0,10^12,OFFSET(CRONOPLE!$F$15,$M122-$A$15,BF$13)))</f>
        <v>1000000000000</v>
      </c>
      <c r="BG122" s="171">
        <f ca="1">IF(OR($D122&lt;&gt;"Serviço",AND(AUTOEVENTO="Manual",$M122=$A$15)),0,
         IF(OFFSET(CRONOPLE!$F$15,$M122-$A$15,BG$13)=0,10^12,OFFSET(CRONOPLE!$F$15,$M122-$A$15,BG$13)))</f>
        <v>3</v>
      </c>
      <c r="BH122" s="171">
        <f ca="1">IF(OR($D122&lt;&gt;"Serviço",AND(AUTOEVENTO="Manual",$M122=$A$15)),0,
         IF(OFFSET(CRONOPLE!$F$15,$M122-$A$15,BH$13)=0,10^12,OFFSET(CRONOPLE!$F$15,$M122-$A$15,BH$13)))</f>
        <v>1000000000000</v>
      </c>
      <c r="BI122" s="171">
        <f ca="1">IF(OR($D122&lt;&gt;"Serviço",AND(AUTOEVENTO="Manual",$M122=$A$15)),0,
         IF(OFFSET(CRONOPLE!$F$15,$M122-$A$15,BI$13)=0,10^12,OFFSET(CRONOPLE!$F$15,$M122-$A$15,BI$13)))</f>
        <v>1000000000000</v>
      </c>
      <c r="BJ122" s="171">
        <f ca="1">IF(OR($D122&lt;&gt;"Serviço",AND(AUTOEVENTO="Manual",$M122=$A$15)),0,
         IF(OFFSET(CRONOPLE!$F$15,$M122-$A$15,BJ$13)=0,10^12,OFFSET(CRONOPLE!$F$15,$M122-$A$15,BJ$13)))</f>
        <v>1000000000000</v>
      </c>
      <c r="BK122" s="171">
        <f ca="1">IF(OR($D122&lt;&gt;"Serviço",AND(AUTOEVENTO="Manual",$M122=$A$15)),0,
         IF(OFFSET(CRONOPLE!$F$15,$M122-$A$15,BK$13)=0,10^12,OFFSET(CRONOPLE!$F$15,$M122-$A$15,BK$13)))</f>
        <v>1000000000000</v>
      </c>
      <c r="BL122" s="171">
        <f ca="1">IF(OR($D122&lt;&gt;"Serviço",AND(AUTOEVENTO="Manual",$M122=$A$15)),0,
         IF(OFFSET(CRONOPLE!$F$15,$M122-$A$15,BL$13)=0,10^12,OFFSET(CRONOPLE!$F$15,$M122-$A$15,BL$13)))</f>
        <v>1000000000000</v>
      </c>
      <c r="BM122" s="171">
        <f ca="1">IF(OR($D122&lt;&gt;"Serviço",AND(AUTOEVENTO="Manual",$M122=$A$15)),0,
         IF(OFFSET(CRONOPLE!$F$15,$M122-$A$15,BM$13)=0,10^12,OFFSET(CRONOPLE!$F$15,$M122-$A$15,BM$13)))</f>
        <v>1000000000000</v>
      </c>
      <c r="BN122" s="171">
        <f ca="1">IF(OR($D122&lt;&gt;"Serviço",AND(AUTOEVENTO="Manual",$M122=$A$15)),0,
         IF(OFFSET(CRONOPLE!$F$15,$M122-$A$15,BN$13)=0,10^12,OFFSET(CRONOPLE!$F$15,$M122-$A$15,BN$13)))</f>
        <v>1000000000000</v>
      </c>
      <c r="BO122" s="171">
        <f ca="1">IF(OR($D122&lt;&gt;"Serviço",AND(AUTOEVENTO="Manual",$M122=$A$15)),0,
         IF(OFFSET(CRONOPLE!$F$15,$M122-$A$15,BO$13)=0,10^12,OFFSET(CRONOPLE!$F$15,$M122-$A$15,BO$13)))</f>
        <v>1000000000000</v>
      </c>
      <c r="BP122" s="171">
        <f ca="1">IF(OR($D122&lt;&gt;"Serviço",AND(AUTOEVENTO="Manual",$M122=$A$15)),0,
         IF(OFFSET(CRONOPLE!$F$15,$M122-$A$15,BP$13)=0,10^12,OFFSET(CRONOPLE!$F$15,$M122-$A$15,BP$13)))</f>
        <v>1000000000000</v>
      </c>
      <c r="BQ122" s="171">
        <f ca="1">IF(OR($D122&lt;&gt;"Serviço",AND(AUTOEVENTO="Manual",$M122=$A$15)),0,
         IF(OFFSET(CRONOPLE!$F$15,$M122-$A$15,BQ$13)=0,10^12,OFFSET(CRONOPLE!$F$15,$M122-$A$15,BQ$13)))</f>
        <v>1000000000000</v>
      </c>
      <c r="BR122" s="171">
        <f ca="1">IF(OR($D122&lt;&gt;"Serviço",AND(AUTOEVENTO="Manual",$M122=$A$15)),0,
         IF(OFFSET(CRONOPLE!$F$15,$M122-$A$15,BR$13)=0,10^12,OFFSET(CRONOPLE!$F$15,$M122-$A$15,BR$13)))</f>
        <v>1000000000000</v>
      </c>
      <c r="BS122" s="171">
        <f ca="1">IF(OR($D122&lt;&gt;"Serviço",AND(AUTOEVENTO="Manual",$M122=$A$15)),0,
         IF(OFFSET(CRONOPLE!$F$15,$M122-$A$15,BS$13)=0,10^12,OFFSET(CRONOPLE!$F$15,$M122-$A$15,BS$13)))</f>
        <v>1000000000000</v>
      </c>
      <c r="BT122" s="171">
        <f ca="1">IF(OR($D122&lt;&gt;"Serviço",AND(AUTOEVENTO="Manual",$M122=$A$15)),0,
         IF(OFFSET(CRONOPLE!$F$15,$M122-$A$15,BT$13)=0,10^12,OFFSET(CRONOPLE!$F$15,$M122-$A$15,BT$13)))</f>
        <v>1000000000000</v>
      </c>
      <c r="BV122" s="172">
        <f ca="1">IF(OR($D122&lt;&gt;"Serviço",AND(AUTOEVENTO="Manual",$M122=$A$15),$M122&gt;(ROW(PLE.lastrow)-ROW(PLE.firstrow))),0,
           IF(OFFSET(PLE!$G$15,$M122-$A$15,BV$13)="",10^12,OFFSET(PLE!$G$15,$M122-$A$15,BV$13)))</f>
        <v>1000000000000</v>
      </c>
      <c r="BW122" s="172">
        <f ca="1">IF(OR($D122&lt;&gt;"Serviço",AND(AUTOEVENTO="Manual",$M122=$A$15),$M122&gt;(ROW(PLE.lastrow)-ROW(PLE.firstrow))),0,
           IF(OFFSET(PLE!$G$15,$M122-$A$15,BW$13)="",10^12,OFFSET(PLE!$G$15,$M122-$A$15,BW$13)))</f>
        <v>1000000000000</v>
      </c>
      <c r="BX122" s="172">
        <f ca="1">IF(OR($D122&lt;&gt;"Serviço",AND(AUTOEVENTO="Manual",$M122=$A$15),$M122&gt;(ROW(PLE.lastrow)-ROW(PLE.firstrow))),0,
           IF(OFFSET(PLE!$G$15,$M122-$A$15,BX$13)="",10^12,OFFSET(PLE!$G$15,$M122-$A$15,BX$13)))</f>
        <v>1000000000000</v>
      </c>
      <c r="BY122" s="172">
        <f ca="1">IF(OR($D122&lt;&gt;"Serviço",AND(AUTOEVENTO="Manual",$M122=$A$15),$M122&gt;(ROW(PLE.lastrow)-ROW(PLE.firstrow))),0,
           IF(OFFSET(PLE!$G$15,$M122-$A$15,BY$13)="",10^12,OFFSET(PLE!$G$15,$M122-$A$15,BY$13)))</f>
        <v>1000000000000</v>
      </c>
      <c r="BZ122" s="172">
        <f ca="1">IF(OR($D122&lt;&gt;"Serviço",AND(AUTOEVENTO="Manual",$M122=$A$15),$M122&gt;(ROW(PLE.lastrow)-ROW(PLE.firstrow))),0,
           IF(OFFSET(PLE!$G$15,$M122-$A$15,BZ$13)="",10^12,OFFSET(PLE!$G$15,$M122-$A$15,BZ$13)))</f>
        <v>1000000000000</v>
      </c>
      <c r="CA122" s="172">
        <f ca="1">IF(OR($D122&lt;&gt;"Serviço",AND(AUTOEVENTO="Manual",$M122=$A$15),$M122&gt;(ROW(PLE.lastrow)-ROW(PLE.firstrow))),0,
           IF(OFFSET(PLE!$G$15,$M122-$A$15,CA$13)="",10^12,OFFSET(PLE!$G$15,$M122-$A$15,CA$13)))</f>
        <v>1000000000000</v>
      </c>
      <c r="CB122" s="172">
        <f ca="1">IF(OR($D122&lt;&gt;"Serviço",AND(AUTOEVENTO="Manual",$M122=$A$15),$M122&gt;(ROW(PLE.lastrow)-ROW(PLE.firstrow))),0,
           IF(OFFSET(PLE!$G$15,$M122-$A$15,CB$13)="",10^12,OFFSET(PLE!$G$15,$M122-$A$15,CB$13)))</f>
        <v>1000000000000</v>
      </c>
      <c r="CC122" s="172">
        <f ca="1">IF(OR($D122&lt;&gt;"Serviço",AND(AUTOEVENTO="Manual",$M122=$A$15),$M122&gt;(ROW(PLE.lastrow)-ROW(PLE.firstrow))),0,
           IF(OFFSET(PLE!$G$15,$M122-$A$15,CC$13)="",10^12,OFFSET(PLE!$G$15,$M122-$A$15,CC$13)))</f>
        <v>1000000000000</v>
      </c>
      <c r="CD122" s="172">
        <f ca="1">IF(OR($D122&lt;&gt;"Serviço",AND(AUTOEVENTO="Manual",$M122=$A$15),$M122&gt;(ROW(PLE.lastrow)-ROW(PLE.firstrow))),0,
           IF(OFFSET(PLE!$G$15,$M122-$A$15,CD$13)="",10^12,OFFSET(PLE!$G$15,$M122-$A$15,CD$13)))</f>
        <v>1000000000000</v>
      </c>
      <c r="CE122" s="172">
        <f ca="1">IF(OR($D122&lt;&gt;"Serviço",AND(AUTOEVENTO="Manual",$M122=$A$15),$M122&gt;(ROW(PLE.lastrow)-ROW(PLE.firstrow))),0,
           IF(OFFSET(PLE!$G$15,$M122-$A$15,CE$13)="",10^12,OFFSET(PLE!$G$15,$M122-$A$15,CE$13)))</f>
        <v>1000000000000</v>
      </c>
      <c r="CF122" s="172">
        <f ca="1">IF(OR($D122&lt;&gt;"Serviço",AND(AUTOEVENTO="Manual",$M122=$A$15),$M122&gt;(ROW(PLE.lastrow)-ROW(PLE.firstrow))),0,
           IF(OFFSET(PLE!$G$15,$M122-$A$15,CF$13)="",10^12,OFFSET(PLE!$G$15,$M122-$A$15,CF$13)))</f>
        <v>1000000000000</v>
      </c>
      <c r="CG122" s="172">
        <f ca="1">IF(OR($D122&lt;&gt;"Serviço",AND(AUTOEVENTO="Manual",$M122=$A$15),$M122&gt;(ROW(PLE.lastrow)-ROW(PLE.firstrow))),0,
           IF(OFFSET(PLE!$G$15,$M122-$A$15,CG$13)="",10^12,OFFSET(PLE!$G$15,$M122-$A$15,CG$13)))</f>
        <v>1000000000000</v>
      </c>
      <c r="CH122" s="172">
        <f ca="1">IF(OR($D122&lt;&gt;"Serviço",AND(AUTOEVENTO="Manual",$M122=$A$15),$M122&gt;(ROW(PLE.lastrow)-ROW(PLE.firstrow))),0,
           IF(OFFSET(PLE!$G$15,$M122-$A$15,CH$13)="",10^12,OFFSET(PLE!$G$15,$M122-$A$15,CH$13)))</f>
        <v>1000000000000</v>
      </c>
      <c r="CI122" s="172">
        <f ca="1">IF(OR($D122&lt;&gt;"Serviço",AND(AUTOEVENTO="Manual",$M122=$A$15),$M122&gt;(ROW(PLE.lastrow)-ROW(PLE.firstrow))),0,
           IF(OFFSET(PLE!$G$15,$M122-$A$15,CI$13)="",10^12,OFFSET(PLE!$G$15,$M122-$A$15,CI$13)))</f>
        <v>1000000000000</v>
      </c>
      <c r="CJ122" s="172">
        <f ca="1">IF(OR($D122&lt;&gt;"Serviço",AND(AUTOEVENTO="Manual",$M122=$A$15),$M122&gt;(ROW(PLE.lastrow)-ROW(PLE.firstrow))),0,
           IF(OFFSET(PLE!$G$15,$M122-$A$15,CJ$13)="",10^12,OFFSET(PLE!$G$15,$M122-$A$15,CJ$13)))</f>
        <v>1000000000000</v>
      </c>
      <c r="CK122" s="172">
        <f ca="1">IF(OR($D122&lt;&gt;"Serviço",AND(AUTOEVENTO="Manual",$M122=$A$15),$M122&gt;(ROW(PLE.lastrow)-ROW(PLE.firstrow))),0,
           IF(OFFSET(PLE!$G$15,$M122-$A$15,CK$13)="",10^12,OFFSET(PLE!$G$15,$M122-$A$15,CK$13)))</f>
        <v>1000000000000</v>
      </c>
      <c r="CL122" s="172">
        <f ca="1">IF(OR($D122&lt;&gt;"Serviço",AND(AUTOEVENTO="Manual",$M122=$A$15),$M122&gt;(ROW(PLE.lastrow)-ROW(PLE.firstrow))),0,
           IF(OFFSET(PLE!$G$15,$M122-$A$15,CL$13)="",10^12,OFFSET(PLE!$G$15,$M122-$A$15,CL$13)))</f>
        <v>1000000000000</v>
      </c>
      <c r="CM122" s="172">
        <f ca="1">IF(OR($D122&lt;&gt;"Serviço",AND(AUTOEVENTO="Manual",$M122=$A$15),$M122&gt;(ROW(PLE.lastrow)-ROW(PLE.firstrow))),0,
           IF(OFFSET(PLE!$G$15,$M122-$A$15,CM$13)="",10^12,OFFSET(PLE!$G$15,$M122-$A$15,CM$13)))</f>
        <v>1000000000000</v>
      </c>
    </row>
    <row r="123" spans="1:91" ht="26.4" x14ac:dyDescent="0.25">
      <c r="A123" s="7" t="str">
        <f t="shared" ca="1" si="11"/>
        <v>101</v>
      </c>
      <c r="B123" s="7" t="str">
        <f ca="1">OFFSET(ORÇAMENTO!C$15,ROW(B123)-ROW(B$15),0)</f>
        <v>S</v>
      </c>
      <c r="C123" s="7" t="str">
        <f ca="1">OFFSET(ORÇAMENTO!L$15,ROW(C123)-ROW(C$15),0)</f>
        <v>F</v>
      </c>
      <c r="D123" s="116" t="str">
        <f ca="1">OFFSET(ORÇAMENTO!N$15,ROW(D123)-ROW(D$15),0)</f>
        <v>Serviço</v>
      </c>
      <c r="E123" s="117" t="str">
        <f ca="1">OFFSET(ORÇAMENTO!O$15,ROW(E123)-ROW(E$15),0)</f>
        <v>3.3.7.</v>
      </c>
      <c r="F123" s="163" t="str">
        <f ca="1">OFFSET(ORÇAMENTO!R$15,ROW(F123)-ROW(F$15),0)</f>
        <v>Transporte de material betuminoso com caminhão tanque distribuidor - rodovia pavimentada</v>
      </c>
      <c r="G123" s="164" t="str">
        <f ca="1">IF($D123&lt;&gt;"Serviço","",OFFSET(ORÇAMENTO!S$15,ROW(G123)-ROW(G$15),0))</f>
        <v>tkm</v>
      </c>
      <c r="H123" s="122" cm="1">
        <f t="array" aca="1" ref="H123" ca="1">IF($D123&lt;&gt;"Serviço",0,IF(ACOMPANHAMENTO="BM",ROUND(OFFSET(ORÇAMENTO!AJ$15,ROW(H123)-ROW(H$15),0),15-13*ORÇAMENTO!$AF$7),SUMPRODUCT(($Q$1:$AI$1=1)*ROUND($Q123:$AI123,15-13*ORÇAMENTO!$AF$7))))</f>
        <v>87.43</v>
      </c>
      <c r="I123" s="468"/>
      <c r="J123" s="651" t="e" cm="1">
        <f t="array" aca="1" ref="J123" ca="1">IF(OR(B123&lt;&gt;"S",CÁLCULO.FrentesPreenchidas=0),"",IF(AND(ACOMPANHAMENTO="PLE",AUTOEVENTO="Manual",OR(H123&gt;0,ORÇAMENTO!AC123="QUANT."),OR(K123="",M123=0,N123="")),"►E",IF(AND(ACOMPANHAMENTO="PLE",ORÇAMENTO!AC123="QUANT."),"►Q",IF(AND(ACOMPANHAMENTO="PLE",H123&lt;&gt;SUMPRODUCT(($Q$1:$AI$1=1)*ROUND(Q123:AI123,15))),"►S",IF(AND(COUNTIF($P$11:$AI$11,"▼")=0,H123&gt;0,I123=""),"◄M","")))))</f>
        <v>#NAME?</v>
      </c>
      <c r="K123" s="652"/>
      <c r="L123" s="165" t="s">
        <v>764</v>
      </c>
      <c r="M123" s="166">
        <f ca="1">IF($D123&lt;&gt;"Serviço","",
          IF(AUTOEVENTO="manual",$A123,
                IF(ISERROR(MATCH($A123,$A$15:OFFSET($A123,-1,0),0)),MAX($M$15:OFFSET(M123,-1,0))+1,
                      INDEX($M$15:OFFSET(M123,-1,0),MATCH($A123,$A$15:OFFSET($A123,-1,0),0)))))</f>
        <v>16</v>
      </c>
      <c r="N123" s="167" t="str">
        <f ca="1">IF($D123&lt;&gt;"Serviço","",
         IF(AUTOEVENTO="Manual",
                IF($A123=0,"&lt;-- defina o número do agrupador",
                       OFFSET(EVENTOS!$D$15,$A123-$A$15,0)),
                OFFSET($F$15,$A123,0)))</f>
        <v>LOMBADAS TIPO A (3,70m de comprimento x 0,10m altura)</v>
      </c>
      <c r="O123" s="168"/>
      <c r="Q123" s="168"/>
      <c r="R123" s="169"/>
      <c r="S123" s="169"/>
      <c r="T123" s="169"/>
      <c r="U123" s="169">
        <f>TRUNC(U122/1000*337,2)</f>
        <v>87.43</v>
      </c>
      <c r="V123" s="169"/>
      <c r="W123" s="169"/>
      <c r="X123" s="169"/>
      <c r="Y123" s="169"/>
      <c r="Z123" s="170"/>
      <c r="AA123" s="169"/>
      <c r="AB123" s="169"/>
      <c r="AC123" s="169"/>
      <c r="AD123" s="169"/>
      <c r="AE123" s="169"/>
      <c r="AF123" s="169"/>
      <c r="AG123" s="169"/>
      <c r="AH123" s="170"/>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L123" s="453">
        <f ca="1">IF(AND($D123="Serviço",AL$12&lt;&gt;0,$H123&gt;0,OR(AUTOEVENTO&lt;&gt;"manual",$M123&lt;&gt;$A$15)),
        IF(Import.TipoArredondamento&lt;&gt;"TransfereGOV",
              ROUND(OFFSET($P123,0,AL$13),15-13*ORÇAMENTO!$AF$7)/$H123*OFFSET(ORÇAMENTO!$X$15,ROW(AL123)-ROW(AL$15),0),
              ROUND(ROUND(OFFSET($P123,0,AL$13),15-13*ORÇAMENTO!$AF$7)*OFFSET(ORÇAMENTO!$W$15,ROW(AL123)-ROW(AL$15),0),15-13*ORÇAMENTO!$AF$11)),
         0)</f>
        <v>0</v>
      </c>
      <c r="AM123" s="453">
        <f ca="1">IF(AND($D123="Serviço",AM$12&lt;&gt;0,$H123&gt;0,OR(AUTOEVENTO&lt;&gt;"manual",$M123&lt;&gt;$A$15)),
        IF(Import.TipoArredondamento&lt;&gt;"TransfereGOV",
              ROUND(OFFSET($P123,0,AM$13),15-13*ORÇAMENTO!$AF$7)/$H123*OFFSET(ORÇAMENTO!$X$15,ROW(AM123)-ROW(AM$15),0),
              ROUND(ROUND(OFFSET($P123,0,AM$13),15-13*ORÇAMENTO!$AF$7)*OFFSET(ORÇAMENTO!$W$15,ROW(AM123)-ROW(AM$15),0),15-13*ORÇAMENTO!$AF$11)),
         0)</f>
        <v>0</v>
      </c>
      <c r="AN123" s="453">
        <f ca="1">IF(AND($D123="Serviço",AN$12&lt;&gt;0,$H123&gt;0,OR(AUTOEVENTO&lt;&gt;"manual",$M123&lt;&gt;$A$15)),
        IF(Import.TipoArredondamento&lt;&gt;"TransfereGOV",
              ROUND(OFFSET($P123,0,AN$13),15-13*ORÇAMENTO!$AF$7)/$H123*OFFSET(ORÇAMENTO!$X$15,ROW(AN123)-ROW(AN$15),0),
              ROUND(ROUND(OFFSET($P123,0,AN$13),15-13*ORÇAMENTO!$AF$7)*OFFSET(ORÇAMENTO!$W$15,ROW(AN123)-ROW(AN$15),0),15-13*ORÇAMENTO!$AF$11)),
         0)</f>
        <v>222.95</v>
      </c>
      <c r="AO123" s="453">
        <f ca="1">IF(AND($D123="Serviço",AO$12&lt;&gt;0,$H123&gt;0,OR(AUTOEVENTO&lt;&gt;"manual",$M123&lt;&gt;$A$15)),
        IF(Import.TipoArredondamento&lt;&gt;"TransfereGOV",
              ROUND(OFFSET($P123,0,AO$13),15-13*ORÇAMENTO!$AF$7)/$H123*OFFSET(ORÇAMENTO!$X$15,ROW(AO123)-ROW(AO$15),0),
              ROUND(ROUND(OFFSET($P123,0,AO$13),15-13*ORÇAMENTO!$AF$7)*OFFSET(ORÇAMENTO!$W$15,ROW(AO123)-ROW(AO$15),0),15-13*ORÇAMENTO!$AF$11)),
         0)</f>
        <v>0</v>
      </c>
      <c r="AP123" s="453">
        <f ca="1">IF(AND($D123="Serviço",AP$12&lt;&gt;0,$H123&gt;0,OR(AUTOEVENTO&lt;&gt;"manual",$M123&lt;&gt;$A$15)),
        IF(Import.TipoArredondamento&lt;&gt;"TransfereGOV",
              ROUND(OFFSET($P123,0,AP$13),15-13*ORÇAMENTO!$AF$7)/$H123*OFFSET(ORÇAMENTO!$X$15,ROW(AP123)-ROW(AP$15),0),
              ROUND(ROUND(OFFSET($P123,0,AP$13),15-13*ORÇAMENTO!$AF$7)*OFFSET(ORÇAMENTO!$W$15,ROW(AP123)-ROW(AP$15),0),15-13*ORÇAMENTO!$AF$11)),
         0)</f>
        <v>0</v>
      </c>
      <c r="AQ123" s="453">
        <f ca="1">IF(AND($D123="Serviço",AQ$12&lt;&gt;0,$H123&gt;0,OR(AUTOEVENTO&lt;&gt;"manual",$M123&lt;&gt;$A$15)),
        IF(Import.TipoArredondamento&lt;&gt;"TransfereGOV",
              ROUND(OFFSET($P123,0,AQ$13),15-13*ORÇAMENTO!$AF$7)/$H123*OFFSET(ORÇAMENTO!$X$15,ROW(AQ123)-ROW(AQ$15),0),
              ROUND(ROUND(OFFSET($P123,0,AQ$13),15-13*ORÇAMENTO!$AF$7)*OFFSET(ORÇAMENTO!$W$15,ROW(AQ123)-ROW(AQ$15),0),15-13*ORÇAMENTO!$AF$11)),
         0)</f>
        <v>0</v>
      </c>
      <c r="AR123" s="453">
        <f ca="1">IF(AND($D123="Serviço",AR$12&lt;&gt;0,$H123&gt;0,OR(AUTOEVENTO&lt;&gt;"manual",$M123&lt;&gt;$A$15)),
        IF(Import.TipoArredondamento&lt;&gt;"TransfereGOV",
              ROUND(OFFSET($P123,0,AR$13),15-13*ORÇAMENTO!$AF$7)/$H123*OFFSET(ORÇAMENTO!$X$15,ROW(AR123)-ROW(AR$15),0),
              ROUND(ROUND(OFFSET($P123,0,AR$13),15-13*ORÇAMENTO!$AF$7)*OFFSET(ORÇAMENTO!$W$15,ROW(AR123)-ROW(AR$15),0),15-13*ORÇAMENTO!$AF$11)),
         0)</f>
        <v>0</v>
      </c>
      <c r="AS123" s="453">
        <f ca="1">IF(AND($D123="Serviço",AS$12&lt;&gt;0,$H123&gt;0,OR(AUTOEVENTO&lt;&gt;"manual",$M123&lt;&gt;$A$15)),
        IF(Import.TipoArredondamento&lt;&gt;"TransfereGOV",
              ROUND(OFFSET($P123,0,AS$13),15-13*ORÇAMENTO!$AF$7)/$H123*OFFSET(ORÇAMENTO!$X$15,ROW(AS123)-ROW(AS$15),0),
              ROUND(ROUND(OFFSET($P123,0,AS$13),15-13*ORÇAMENTO!$AF$7)*OFFSET(ORÇAMENTO!$W$15,ROW(AS123)-ROW(AS$15),0),15-13*ORÇAMENTO!$AF$11)),
         0)</f>
        <v>0</v>
      </c>
      <c r="AT123" s="453">
        <f ca="1">IF(AND($D123="Serviço",AT$12&lt;&gt;0,$H123&gt;0,OR(AUTOEVENTO&lt;&gt;"manual",$M123&lt;&gt;$A$15)),
        IF(Import.TipoArredondamento&lt;&gt;"TransfereGOV",
              ROUND(OFFSET($P123,0,AT$13),15-13*ORÇAMENTO!$AF$7)/$H123*OFFSET(ORÇAMENTO!$X$15,ROW(AT123)-ROW(AT$15),0),
              ROUND(ROUND(OFFSET($P123,0,AT$13),15-13*ORÇAMENTO!$AF$7)*OFFSET(ORÇAMENTO!$W$15,ROW(AT123)-ROW(AT$15),0),15-13*ORÇAMENTO!$AF$11)),
         0)</f>
        <v>0</v>
      </c>
      <c r="AU123" s="453">
        <f ca="1">IF(AND($D123="Serviço",AU$12&lt;&gt;0,$H123&gt;0,OR(AUTOEVENTO&lt;&gt;"manual",$M123&lt;&gt;$A$15)),
        IF(Import.TipoArredondamento&lt;&gt;"TransfereGOV",
              ROUND(OFFSET($P123,0,AU$13),15-13*ORÇAMENTO!$AF$7)/$H123*OFFSET(ORÇAMENTO!$X$15,ROW(AU123)-ROW(AU$15),0),
              ROUND(ROUND(OFFSET($P123,0,AU$13),15-13*ORÇAMENTO!$AF$7)*OFFSET(ORÇAMENTO!$W$15,ROW(AU123)-ROW(AU$15),0),15-13*ORÇAMENTO!$AF$11)),
         0)</f>
        <v>0</v>
      </c>
      <c r="AV123" s="453">
        <f ca="1">IF(AND($D123="Serviço",AV$12&lt;&gt;0,$H123&gt;0,OR(AUTOEVENTO&lt;&gt;"manual",$M123&lt;&gt;$A$15)),
        IF(Import.TipoArredondamento&lt;&gt;"TransfereGOV",
              ROUND(OFFSET($P123,0,AV$13),15-13*ORÇAMENTO!$AF$7)/$H123*OFFSET(ORÇAMENTO!$X$15,ROW(AV123)-ROW(AV$15),0),
              ROUND(ROUND(OFFSET($P123,0,AV$13),15-13*ORÇAMENTO!$AF$7)*OFFSET(ORÇAMENTO!$W$15,ROW(AV123)-ROW(AV$15),0),15-13*ORÇAMENTO!$AF$11)),
         0)</f>
        <v>0</v>
      </c>
      <c r="AW123" s="453">
        <f ca="1">IF(AND($D123="Serviço",AW$12&lt;&gt;0,$H123&gt;0,OR(AUTOEVENTO&lt;&gt;"manual",$M123&lt;&gt;$A$15)),
        IF(Import.TipoArredondamento&lt;&gt;"TransfereGOV",
              ROUND(OFFSET($P123,0,AW$13),15-13*ORÇAMENTO!$AF$7)/$H123*OFFSET(ORÇAMENTO!$X$15,ROW(AW123)-ROW(AW$15),0),
              ROUND(ROUND(OFFSET($P123,0,AW$13),15-13*ORÇAMENTO!$AF$7)*OFFSET(ORÇAMENTO!$W$15,ROW(AW123)-ROW(AW$15),0),15-13*ORÇAMENTO!$AF$11)),
         0)</f>
        <v>0</v>
      </c>
      <c r="AX123" s="453">
        <f ca="1">IF(AND($D123="Serviço",AX$12&lt;&gt;0,$H123&gt;0,OR(AUTOEVENTO&lt;&gt;"manual",$M123&lt;&gt;$A$15)),
        IF(Import.TipoArredondamento&lt;&gt;"TransfereGOV",
              ROUND(OFFSET($P123,0,AX$13),15-13*ORÇAMENTO!$AF$7)/$H123*OFFSET(ORÇAMENTO!$X$15,ROW(AX123)-ROW(AX$15),0),
              ROUND(ROUND(OFFSET($P123,0,AX$13),15-13*ORÇAMENTO!$AF$7)*OFFSET(ORÇAMENTO!$W$15,ROW(AX123)-ROW(AX$15),0),15-13*ORÇAMENTO!$AF$11)),
         0)</f>
        <v>0</v>
      </c>
      <c r="AY123" s="453">
        <f ca="1">IF(AND($D123="Serviço",AY$12&lt;&gt;0,$H123&gt;0,OR(AUTOEVENTO&lt;&gt;"manual",$M123&lt;&gt;$A$15)),
        IF(Import.TipoArredondamento&lt;&gt;"TransfereGOV",
              ROUND(OFFSET($P123,0,AY$13),15-13*ORÇAMENTO!$AF$7)/$H123*OFFSET(ORÇAMENTO!$X$15,ROW(AY123)-ROW(AY$15),0),
              ROUND(ROUND(OFFSET($P123,0,AY$13),15-13*ORÇAMENTO!$AF$7)*OFFSET(ORÇAMENTO!$W$15,ROW(AY123)-ROW(AY$15),0),15-13*ORÇAMENTO!$AF$11)),
         0)</f>
        <v>0</v>
      </c>
      <c r="AZ123" s="453">
        <f ca="1">IF(AND($D123="Serviço",AZ$12&lt;&gt;0,$H123&gt;0,OR(AUTOEVENTO&lt;&gt;"manual",$M123&lt;&gt;$A$15)),
        IF(Import.TipoArredondamento&lt;&gt;"TransfereGOV",
              ROUND(OFFSET($P123,0,AZ$13),15-13*ORÇAMENTO!$AF$7)/$H123*OFFSET(ORÇAMENTO!$X$15,ROW(AZ123)-ROW(AZ$15),0),
              ROUND(ROUND(OFFSET($P123,0,AZ$13),15-13*ORÇAMENTO!$AF$7)*OFFSET(ORÇAMENTO!$W$15,ROW(AZ123)-ROW(AZ$15),0),15-13*ORÇAMENTO!$AF$11)),
         0)</f>
        <v>0</v>
      </c>
      <c r="BA123" s="453">
        <f ca="1">IF(AND($D123="Serviço",BA$12&lt;&gt;0,$H123&gt;0,OR(AUTOEVENTO&lt;&gt;"manual",$M123&lt;&gt;$A$15)),
        IF(Import.TipoArredondamento&lt;&gt;"TransfereGOV",
              ROUND(OFFSET($P123,0,BA$13),15-13*ORÇAMENTO!$AF$7)/$H123*OFFSET(ORÇAMENTO!$X$15,ROW(BA123)-ROW(BA$15),0),
              ROUND(ROUND(OFFSET($P123,0,BA$13),15-13*ORÇAMENTO!$AF$7)*OFFSET(ORÇAMENTO!$W$15,ROW(BA123)-ROW(BA$15),0),15-13*ORÇAMENTO!$AF$11)),
         0)</f>
        <v>0</v>
      </c>
      <c r="BC123" s="171">
        <f ca="1">IF(OR($D123&lt;&gt;"Serviço",AND(AUTOEVENTO="Manual",$M123=$A$15)),0,
         IF(OFFSET(CRONOPLE!$F$15,$M123-$A$15,BC$13)=0,10^12,OFFSET(CRONOPLE!$F$15,$M123-$A$15,BC$13)))</f>
        <v>1000000000000</v>
      </c>
      <c r="BD123" s="171">
        <f ca="1">IF(OR($D123&lt;&gt;"Serviço",AND(AUTOEVENTO="Manual",$M123=$A$15)),0,
         IF(OFFSET(CRONOPLE!$F$15,$M123-$A$15,BD$13)=0,10^12,OFFSET(CRONOPLE!$F$15,$M123-$A$15,BD$13)))</f>
        <v>1000000000000</v>
      </c>
      <c r="BE123" s="171">
        <f ca="1">IF(OR($D123&lt;&gt;"Serviço",AND(AUTOEVENTO="Manual",$M123=$A$15)),0,
         IF(OFFSET(CRONOPLE!$F$15,$M123-$A$15,BE$13)=0,10^12,OFFSET(CRONOPLE!$F$15,$M123-$A$15,BE$13)))</f>
        <v>1000000000000</v>
      </c>
      <c r="BF123" s="171">
        <f ca="1">IF(OR($D123&lt;&gt;"Serviço",AND(AUTOEVENTO="Manual",$M123=$A$15)),0,
         IF(OFFSET(CRONOPLE!$F$15,$M123-$A$15,BF$13)=0,10^12,OFFSET(CRONOPLE!$F$15,$M123-$A$15,BF$13)))</f>
        <v>1000000000000</v>
      </c>
      <c r="BG123" s="171">
        <f ca="1">IF(OR($D123&lt;&gt;"Serviço",AND(AUTOEVENTO="Manual",$M123=$A$15)),0,
         IF(OFFSET(CRONOPLE!$F$15,$M123-$A$15,BG$13)=0,10^12,OFFSET(CRONOPLE!$F$15,$M123-$A$15,BG$13)))</f>
        <v>3</v>
      </c>
      <c r="BH123" s="171">
        <f ca="1">IF(OR($D123&lt;&gt;"Serviço",AND(AUTOEVENTO="Manual",$M123=$A$15)),0,
         IF(OFFSET(CRONOPLE!$F$15,$M123-$A$15,BH$13)=0,10^12,OFFSET(CRONOPLE!$F$15,$M123-$A$15,BH$13)))</f>
        <v>1000000000000</v>
      </c>
      <c r="BI123" s="171">
        <f ca="1">IF(OR($D123&lt;&gt;"Serviço",AND(AUTOEVENTO="Manual",$M123=$A$15)),0,
         IF(OFFSET(CRONOPLE!$F$15,$M123-$A$15,BI$13)=0,10^12,OFFSET(CRONOPLE!$F$15,$M123-$A$15,BI$13)))</f>
        <v>1000000000000</v>
      </c>
      <c r="BJ123" s="171">
        <f ca="1">IF(OR($D123&lt;&gt;"Serviço",AND(AUTOEVENTO="Manual",$M123=$A$15)),0,
         IF(OFFSET(CRONOPLE!$F$15,$M123-$A$15,BJ$13)=0,10^12,OFFSET(CRONOPLE!$F$15,$M123-$A$15,BJ$13)))</f>
        <v>1000000000000</v>
      </c>
      <c r="BK123" s="171">
        <f ca="1">IF(OR($D123&lt;&gt;"Serviço",AND(AUTOEVENTO="Manual",$M123=$A$15)),0,
         IF(OFFSET(CRONOPLE!$F$15,$M123-$A$15,BK$13)=0,10^12,OFFSET(CRONOPLE!$F$15,$M123-$A$15,BK$13)))</f>
        <v>1000000000000</v>
      </c>
      <c r="BL123" s="171">
        <f ca="1">IF(OR($D123&lt;&gt;"Serviço",AND(AUTOEVENTO="Manual",$M123=$A$15)),0,
         IF(OFFSET(CRONOPLE!$F$15,$M123-$A$15,BL$13)=0,10^12,OFFSET(CRONOPLE!$F$15,$M123-$A$15,BL$13)))</f>
        <v>1000000000000</v>
      </c>
      <c r="BM123" s="171">
        <f ca="1">IF(OR($D123&lt;&gt;"Serviço",AND(AUTOEVENTO="Manual",$M123=$A$15)),0,
         IF(OFFSET(CRONOPLE!$F$15,$M123-$A$15,BM$13)=0,10^12,OFFSET(CRONOPLE!$F$15,$M123-$A$15,BM$13)))</f>
        <v>1000000000000</v>
      </c>
      <c r="BN123" s="171">
        <f ca="1">IF(OR($D123&lt;&gt;"Serviço",AND(AUTOEVENTO="Manual",$M123=$A$15)),0,
         IF(OFFSET(CRONOPLE!$F$15,$M123-$A$15,BN$13)=0,10^12,OFFSET(CRONOPLE!$F$15,$M123-$A$15,BN$13)))</f>
        <v>1000000000000</v>
      </c>
      <c r="BO123" s="171">
        <f ca="1">IF(OR($D123&lt;&gt;"Serviço",AND(AUTOEVENTO="Manual",$M123=$A$15)),0,
         IF(OFFSET(CRONOPLE!$F$15,$M123-$A$15,BO$13)=0,10^12,OFFSET(CRONOPLE!$F$15,$M123-$A$15,BO$13)))</f>
        <v>1000000000000</v>
      </c>
      <c r="BP123" s="171">
        <f ca="1">IF(OR($D123&lt;&gt;"Serviço",AND(AUTOEVENTO="Manual",$M123=$A$15)),0,
         IF(OFFSET(CRONOPLE!$F$15,$M123-$A$15,BP$13)=0,10^12,OFFSET(CRONOPLE!$F$15,$M123-$A$15,BP$13)))</f>
        <v>1000000000000</v>
      </c>
      <c r="BQ123" s="171">
        <f ca="1">IF(OR($D123&lt;&gt;"Serviço",AND(AUTOEVENTO="Manual",$M123=$A$15)),0,
         IF(OFFSET(CRONOPLE!$F$15,$M123-$A$15,BQ$13)=0,10^12,OFFSET(CRONOPLE!$F$15,$M123-$A$15,BQ$13)))</f>
        <v>1000000000000</v>
      </c>
      <c r="BR123" s="171">
        <f ca="1">IF(OR($D123&lt;&gt;"Serviço",AND(AUTOEVENTO="Manual",$M123=$A$15)),0,
         IF(OFFSET(CRONOPLE!$F$15,$M123-$A$15,BR$13)=0,10^12,OFFSET(CRONOPLE!$F$15,$M123-$A$15,BR$13)))</f>
        <v>1000000000000</v>
      </c>
      <c r="BS123" s="171">
        <f ca="1">IF(OR($D123&lt;&gt;"Serviço",AND(AUTOEVENTO="Manual",$M123=$A$15)),0,
         IF(OFFSET(CRONOPLE!$F$15,$M123-$A$15,BS$13)=0,10^12,OFFSET(CRONOPLE!$F$15,$M123-$A$15,BS$13)))</f>
        <v>1000000000000</v>
      </c>
      <c r="BT123" s="171">
        <f ca="1">IF(OR($D123&lt;&gt;"Serviço",AND(AUTOEVENTO="Manual",$M123=$A$15)),0,
         IF(OFFSET(CRONOPLE!$F$15,$M123-$A$15,BT$13)=0,10^12,OFFSET(CRONOPLE!$F$15,$M123-$A$15,BT$13)))</f>
        <v>1000000000000</v>
      </c>
      <c r="BV123" s="172">
        <f ca="1">IF(OR($D123&lt;&gt;"Serviço",AND(AUTOEVENTO="Manual",$M123=$A$15),$M123&gt;(ROW(PLE.lastrow)-ROW(PLE.firstrow))),0,
           IF(OFFSET(PLE!$G$15,$M123-$A$15,BV$13)="",10^12,OFFSET(PLE!$G$15,$M123-$A$15,BV$13)))</f>
        <v>1000000000000</v>
      </c>
      <c r="BW123" s="172">
        <f ca="1">IF(OR($D123&lt;&gt;"Serviço",AND(AUTOEVENTO="Manual",$M123=$A$15),$M123&gt;(ROW(PLE.lastrow)-ROW(PLE.firstrow))),0,
           IF(OFFSET(PLE!$G$15,$M123-$A$15,BW$13)="",10^12,OFFSET(PLE!$G$15,$M123-$A$15,BW$13)))</f>
        <v>1000000000000</v>
      </c>
      <c r="BX123" s="172">
        <f ca="1">IF(OR($D123&lt;&gt;"Serviço",AND(AUTOEVENTO="Manual",$M123=$A$15),$M123&gt;(ROW(PLE.lastrow)-ROW(PLE.firstrow))),0,
           IF(OFFSET(PLE!$G$15,$M123-$A$15,BX$13)="",10^12,OFFSET(PLE!$G$15,$M123-$A$15,BX$13)))</f>
        <v>1000000000000</v>
      </c>
      <c r="BY123" s="172">
        <f ca="1">IF(OR($D123&lt;&gt;"Serviço",AND(AUTOEVENTO="Manual",$M123=$A$15),$M123&gt;(ROW(PLE.lastrow)-ROW(PLE.firstrow))),0,
           IF(OFFSET(PLE!$G$15,$M123-$A$15,BY$13)="",10^12,OFFSET(PLE!$G$15,$M123-$A$15,BY$13)))</f>
        <v>1000000000000</v>
      </c>
      <c r="BZ123" s="172">
        <f ca="1">IF(OR($D123&lt;&gt;"Serviço",AND(AUTOEVENTO="Manual",$M123=$A$15),$M123&gt;(ROW(PLE.lastrow)-ROW(PLE.firstrow))),0,
           IF(OFFSET(PLE!$G$15,$M123-$A$15,BZ$13)="",10^12,OFFSET(PLE!$G$15,$M123-$A$15,BZ$13)))</f>
        <v>1000000000000</v>
      </c>
      <c r="CA123" s="172">
        <f ca="1">IF(OR($D123&lt;&gt;"Serviço",AND(AUTOEVENTO="Manual",$M123=$A$15),$M123&gt;(ROW(PLE.lastrow)-ROW(PLE.firstrow))),0,
           IF(OFFSET(PLE!$G$15,$M123-$A$15,CA$13)="",10^12,OFFSET(PLE!$G$15,$M123-$A$15,CA$13)))</f>
        <v>1000000000000</v>
      </c>
      <c r="CB123" s="172">
        <f ca="1">IF(OR($D123&lt;&gt;"Serviço",AND(AUTOEVENTO="Manual",$M123=$A$15),$M123&gt;(ROW(PLE.lastrow)-ROW(PLE.firstrow))),0,
           IF(OFFSET(PLE!$G$15,$M123-$A$15,CB$13)="",10^12,OFFSET(PLE!$G$15,$M123-$A$15,CB$13)))</f>
        <v>1000000000000</v>
      </c>
      <c r="CC123" s="172">
        <f ca="1">IF(OR($D123&lt;&gt;"Serviço",AND(AUTOEVENTO="Manual",$M123=$A$15),$M123&gt;(ROW(PLE.lastrow)-ROW(PLE.firstrow))),0,
           IF(OFFSET(PLE!$G$15,$M123-$A$15,CC$13)="",10^12,OFFSET(PLE!$G$15,$M123-$A$15,CC$13)))</f>
        <v>1000000000000</v>
      </c>
      <c r="CD123" s="172">
        <f ca="1">IF(OR($D123&lt;&gt;"Serviço",AND(AUTOEVENTO="Manual",$M123=$A$15),$M123&gt;(ROW(PLE.lastrow)-ROW(PLE.firstrow))),0,
           IF(OFFSET(PLE!$G$15,$M123-$A$15,CD$13)="",10^12,OFFSET(PLE!$G$15,$M123-$A$15,CD$13)))</f>
        <v>1000000000000</v>
      </c>
      <c r="CE123" s="172">
        <f ca="1">IF(OR($D123&lt;&gt;"Serviço",AND(AUTOEVENTO="Manual",$M123=$A$15),$M123&gt;(ROW(PLE.lastrow)-ROW(PLE.firstrow))),0,
           IF(OFFSET(PLE!$G$15,$M123-$A$15,CE$13)="",10^12,OFFSET(PLE!$G$15,$M123-$A$15,CE$13)))</f>
        <v>1000000000000</v>
      </c>
      <c r="CF123" s="172">
        <f ca="1">IF(OR($D123&lt;&gt;"Serviço",AND(AUTOEVENTO="Manual",$M123=$A$15),$M123&gt;(ROW(PLE.lastrow)-ROW(PLE.firstrow))),0,
           IF(OFFSET(PLE!$G$15,$M123-$A$15,CF$13)="",10^12,OFFSET(PLE!$G$15,$M123-$A$15,CF$13)))</f>
        <v>1000000000000</v>
      </c>
      <c r="CG123" s="172">
        <f ca="1">IF(OR($D123&lt;&gt;"Serviço",AND(AUTOEVENTO="Manual",$M123=$A$15),$M123&gt;(ROW(PLE.lastrow)-ROW(PLE.firstrow))),0,
           IF(OFFSET(PLE!$G$15,$M123-$A$15,CG$13)="",10^12,OFFSET(PLE!$G$15,$M123-$A$15,CG$13)))</f>
        <v>1000000000000</v>
      </c>
      <c r="CH123" s="172">
        <f ca="1">IF(OR($D123&lt;&gt;"Serviço",AND(AUTOEVENTO="Manual",$M123=$A$15),$M123&gt;(ROW(PLE.lastrow)-ROW(PLE.firstrow))),0,
           IF(OFFSET(PLE!$G$15,$M123-$A$15,CH$13)="",10^12,OFFSET(PLE!$G$15,$M123-$A$15,CH$13)))</f>
        <v>1000000000000</v>
      </c>
      <c r="CI123" s="172">
        <f ca="1">IF(OR($D123&lt;&gt;"Serviço",AND(AUTOEVENTO="Manual",$M123=$A$15),$M123&gt;(ROW(PLE.lastrow)-ROW(PLE.firstrow))),0,
           IF(OFFSET(PLE!$G$15,$M123-$A$15,CI$13)="",10^12,OFFSET(PLE!$G$15,$M123-$A$15,CI$13)))</f>
        <v>1000000000000</v>
      </c>
      <c r="CJ123" s="172">
        <f ca="1">IF(OR($D123&lt;&gt;"Serviço",AND(AUTOEVENTO="Manual",$M123=$A$15),$M123&gt;(ROW(PLE.lastrow)-ROW(PLE.firstrow))),0,
           IF(OFFSET(PLE!$G$15,$M123-$A$15,CJ$13)="",10^12,OFFSET(PLE!$G$15,$M123-$A$15,CJ$13)))</f>
        <v>1000000000000</v>
      </c>
      <c r="CK123" s="172">
        <f ca="1">IF(OR($D123&lt;&gt;"Serviço",AND(AUTOEVENTO="Manual",$M123=$A$15),$M123&gt;(ROW(PLE.lastrow)-ROW(PLE.firstrow))),0,
           IF(OFFSET(PLE!$G$15,$M123-$A$15,CK$13)="",10^12,OFFSET(PLE!$G$15,$M123-$A$15,CK$13)))</f>
        <v>1000000000000</v>
      </c>
      <c r="CL123" s="172">
        <f ca="1">IF(OR($D123&lt;&gt;"Serviço",AND(AUTOEVENTO="Manual",$M123=$A$15),$M123&gt;(ROW(PLE.lastrow)-ROW(PLE.firstrow))),0,
           IF(OFFSET(PLE!$G$15,$M123-$A$15,CL$13)="",10^12,OFFSET(PLE!$G$15,$M123-$A$15,CL$13)))</f>
        <v>1000000000000</v>
      </c>
      <c r="CM123" s="172">
        <f ca="1">IF(OR($D123&lt;&gt;"Serviço",AND(AUTOEVENTO="Manual",$M123=$A$15),$M123&gt;(ROW(PLE.lastrow)-ROW(PLE.firstrow))),0,
           IF(OFFSET(PLE!$G$15,$M123-$A$15,CM$13)="",10^12,OFFSET(PLE!$G$15,$M123-$A$15,CM$13)))</f>
        <v>1000000000000</v>
      </c>
    </row>
    <row r="124" spans="1:91" ht="13.2" x14ac:dyDescent="0.25">
      <c r="A124" s="7" t="str">
        <f t="shared" ca="1" si="11"/>
        <v>109.</v>
      </c>
      <c r="B124" s="7">
        <f ca="1">OFFSET(ORÇAMENTO!C$15,ROW(B124)-ROW(B$15),0)</f>
        <v>2</v>
      </c>
      <c r="C124" s="7" t="str">
        <f ca="1">OFFSET(ORÇAMENTO!L$15,ROW(C124)-ROW(C$15),0)</f>
        <v>F</v>
      </c>
      <c r="D124" s="116" t="str">
        <f ca="1">OFFSET(ORÇAMENTO!N$15,ROW(D124)-ROW(D$15),0)</f>
        <v>Nível 2</v>
      </c>
      <c r="E124" s="117" t="str">
        <f ca="1">OFFSET(ORÇAMENTO!O$15,ROW(E124)-ROW(E$15),0)</f>
        <v>3.4.</v>
      </c>
      <c r="F124" s="163" t="str">
        <f ca="1">OFFSET(ORÇAMENTO!R$15,ROW(F124)-ROW(F$15),0)</f>
        <v>SINALIZAÇAO</v>
      </c>
      <c r="G124" s="164" t="str">
        <f ca="1">IF($D124&lt;&gt;"Serviço","",OFFSET(ORÇAMENTO!S$15,ROW(G124)-ROW(G$15),0))</f>
        <v/>
      </c>
      <c r="H124" s="122" cm="1">
        <f t="array" aca="1" ref="H124" ca="1">IF($D124&lt;&gt;"Serviço",0,IF(ACOMPANHAMENTO="BM",ROUND(OFFSET(ORÇAMENTO!AJ$15,ROW(H124)-ROW(H$15),0),15-13*ORÇAMENTO!$AF$7),SUMPRODUCT(($Q$1:$AI$1=1)*ROUND($Q124:$AI124,15-13*ORÇAMENTO!$AF$7))))</f>
        <v>0</v>
      </c>
      <c r="I124" s="468"/>
      <c r="J124" s="651" t="str" cm="1">
        <f t="array" aca="1" ref="J124" ca="1">IF(OR(B124&lt;&gt;"S",CÁLCULO.FrentesPreenchidas=0),"",IF(AND(ACOMPANHAMENTO="PLE",AUTOEVENTO="Manual",OR(H124&gt;0,ORÇAMENTO!AC124="QUANT."),OR(K124="",M124=0,N124="")),"►E",IF(AND(ACOMPANHAMENTO="PLE",ORÇAMENTO!AC124="QUANT."),"►Q",IF(AND(ACOMPANHAMENTO="PLE",H124&lt;&gt;SUMPRODUCT(($Q$1:$AI$1=1)*ROUND(Q124:AI124,15))),"►S",IF(AND(COUNTIF($P$11:$AI$11,"▼")=0,H124&gt;0,I124=""),"◄M","")))))</f>
        <v/>
      </c>
      <c r="K124" s="652"/>
      <c r="L124" s="165" t="s">
        <v>764</v>
      </c>
      <c r="M124" s="166" t="str">
        <f ca="1">IF($D124&lt;&gt;"Serviço","",
          IF(AUTOEVENTO="manual",$A124,
                IF(ISERROR(MATCH($A124,$A$15:OFFSET($A124,-1,0),0)),MAX($M$15:OFFSET(M124,-1,0))+1,
                      INDEX($M$15:OFFSET(M124,-1,0),MATCH($A124,$A$15:OFFSET($A124,-1,0),0)))))</f>
        <v/>
      </c>
      <c r="N124" s="167" t="str">
        <f ca="1">IF($D124&lt;&gt;"Serviço","",
         IF(AUTOEVENTO="Manual",
                IF($A124=0,"&lt;-- defina o número do agrupador",
                       OFFSET(EVENTOS!$D$15,$A124-$A$15,0)),
                OFFSET($F$15,$A124,0)))</f>
        <v/>
      </c>
      <c r="O124" s="168"/>
      <c r="Q124" s="168"/>
      <c r="R124" s="169"/>
      <c r="S124" s="169"/>
      <c r="T124" s="169"/>
      <c r="U124" s="169"/>
      <c r="V124" s="169"/>
      <c r="W124" s="169"/>
      <c r="X124" s="169"/>
      <c r="Y124" s="169"/>
      <c r="Z124" s="170"/>
      <c r="AA124" s="169"/>
      <c r="AB124" s="169"/>
      <c r="AC124" s="169"/>
      <c r="AD124" s="169"/>
      <c r="AE124" s="169"/>
      <c r="AF124" s="169"/>
      <c r="AG124" s="169"/>
      <c r="AH124" s="170"/>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L124" s="453">
        <f ca="1">IF(AND($D124="Serviço",AL$12&lt;&gt;0,$H124&gt;0,OR(AUTOEVENTO&lt;&gt;"manual",$M124&lt;&gt;$A$15)),
        IF(Import.TipoArredondamento&lt;&gt;"TransfereGOV",
              ROUND(OFFSET($P124,0,AL$13),15-13*ORÇAMENTO!$AF$7)/$H124*OFFSET(ORÇAMENTO!$X$15,ROW(AL124)-ROW(AL$15),0),
              ROUND(ROUND(OFFSET($P124,0,AL$13),15-13*ORÇAMENTO!$AF$7)*OFFSET(ORÇAMENTO!$W$15,ROW(AL124)-ROW(AL$15),0),15-13*ORÇAMENTO!$AF$11)),
         0)</f>
        <v>0</v>
      </c>
      <c r="AM124" s="453">
        <f ca="1">IF(AND($D124="Serviço",AM$12&lt;&gt;0,$H124&gt;0,OR(AUTOEVENTO&lt;&gt;"manual",$M124&lt;&gt;$A$15)),
        IF(Import.TipoArredondamento&lt;&gt;"TransfereGOV",
              ROUND(OFFSET($P124,0,AM$13),15-13*ORÇAMENTO!$AF$7)/$H124*OFFSET(ORÇAMENTO!$X$15,ROW(AM124)-ROW(AM$15),0),
              ROUND(ROUND(OFFSET($P124,0,AM$13),15-13*ORÇAMENTO!$AF$7)*OFFSET(ORÇAMENTO!$W$15,ROW(AM124)-ROW(AM$15),0),15-13*ORÇAMENTO!$AF$11)),
         0)</f>
        <v>0</v>
      </c>
      <c r="AN124" s="453">
        <f ca="1">IF(AND($D124="Serviço",AN$12&lt;&gt;0,$H124&gt;0,OR(AUTOEVENTO&lt;&gt;"manual",$M124&lt;&gt;$A$15)),
        IF(Import.TipoArredondamento&lt;&gt;"TransfereGOV",
              ROUND(OFFSET($P124,0,AN$13),15-13*ORÇAMENTO!$AF$7)/$H124*OFFSET(ORÇAMENTO!$X$15,ROW(AN124)-ROW(AN$15),0),
              ROUND(ROUND(OFFSET($P124,0,AN$13),15-13*ORÇAMENTO!$AF$7)*OFFSET(ORÇAMENTO!$W$15,ROW(AN124)-ROW(AN$15),0),15-13*ORÇAMENTO!$AF$11)),
         0)</f>
        <v>0</v>
      </c>
      <c r="AO124" s="453">
        <f ca="1">IF(AND($D124="Serviço",AO$12&lt;&gt;0,$H124&gt;0,OR(AUTOEVENTO&lt;&gt;"manual",$M124&lt;&gt;$A$15)),
        IF(Import.TipoArredondamento&lt;&gt;"TransfereGOV",
              ROUND(OFFSET($P124,0,AO$13),15-13*ORÇAMENTO!$AF$7)/$H124*OFFSET(ORÇAMENTO!$X$15,ROW(AO124)-ROW(AO$15),0),
              ROUND(ROUND(OFFSET($P124,0,AO$13),15-13*ORÇAMENTO!$AF$7)*OFFSET(ORÇAMENTO!$W$15,ROW(AO124)-ROW(AO$15),0),15-13*ORÇAMENTO!$AF$11)),
         0)</f>
        <v>0</v>
      </c>
      <c r="AP124" s="453">
        <f ca="1">IF(AND($D124="Serviço",AP$12&lt;&gt;0,$H124&gt;0,OR(AUTOEVENTO&lt;&gt;"manual",$M124&lt;&gt;$A$15)),
        IF(Import.TipoArredondamento&lt;&gt;"TransfereGOV",
              ROUND(OFFSET($P124,0,AP$13),15-13*ORÇAMENTO!$AF$7)/$H124*OFFSET(ORÇAMENTO!$X$15,ROW(AP124)-ROW(AP$15),0),
              ROUND(ROUND(OFFSET($P124,0,AP$13),15-13*ORÇAMENTO!$AF$7)*OFFSET(ORÇAMENTO!$W$15,ROW(AP124)-ROW(AP$15),0),15-13*ORÇAMENTO!$AF$11)),
         0)</f>
        <v>0</v>
      </c>
      <c r="AQ124" s="453">
        <f ca="1">IF(AND($D124="Serviço",AQ$12&lt;&gt;0,$H124&gt;0,OR(AUTOEVENTO&lt;&gt;"manual",$M124&lt;&gt;$A$15)),
        IF(Import.TipoArredondamento&lt;&gt;"TransfereGOV",
              ROUND(OFFSET($P124,0,AQ$13),15-13*ORÇAMENTO!$AF$7)/$H124*OFFSET(ORÇAMENTO!$X$15,ROW(AQ124)-ROW(AQ$15),0),
              ROUND(ROUND(OFFSET($P124,0,AQ$13),15-13*ORÇAMENTO!$AF$7)*OFFSET(ORÇAMENTO!$W$15,ROW(AQ124)-ROW(AQ$15),0),15-13*ORÇAMENTO!$AF$11)),
         0)</f>
        <v>0</v>
      </c>
      <c r="AR124" s="453">
        <f ca="1">IF(AND($D124="Serviço",AR$12&lt;&gt;0,$H124&gt;0,OR(AUTOEVENTO&lt;&gt;"manual",$M124&lt;&gt;$A$15)),
        IF(Import.TipoArredondamento&lt;&gt;"TransfereGOV",
              ROUND(OFFSET($P124,0,AR$13),15-13*ORÇAMENTO!$AF$7)/$H124*OFFSET(ORÇAMENTO!$X$15,ROW(AR124)-ROW(AR$15),0),
              ROUND(ROUND(OFFSET($P124,0,AR$13),15-13*ORÇAMENTO!$AF$7)*OFFSET(ORÇAMENTO!$W$15,ROW(AR124)-ROW(AR$15),0),15-13*ORÇAMENTO!$AF$11)),
         0)</f>
        <v>0</v>
      </c>
      <c r="AS124" s="453">
        <f ca="1">IF(AND($D124="Serviço",AS$12&lt;&gt;0,$H124&gt;0,OR(AUTOEVENTO&lt;&gt;"manual",$M124&lt;&gt;$A$15)),
        IF(Import.TipoArredondamento&lt;&gt;"TransfereGOV",
              ROUND(OFFSET($P124,0,AS$13),15-13*ORÇAMENTO!$AF$7)/$H124*OFFSET(ORÇAMENTO!$X$15,ROW(AS124)-ROW(AS$15),0),
              ROUND(ROUND(OFFSET($P124,0,AS$13),15-13*ORÇAMENTO!$AF$7)*OFFSET(ORÇAMENTO!$W$15,ROW(AS124)-ROW(AS$15),0),15-13*ORÇAMENTO!$AF$11)),
         0)</f>
        <v>0</v>
      </c>
      <c r="AT124" s="453">
        <f ca="1">IF(AND($D124="Serviço",AT$12&lt;&gt;0,$H124&gt;0,OR(AUTOEVENTO&lt;&gt;"manual",$M124&lt;&gt;$A$15)),
        IF(Import.TipoArredondamento&lt;&gt;"TransfereGOV",
              ROUND(OFFSET($P124,0,AT$13),15-13*ORÇAMENTO!$AF$7)/$H124*OFFSET(ORÇAMENTO!$X$15,ROW(AT124)-ROW(AT$15),0),
              ROUND(ROUND(OFFSET($P124,0,AT$13),15-13*ORÇAMENTO!$AF$7)*OFFSET(ORÇAMENTO!$W$15,ROW(AT124)-ROW(AT$15),0),15-13*ORÇAMENTO!$AF$11)),
         0)</f>
        <v>0</v>
      </c>
      <c r="AU124" s="453">
        <f ca="1">IF(AND($D124="Serviço",AU$12&lt;&gt;0,$H124&gt;0,OR(AUTOEVENTO&lt;&gt;"manual",$M124&lt;&gt;$A$15)),
        IF(Import.TipoArredondamento&lt;&gt;"TransfereGOV",
              ROUND(OFFSET($P124,0,AU$13),15-13*ORÇAMENTO!$AF$7)/$H124*OFFSET(ORÇAMENTO!$X$15,ROW(AU124)-ROW(AU$15),0),
              ROUND(ROUND(OFFSET($P124,0,AU$13),15-13*ORÇAMENTO!$AF$7)*OFFSET(ORÇAMENTO!$W$15,ROW(AU124)-ROW(AU$15),0),15-13*ORÇAMENTO!$AF$11)),
         0)</f>
        <v>0</v>
      </c>
      <c r="AV124" s="453">
        <f ca="1">IF(AND($D124="Serviço",AV$12&lt;&gt;0,$H124&gt;0,OR(AUTOEVENTO&lt;&gt;"manual",$M124&lt;&gt;$A$15)),
        IF(Import.TipoArredondamento&lt;&gt;"TransfereGOV",
              ROUND(OFFSET($P124,0,AV$13),15-13*ORÇAMENTO!$AF$7)/$H124*OFFSET(ORÇAMENTO!$X$15,ROW(AV124)-ROW(AV$15),0),
              ROUND(ROUND(OFFSET($P124,0,AV$13),15-13*ORÇAMENTO!$AF$7)*OFFSET(ORÇAMENTO!$W$15,ROW(AV124)-ROW(AV$15),0),15-13*ORÇAMENTO!$AF$11)),
         0)</f>
        <v>0</v>
      </c>
      <c r="AW124" s="453">
        <f ca="1">IF(AND($D124="Serviço",AW$12&lt;&gt;0,$H124&gt;0,OR(AUTOEVENTO&lt;&gt;"manual",$M124&lt;&gt;$A$15)),
        IF(Import.TipoArredondamento&lt;&gt;"TransfereGOV",
              ROUND(OFFSET($P124,0,AW$13),15-13*ORÇAMENTO!$AF$7)/$H124*OFFSET(ORÇAMENTO!$X$15,ROW(AW124)-ROW(AW$15),0),
              ROUND(ROUND(OFFSET($P124,0,AW$13),15-13*ORÇAMENTO!$AF$7)*OFFSET(ORÇAMENTO!$W$15,ROW(AW124)-ROW(AW$15),0),15-13*ORÇAMENTO!$AF$11)),
         0)</f>
        <v>0</v>
      </c>
      <c r="AX124" s="453">
        <f ca="1">IF(AND($D124="Serviço",AX$12&lt;&gt;0,$H124&gt;0,OR(AUTOEVENTO&lt;&gt;"manual",$M124&lt;&gt;$A$15)),
        IF(Import.TipoArredondamento&lt;&gt;"TransfereGOV",
              ROUND(OFFSET($P124,0,AX$13),15-13*ORÇAMENTO!$AF$7)/$H124*OFFSET(ORÇAMENTO!$X$15,ROW(AX124)-ROW(AX$15),0),
              ROUND(ROUND(OFFSET($P124,0,AX$13),15-13*ORÇAMENTO!$AF$7)*OFFSET(ORÇAMENTO!$W$15,ROW(AX124)-ROW(AX$15),0),15-13*ORÇAMENTO!$AF$11)),
         0)</f>
        <v>0</v>
      </c>
      <c r="AY124" s="453">
        <f ca="1">IF(AND($D124="Serviço",AY$12&lt;&gt;0,$H124&gt;0,OR(AUTOEVENTO&lt;&gt;"manual",$M124&lt;&gt;$A$15)),
        IF(Import.TipoArredondamento&lt;&gt;"TransfereGOV",
              ROUND(OFFSET($P124,0,AY$13),15-13*ORÇAMENTO!$AF$7)/$H124*OFFSET(ORÇAMENTO!$X$15,ROW(AY124)-ROW(AY$15),0),
              ROUND(ROUND(OFFSET($P124,0,AY$13),15-13*ORÇAMENTO!$AF$7)*OFFSET(ORÇAMENTO!$W$15,ROW(AY124)-ROW(AY$15),0),15-13*ORÇAMENTO!$AF$11)),
         0)</f>
        <v>0</v>
      </c>
      <c r="AZ124" s="453">
        <f ca="1">IF(AND($D124="Serviço",AZ$12&lt;&gt;0,$H124&gt;0,OR(AUTOEVENTO&lt;&gt;"manual",$M124&lt;&gt;$A$15)),
        IF(Import.TipoArredondamento&lt;&gt;"TransfereGOV",
              ROUND(OFFSET($P124,0,AZ$13),15-13*ORÇAMENTO!$AF$7)/$H124*OFFSET(ORÇAMENTO!$X$15,ROW(AZ124)-ROW(AZ$15),0),
              ROUND(ROUND(OFFSET($P124,0,AZ$13),15-13*ORÇAMENTO!$AF$7)*OFFSET(ORÇAMENTO!$W$15,ROW(AZ124)-ROW(AZ$15),0),15-13*ORÇAMENTO!$AF$11)),
         0)</f>
        <v>0</v>
      </c>
      <c r="BA124" s="453">
        <f ca="1">IF(AND($D124="Serviço",BA$12&lt;&gt;0,$H124&gt;0,OR(AUTOEVENTO&lt;&gt;"manual",$M124&lt;&gt;$A$15)),
        IF(Import.TipoArredondamento&lt;&gt;"TransfereGOV",
              ROUND(OFFSET($P124,0,BA$13),15-13*ORÇAMENTO!$AF$7)/$H124*OFFSET(ORÇAMENTO!$X$15,ROW(BA124)-ROW(BA$15),0),
              ROUND(ROUND(OFFSET($P124,0,BA$13),15-13*ORÇAMENTO!$AF$7)*OFFSET(ORÇAMENTO!$W$15,ROW(BA124)-ROW(BA$15),0),15-13*ORÇAMENTO!$AF$11)),
         0)</f>
        <v>0</v>
      </c>
      <c r="BC124" s="171">
        <f ca="1">IF(OR($D124&lt;&gt;"Serviço",AND(AUTOEVENTO="Manual",$M124=$A$15)),0,
         IF(OFFSET(CRONOPLE!$F$15,$M124-$A$15,BC$13)=0,10^12,OFFSET(CRONOPLE!$F$15,$M124-$A$15,BC$13)))</f>
        <v>0</v>
      </c>
      <c r="BD124" s="171">
        <f ca="1">IF(OR($D124&lt;&gt;"Serviço",AND(AUTOEVENTO="Manual",$M124=$A$15)),0,
         IF(OFFSET(CRONOPLE!$F$15,$M124-$A$15,BD$13)=0,10^12,OFFSET(CRONOPLE!$F$15,$M124-$A$15,BD$13)))</f>
        <v>0</v>
      </c>
      <c r="BE124" s="171">
        <f ca="1">IF(OR($D124&lt;&gt;"Serviço",AND(AUTOEVENTO="Manual",$M124=$A$15)),0,
         IF(OFFSET(CRONOPLE!$F$15,$M124-$A$15,BE$13)=0,10^12,OFFSET(CRONOPLE!$F$15,$M124-$A$15,BE$13)))</f>
        <v>0</v>
      </c>
      <c r="BF124" s="171">
        <f ca="1">IF(OR($D124&lt;&gt;"Serviço",AND(AUTOEVENTO="Manual",$M124=$A$15)),0,
         IF(OFFSET(CRONOPLE!$F$15,$M124-$A$15,BF$13)=0,10^12,OFFSET(CRONOPLE!$F$15,$M124-$A$15,BF$13)))</f>
        <v>0</v>
      </c>
      <c r="BG124" s="171">
        <f ca="1">IF(OR($D124&lt;&gt;"Serviço",AND(AUTOEVENTO="Manual",$M124=$A$15)),0,
         IF(OFFSET(CRONOPLE!$F$15,$M124-$A$15,BG$13)=0,10^12,OFFSET(CRONOPLE!$F$15,$M124-$A$15,BG$13)))</f>
        <v>0</v>
      </c>
      <c r="BH124" s="171">
        <f ca="1">IF(OR($D124&lt;&gt;"Serviço",AND(AUTOEVENTO="Manual",$M124=$A$15)),0,
         IF(OFFSET(CRONOPLE!$F$15,$M124-$A$15,BH$13)=0,10^12,OFFSET(CRONOPLE!$F$15,$M124-$A$15,BH$13)))</f>
        <v>0</v>
      </c>
      <c r="BI124" s="171">
        <f ca="1">IF(OR($D124&lt;&gt;"Serviço",AND(AUTOEVENTO="Manual",$M124=$A$15)),0,
         IF(OFFSET(CRONOPLE!$F$15,$M124-$A$15,BI$13)=0,10^12,OFFSET(CRONOPLE!$F$15,$M124-$A$15,BI$13)))</f>
        <v>0</v>
      </c>
      <c r="BJ124" s="171">
        <f ca="1">IF(OR($D124&lt;&gt;"Serviço",AND(AUTOEVENTO="Manual",$M124=$A$15)),0,
         IF(OFFSET(CRONOPLE!$F$15,$M124-$A$15,BJ$13)=0,10^12,OFFSET(CRONOPLE!$F$15,$M124-$A$15,BJ$13)))</f>
        <v>0</v>
      </c>
      <c r="BK124" s="171">
        <f ca="1">IF(OR($D124&lt;&gt;"Serviço",AND(AUTOEVENTO="Manual",$M124=$A$15)),0,
         IF(OFFSET(CRONOPLE!$F$15,$M124-$A$15,BK$13)=0,10^12,OFFSET(CRONOPLE!$F$15,$M124-$A$15,BK$13)))</f>
        <v>0</v>
      </c>
      <c r="BL124" s="171">
        <f ca="1">IF(OR($D124&lt;&gt;"Serviço",AND(AUTOEVENTO="Manual",$M124=$A$15)),0,
         IF(OFFSET(CRONOPLE!$F$15,$M124-$A$15,BL$13)=0,10^12,OFFSET(CRONOPLE!$F$15,$M124-$A$15,BL$13)))</f>
        <v>0</v>
      </c>
      <c r="BM124" s="171">
        <f ca="1">IF(OR($D124&lt;&gt;"Serviço",AND(AUTOEVENTO="Manual",$M124=$A$15)),0,
         IF(OFFSET(CRONOPLE!$F$15,$M124-$A$15,BM$13)=0,10^12,OFFSET(CRONOPLE!$F$15,$M124-$A$15,BM$13)))</f>
        <v>0</v>
      </c>
      <c r="BN124" s="171">
        <f ca="1">IF(OR($D124&lt;&gt;"Serviço",AND(AUTOEVENTO="Manual",$M124=$A$15)),0,
         IF(OFFSET(CRONOPLE!$F$15,$M124-$A$15,BN$13)=0,10^12,OFFSET(CRONOPLE!$F$15,$M124-$A$15,BN$13)))</f>
        <v>0</v>
      </c>
      <c r="BO124" s="171">
        <f ca="1">IF(OR($D124&lt;&gt;"Serviço",AND(AUTOEVENTO="Manual",$M124=$A$15)),0,
         IF(OFFSET(CRONOPLE!$F$15,$M124-$A$15,BO$13)=0,10^12,OFFSET(CRONOPLE!$F$15,$M124-$A$15,BO$13)))</f>
        <v>0</v>
      </c>
      <c r="BP124" s="171">
        <f ca="1">IF(OR($D124&lt;&gt;"Serviço",AND(AUTOEVENTO="Manual",$M124=$A$15)),0,
         IF(OFFSET(CRONOPLE!$F$15,$M124-$A$15,BP$13)=0,10^12,OFFSET(CRONOPLE!$F$15,$M124-$A$15,BP$13)))</f>
        <v>0</v>
      </c>
      <c r="BQ124" s="171">
        <f ca="1">IF(OR($D124&lt;&gt;"Serviço",AND(AUTOEVENTO="Manual",$M124=$A$15)),0,
         IF(OFFSET(CRONOPLE!$F$15,$M124-$A$15,BQ$13)=0,10^12,OFFSET(CRONOPLE!$F$15,$M124-$A$15,BQ$13)))</f>
        <v>0</v>
      </c>
      <c r="BR124" s="171">
        <f ca="1">IF(OR($D124&lt;&gt;"Serviço",AND(AUTOEVENTO="Manual",$M124=$A$15)),0,
         IF(OFFSET(CRONOPLE!$F$15,$M124-$A$15,BR$13)=0,10^12,OFFSET(CRONOPLE!$F$15,$M124-$A$15,BR$13)))</f>
        <v>0</v>
      </c>
      <c r="BS124" s="171">
        <f ca="1">IF(OR($D124&lt;&gt;"Serviço",AND(AUTOEVENTO="Manual",$M124=$A$15)),0,
         IF(OFFSET(CRONOPLE!$F$15,$M124-$A$15,BS$13)=0,10^12,OFFSET(CRONOPLE!$F$15,$M124-$A$15,BS$13)))</f>
        <v>0</v>
      </c>
      <c r="BT124" s="171">
        <f ca="1">IF(OR($D124&lt;&gt;"Serviço",AND(AUTOEVENTO="Manual",$M124=$A$15)),0,
         IF(OFFSET(CRONOPLE!$F$15,$M124-$A$15,BT$13)=0,10^12,OFFSET(CRONOPLE!$F$15,$M124-$A$15,BT$13)))</f>
        <v>0</v>
      </c>
      <c r="BV124" s="172">
        <f ca="1">IF(OR($D124&lt;&gt;"Serviço",AND(AUTOEVENTO="Manual",$M124=$A$15),$M124&gt;(ROW(PLE.lastrow)-ROW(PLE.firstrow))),0,
           IF(OFFSET(PLE!$G$15,$M124-$A$15,BV$13)="",10^12,OFFSET(PLE!$G$15,$M124-$A$15,BV$13)))</f>
        <v>0</v>
      </c>
      <c r="BW124" s="172">
        <f ca="1">IF(OR($D124&lt;&gt;"Serviço",AND(AUTOEVENTO="Manual",$M124=$A$15),$M124&gt;(ROW(PLE.lastrow)-ROW(PLE.firstrow))),0,
           IF(OFFSET(PLE!$G$15,$M124-$A$15,BW$13)="",10^12,OFFSET(PLE!$G$15,$M124-$A$15,BW$13)))</f>
        <v>0</v>
      </c>
      <c r="BX124" s="172">
        <f ca="1">IF(OR($D124&lt;&gt;"Serviço",AND(AUTOEVENTO="Manual",$M124=$A$15),$M124&gt;(ROW(PLE.lastrow)-ROW(PLE.firstrow))),0,
           IF(OFFSET(PLE!$G$15,$M124-$A$15,BX$13)="",10^12,OFFSET(PLE!$G$15,$M124-$A$15,BX$13)))</f>
        <v>0</v>
      </c>
      <c r="BY124" s="172">
        <f ca="1">IF(OR($D124&lt;&gt;"Serviço",AND(AUTOEVENTO="Manual",$M124=$A$15),$M124&gt;(ROW(PLE.lastrow)-ROW(PLE.firstrow))),0,
           IF(OFFSET(PLE!$G$15,$M124-$A$15,BY$13)="",10^12,OFFSET(PLE!$G$15,$M124-$A$15,BY$13)))</f>
        <v>0</v>
      </c>
      <c r="BZ124" s="172">
        <f ca="1">IF(OR($D124&lt;&gt;"Serviço",AND(AUTOEVENTO="Manual",$M124=$A$15),$M124&gt;(ROW(PLE.lastrow)-ROW(PLE.firstrow))),0,
           IF(OFFSET(PLE!$G$15,$M124-$A$15,BZ$13)="",10^12,OFFSET(PLE!$G$15,$M124-$A$15,BZ$13)))</f>
        <v>0</v>
      </c>
      <c r="CA124" s="172">
        <f ca="1">IF(OR($D124&lt;&gt;"Serviço",AND(AUTOEVENTO="Manual",$M124=$A$15),$M124&gt;(ROW(PLE.lastrow)-ROW(PLE.firstrow))),0,
           IF(OFFSET(PLE!$G$15,$M124-$A$15,CA$13)="",10^12,OFFSET(PLE!$G$15,$M124-$A$15,CA$13)))</f>
        <v>0</v>
      </c>
      <c r="CB124" s="172">
        <f ca="1">IF(OR($D124&lt;&gt;"Serviço",AND(AUTOEVENTO="Manual",$M124=$A$15),$M124&gt;(ROW(PLE.lastrow)-ROW(PLE.firstrow))),0,
           IF(OFFSET(PLE!$G$15,$M124-$A$15,CB$13)="",10^12,OFFSET(PLE!$G$15,$M124-$A$15,CB$13)))</f>
        <v>0</v>
      </c>
      <c r="CC124" s="172">
        <f ca="1">IF(OR($D124&lt;&gt;"Serviço",AND(AUTOEVENTO="Manual",$M124=$A$15),$M124&gt;(ROW(PLE.lastrow)-ROW(PLE.firstrow))),0,
           IF(OFFSET(PLE!$G$15,$M124-$A$15,CC$13)="",10^12,OFFSET(PLE!$G$15,$M124-$A$15,CC$13)))</f>
        <v>0</v>
      </c>
      <c r="CD124" s="172">
        <f ca="1">IF(OR($D124&lt;&gt;"Serviço",AND(AUTOEVENTO="Manual",$M124=$A$15),$M124&gt;(ROW(PLE.lastrow)-ROW(PLE.firstrow))),0,
           IF(OFFSET(PLE!$G$15,$M124-$A$15,CD$13)="",10^12,OFFSET(PLE!$G$15,$M124-$A$15,CD$13)))</f>
        <v>0</v>
      </c>
      <c r="CE124" s="172">
        <f ca="1">IF(OR($D124&lt;&gt;"Serviço",AND(AUTOEVENTO="Manual",$M124=$A$15),$M124&gt;(ROW(PLE.lastrow)-ROW(PLE.firstrow))),0,
           IF(OFFSET(PLE!$G$15,$M124-$A$15,CE$13)="",10^12,OFFSET(PLE!$G$15,$M124-$A$15,CE$13)))</f>
        <v>0</v>
      </c>
      <c r="CF124" s="172">
        <f ca="1">IF(OR($D124&lt;&gt;"Serviço",AND(AUTOEVENTO="Manual",$M124=$A$15),$M124&gt;(ROW(PLE.lastrow)-ROW(PLE.firstrow))),0,
           IF(OFFSET(PLE!$G$15,$M124-$A$15,CF$13)="",10^12,OFFSET(PLE!$G$15,$M124-$A$15,CF$13)))</f>
        <v>0</v>
      </c>
      <c r="CG124" s="172">
        <f ca="1">IF(OR($D124&lt;&gt;"Serviço",AND(AUTOEVENTO="Manual",$M124=$A$15),$M124&gt;(ROW(PLE.lastrow)-ROW(PLE.firstrow))),0,
           IF(OFFSET(PLE!$G$15,$M124-$A$15,CG$13)="",10^12,OFFSET(PLE!$G$15,$M124-$A$15,CG$13)))</f>
        <v>0</v>
      </c>
      <c r="CH124" s="172">
        <f ca="1">IF(OR($D124&lt;&gt;"Serviço",AND(AUTOEVENTO="Manual",$M124=$A$15),$M124&gt;(ROW(PLE.lastrow)-ROW(PLE.firstrow))),0,
           IF(OFFSET(PLE!$G$15,$M124-$A$15,CH$13)="",10^12,OFFSET(PLE!$G$15,$M124-$A$15,CH$13)))</f>
        <v>0</v>
      </c>
      <c r="CI124" s="172">
        <f ca="1">IF(OR($D124&lt;&gt;"Serviço",AND(AUTOEVENTO="Manual",$M124=$A$15),$M124&gt;(ROW(PLE.lastrow)-ROW(PLE.firstrow))),0,
           IF(OFFSET(PLE!$G$15,$M124-$A$15,CI$13)="",10^12,OFFSET(PLE!$G$15,$M124-$A$15,CI$13)))</f>
        <v>0</v>
      </c>
      <c r="CJ124" s="172">
        <f ca="1">IF(OR($D124&lt;&gt;"Serviço",AND(AUTOEVENTO="Manual",$M124=$A$15),$M124&gt;(ROW(PLE.lastrow)-ROW(PLE.firstrow))),0,
           IF(OFFSET(PLE!$G$15,$M124-$A$15,CJ$13)="",10^12,OFFSET(PLE!$G$15,$M124-$A$15,CJ$13)))</f>
        <v>0</v>
      </c>
      <c r="CK124" s="172">
        <f ca="1">IF(OR($D124&lt;&gt;"Serviço",AND(AUTOEVENTO="Manual",$M124=$A$15),$M124&gt;(ROW(PLE.lastrow)-ROW(PLE.firstrow))),0,
           IF(OFFSET(PLE!$G$15,$M124-$A$15,CK$13)="",10^12,OFFSET(PLE!$G$15,$M124-$A$15,CK$13)))</f>
        <v>0</v>
      </c>
      <c r="CL124" s="172">
        <f ca="1">IF(OR($D124&lt;&gt;"Serviço",AND(AUTOEVENTO="Manual",$M124=$A$15),$M124&gt;(ROW(PLE.lastrow)-ROW(PLE.firstrow))),0,
           IF(OFFSET(PLE!$G$15,$M124-$A$15,CL$13)="",10^12,OFFSET(PLE!$G$15,$M124-$A$15,CL$13)))</f>
        <v>0</v>
      </c>
      <c r="CM124" s="172">
        <f ca="1">IF(OR($D124&lt;&gt;"Serviço",AND(AUTOEVENTO="Manual",$M124=$A$15),$M124&gt;(ROW(PLE.lastrow)-ROW(PLE.firstrow))),0,
           IF(OFFSET(PLE!$G$15,$M124-$A$15,CM$13)="",10^12,OFFSET(PLE!$G$15,$M124-$A$15,CM$13)))</f>
        <v>0</v>
      </c>
    </row>
    <row r="125" spans="1:91" ht="39.6" x14ac:dyDescent="0.25">
      <c r="A125" s="7" t="str">
        <f t="shared" ca="1" si="11"/>
        <v>109</v>
      </c>
      <c r="B125" s="7" t="str">
        <f ca="1">OFFSET(ORÇAMENTO!C$15,ROW(B125)-ROW(B$15),0)</f>
        <v>S</v>
      </c>
      <c r="C125" s="7" t="str">
        <f ca="1">OFFSET(ORÇAMENTO!L$15,ROW(C125)-ROW(C$15),0)</f>
        <v>F</v>
      </c>
      <c r="D125" s="116" t="str">
        <f ca="1">OFFSET(ORÇAMENTO!N$15,ROW(D125)-ROW(D$15),0)</f>
        <v>Serviço</v>
      </c>
      <c r="E125" s="117" t="str">
        <f ca="1">OFFSET(ORÇAMENTO!O$15,ROW(E125)-ROW(E$15),0)</f>
        <v>3.4.1.</v>
      </c>
      <c r="F125" s="163" t="str">
        <f ca="1">OFFSET(ORÇAMENTO!R$15,ROW(F125)-ROW(F$15),0)</f>
        <v xml:space="preserve">PINTURA DE EIXO VIÁRIO SOBRE ASFLATO COM TINTA RETRORREFLETIVA A BASE DE RESINA ACRÍLICA COM MICROESFERAS DE VIDRO, E= 10CM </v>
      </c>
      <c r="G125" s="164" t="str">
        <f ca="1">IF($D125&lt;&gt;"Serviço","",OFFSET(ORÇAMENTO!S$15,ROW(G125)-ROW(G$15),0))</f>
        <v>M</v>
      </c>
      <c r="H125" s="122" cm="1">
        <f t="array" aca="1" ref="H125" ca="1">IF($D125&lt;&gt;"Serviço",0,IF(ACOMPANHAMENTO="BM",ROUND(OFFSET(ORÇAMENTO!AJ$15,ROW(H125)-ROW(H$15),0),15-13*ORÇAMENTO!$AF$7),SUMPRODUCT(($Q$1:$AI$1=1)*ROUND($Q125:$AI125,15-13*ORÇAMENTO!$AF$7))))</f>
        <v>201.3</v>
      </c>
      <c r="I125" s="468"/>
      <c r="J125" s="651" t="e" cm="1">
        <f t="array" aca="1" ref="J125" ca="1">IF(OR(B125&lt;&gt;"S",CÁLCULO.FrentesPreenchidas=0),"",IF(AND(ACOMPANHAMENTO="PLE",AUTOEVENTO="Manual",OR(H125&gt;0,ORÇAMENTO!AC125="QUANT."),OR(K125="",M125=0,N125="")),"►E",IF(AND(ACOMPANHAMENTO="PLE",ORÇAMENTO!AC125="QUANT."),"►Q",IF(AND(ACOMPANHAMENTO="PLE",H125&lt;&gt;SUMPRODUCT(($Q$1:$AI$1=1)*ROUND(Q125:AI125,15))),"►S",IF(AND(COUNTIF($P$11:$AI$11,"▼")=0,H125&gt;0,I125=""),"◄M","")))))</f>
        <v>#NAME?</v>
      </c>
      <c r="K125" s="652"/>
      <c r="L125" s="165" t="s">
        <v>764</v>
      </c>
      <c r="M125" s="166">
        <f ca="1">IF($D125&lt;&gt;"Serviço","",
          IF(AUTOEVENTO="manual",$A125,
                IF(ISERROR(MATCH($A125,$A$15:OFFSET($A125,-1,0),0)),MAX($M$15:OFFSET(M125,-1,0))+1,
                      INDEX($M$15:OFFSET(M125,-1,0),MATCH($A125,$A$15:OFFSET($A125,-1,0),0)))))</f>
        <v>17</v>
      </c>
      <c r="N125" s="167" t="str">
        <f ca="1">IF($D125&lt;&gt;"Serviço","",
         IF(AUTOEVENTO="Manual",
                IF($A125=0,"&lt;-- defina o número do agrupador",
                       OFFSET(EVENTOS!$D$15,$A125-$A$15,0)),
                OFFSET($F$15,$A125,0)))</f>
        <v>SINALIZAÇAO</v>
      </c>
      <c r="O125" s="168"/>
      <c r="Q125" s="168"/>
      <c r="R125" s="169"/>
      <c r="S125" s="169"/>
      <c r="T125" s="169"/>
      <c r="U125" s="169">
        <v>201.3</v>
      </c>
      <c r="V125" s="169"/>
      <c r="W125" s="169"/>
      <c r="X125" s="169"/>
      <c r="Y125" s="169"/>
      <c r="Z125" s="170"/>
      <c r="AA125" s="169"/>
      <c r="AB125" s="169"/>
      <c r="AC125" s="169"/>
      <c r="AD125" s="169"/>
      <c r="AE125" s="169"/>
      <c r="AF125" s="169"/>
      <c r="AG125" s="169"/>
      <c r="AH125" s="170"/>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L125" s="453">
        <f ca="1">IF(AND($D125="Serviço",AL$12&lt;&gt;0,$H125&gt;0,OR(AUTOEVENTO&lt;&gt;"manual",$M125&lt;&gt;$A$15)),
        IF(Import.TipoArredondamento&lt;&gt;"TransfereGOV",
              ROUND(OFFSET($P125,0,AL$13),15-13*ORÇAMENTO!$AF$7)/$H125*OFFSET(ORÇAMENTO!$X$15,ROW(AL125)-ROW(AL$15),0),
              ROUND(ROUND(OFFSET($P125,0,AL$13),15-13*ORÇAMENTO!$AF$7)*OFFSET(ORÇAMENTO!$W$15,ROW(AL125)-ROW(AL$15),0),15-13*ORÇAMENTO!$AF$11)),
         0)</f>
        <v>0</v>
      </c>
      <c r="AM125" s="453">
        <f ca="1">IF(AND($D125="Serviço",AM$12&lt;&gt;0,$H125&gt;0,OR(AUTOEVENTO&lt;&gt;"manual",$M125&lt;&gt;$A$15)),
        IF(Import.TipoArredondamento&lt;&gt;"TransfereGOV",
              ROUND(OFFSET($P125,0,AM$13),15-13*ORÇAMENTO!$AF$7)/$H125*OFFSET(ORÇAMENTO!$X$15,ROW(AM125)-ROW(AM$15),0),
              ROUND(ROUND(OFFSET($P125,0,AM$13),15-13*ORÇAMENTO!$AF$7)*OFFSET(ORÇAMENTO!$W$15,ROW(AM125)-ROW(AM$15),0),15-13*ORÇAMENTO!$AF$11)),
         0)</f>
        <v>0</v>
      </c>
      <c r="AN125" s="453">
        <f ca="1">IF(AND($D125="Serviço",AN$12&lt;&gt;0,$H125&gt;0,OR(AUTOEVENTO&lt;&gt;"manual",$M125&lt;&gt;$A$15)),
        IF(Import.TipoArredondamento&lt;&gt;"TransfereGOV",
              ROUND(OFFSET($P125,0,AN$13),15-13*ORÇAMENTO!$AF$7)/$H125*OFFSET(ORÇAMENTO!$X$15,ROW(AN125)-ROW(AN$15),0),
              ROUND(ROUND(OFFSET($P125,0,AN$13),15-13*ORÇAMENTO!$AF$7)*OFFSET(ORÇAMENTO!$W$15,ROW(AN125)-ROW(AN$15),0),15-13*ORÇAMENTO!$AF$11)),
         0)</f>
        <v>1282.28</v>
      </c>
      <c r="AO125" s="453">
        <f ca="1">IF(AND($D125="Serviço",AO$12&lt;&gt;0,$H125&gt;0,OR(AUTOEVENTO&lt;&gt;"manual",$M125&lt;&gt;$A$15)),
        IF(Import.TipoArredondamento&lt;&gt;"TransfereGOV",
              ROUND(OFFSET($P125,0,AO$13),15-13*ORÇAMENTO!$AF$7)/$H125*OFFSET(ORÇAMENTO!$X$15,ROW(AO125)-ROW(AO$15),0),
              ROUND(ROUND(OFFSET($P125,0,AO$13),15-13*ORÇAMENTO!$AF$7)*OFFSET(ORÇAMENTO!$W$15,ROW(AO125)-ROW(AO$15),0),15-13*ORÇAMENTO!$AF$11)),
         0)</f>
        <v>0</v>
      </c>
      <c r="AP125" s="453">
        <f ca="1">IF(AND($D125="Serviço",AP$12&lt;&gt;0,$H125&gt;0,OR(AUTOEVENTO&lt;&gt;"manual",$M125&lt;&gt;$A$15)),
        IF(Import.TipoArredondamento&lt;&gt;"TransfereGOV",
              ROUND(OFFSET($P125,0,AP$13),15-13*ORÇAMENTO!$AF$7)/$H125*OFFSET(ORÇAMENTO!$X$15,ROW(AP125)-ROW(AP$15),0),
              ROUND(ROUND(OFFSET($P125,0,AP$13),15-13*ORÇAMENTO!$AF$7)*OFFSET(ORÇAMENTO!$W$15,ROW(AP125)-ROW(AP$15),0),15-13*ORÇAMENTO!$AF$11)),
         0)</f>
        <v>0</v>
      </c>
      <c r="AQ125" s="453">
        <f ca="1">IF(AND($D125="Serviço",AQ$12&lt;&gt;0,$H125&gt;0,OR(AUTOEVENTO&lt;&gt;"manual",$M125&lt;&gt;$A$15)),
        IF(Import.TipoArredondamento&lt;&gt;"TransfereGOV",
              ROUND(OFFSET($P125,0,AQ$13),15-13*ORÇAMENTO!$AF$7)/$H125*OFFSET(ORÇAMENTO!$X$15,ROW(AQ125)-ROW(AQ$15),0),
              ROUND(ROUND(OFFSET($P125,0,AQ$13),15-13*ORÇAMENTO!$AF$7)*OFFSET(ORÇAMENTO!$W$15,ROW(AQ125)-ROW(AQ$15),0),15-13*ORÇAMENTO!$AF$11)),
         0)</f>
        <v>0</v>
      </c>
      <c r="AR125" s="453">
        <f ca="1">IF(AND($D125="Serviço",AR$12&lt;&gt;0,$H125&gt;0,OR(AUTOEVENTO&lt;&gt;"manual",$M125&lt;&gt;$A$15)),
        IF(Import.TipoArredondamento&lt;&gt;"TransfereGOV",
              ROUND(OFFSET($P125,0,AR$13),15-13*ORÇAMENTO!$AF$7)/$H125*OFFSET(ORÇAMENTO!$X$15,ROW(AR125)-ROW(AR$15),0),
              ROUND(ROUND(OFFSET($P125,0,AR$13),15-13*ORÇAMENTO!$AF$7)*OFFSET(ORÇAMENTO!$W$15,ROW(AR125)-ROW(AR$15),0),15-13*ORÇAMENTO!$AF$11)),
         0)</f>
        <v>0</v>
      </c>
      <c r="AS125" s="453">
        <f ca="1">IF(AND($D125="Serviço",AS$12&lt;&gt;0,$H125&gt;0,OR(AUTOEVENTO&lt;&gt;"manual",$M125&lt;&gt;$A$15)),
        IF(Import.TipoArredondamento&lt;&gt;"TransfereGOV",
              ROUND(OFFSET($P125,0,AS$13),15-13*ORÇAMENTO!$AF$7)/$H125*OFFSET(ORÇAMENTO!$X$15,ROW(AS125)-ROW(AS$15),0),
              ROUND(ROUND(OFFSET($P125,0,AS$13),15-13*ORÇAMENTO!$AF$7)*OFFSET(ORÇAMENTO!$W$15,ROW(AS125)-ROW(AS$15),0),15-13*ORÇAMENTO!$AF$11)),
         0)</f>
        <v>0</v>
      </c>
      <c r="AT125" s="453">
        <f ca="1">IF(AND($D125="Serviço",AT$12&lt;&gt;0,$H125&gt;0,OR(AUTOEVENTO&lt;&gt;"manual",$M125&lt;&gt;$A$15)),
        IF(Import.TipoArredondamento&lt;&gt;"TransfereGOV",
              ROUND(OFFSET($P125,0,AT$13),15-13*ORÇAMENTO!$AF$7)/$H125*OFFSET(ORÇAMENTO!$X$15,ROW(AT125)-ROW(AT$15),0),
              ROUND(ROUND(OFFSET($P125,0,AT$13),15-13*ORÇAMENTO!$AF$7)*OFFSET(ORÇAMENTO!$W$15,ROW(AT125)-ROW(AT$15),0),15-13*ORÇAMENTO!$AF$11)),
         0)</f>
        <v>0</v>
      </c>
      <c r="AU125" s="453">
        <f ca="1">IF(AND($D125="Serviço",AU$12&lt;&gt;0,$H125&gt;0,OR(AUTOEVENTO&lt;&gt;"manual",$M125&lt;&gt;$A$15)),
        IF(Import.TipoArredondamento&lt;&gt;"TransfereGOV",
              ROUND(OFFSET($P125,0,AU$13),15-13*ORÇAMENTO!$AF$7)/$H125*OFFSET(ORÇAMENTO!$X$15,ROW(AU125)-ROW(AU$15),0),
              ROUND(ROUND(OFFSET($P125,0,AU$13),15-13*ORÇAMENTO!$AF$7)*OFFSET(ORÇAMENTO!$W$15,ROW(AU125)-ROW(AU$15),0),15-13*ORÇAMENTO!$AF$11)),
         0)</f>
        <v>0</v>
      </c>
      <c r="AV125" s="453">
        <f ca="1">IF(AND($D125="Serviço",AV$12&lt;&gt;0,$H125&gt;0,OR(AUTOEVENTO&lt;&gt;"manual",$M125&lt;&gt;$A$15)),
        IF(Import.TipoArredondamento&lt;&gt;"TransfereGOV",
              ROUND(OFFSET($P125,0,AV$13),15-13*ORÇAMENTO!$AF$7)/$H125*OFFSET(ORÇAMENTO!$X$15,ROW(AV125)-ROW(AV$15),0),
              ROUND(ROUND(OFFSET($P125,0,AV$13),15-13*ORÇAMENTO!$AF$7)*OFFSET(ORÇAMENTO!$W$15,ROW(AV125)-ROW(AV$15),0),15-13*ORÇAMENTO!$AF$11)),
         0)</f>
        <v>0</v>
      </c>
      <c r="AW125" s="453">
        <f ca="1">IF(AND($D125="Serviço",AW$12&lt;&gt;0,$H125&gt;0,OR(AUTOEVENTO&lt;&gt;"manual",$M125&lt;&gt;$A$15)),
        IF(Import.TipoArredondamento&lt;&gt;"TransfereGOV",
              ROUND(OFFSET($P125,0,AW$13),15-13*ORÇAMENTO!$AF$7)/$H125*OFFSET(ORÇAMENTO!$X$15,ROW(AW125)-ROW(AW$15),0),
              ROUND(ROUND(OFFSET($P125,0,AW$13),15-13*ORÇAMENTO!$AF$7)*OFFSET(ORÇAMENTO!$W$15,ROW(AW125)-ROW(AW$15),0),15-13*ORÇAMENTO!$AF$11)),
         0)</f>
        <v>0</v>
      </c>
      <c r="AX125" s="453">
        <f ca="1">IF(AND($D125="Serviço",AX$12&lt;&gt;0,$H125&gt;0,OR(AUTOEVENTO&lt;&gt;"manual",$M125&lt;&gt;$A$15)),
        IF(Import.TipoArredondamento&lt;&gt;"TransfereGOV",
              ROUND(OFFSET($P125,0,AX$13),15-13*ORÇAMENTO!$AF$7)/$H125*OFFSET(ORÇAMENTO!$X$15,ROW(AX125)-ROW(AX$15),0),
              ROUND(ROUND(OFFSET($P125,0,AX$13),15-13*ORÇAMENTO!$AF$7)*OFFSET(ORÇAMENTO!$W$15,ROW(AX125)-ROW(AX$15),0),15-13*ORÇAMENTO!$AF$11)),
         0)</f>
        <v>0</v>
      </c>
      <c r="AY125" s="453">
        <f ca="1">IF(AND($D125="Serviço",AY$12&lt;&gt;0,$H125&gt;0,OR(AUTOEVENTO&lt;&gt;"manual",$M125&lt;&gt;$A$15)),
        IF(Import.TipoArredondamento&lt;&gt;"TransfereGOV",
              ROUND(OFFSET($P125,0,AY$13),15-13*ORÇAMENTO!$AF$7)/$H125*OFFSET(ORÇAMENTO!$X$15,ROW(AY125)-ROW(AY$15),0),
              ROUND(ROUND(OFFSET($P125,0,AY$13),15-13*ORÇAMENTO!$AF$7)*OFFSET(ORÇAMENTO!$W$15,ROW(AY125)-ROW(AY$15),0),15-13*ORÇAMENTO!$AF$11)),
         0)</f>
        <v>0</v>
      </c>
      <c r="AZ125" s="453">
        <f ca="1">IF(AND($D125="Serviço",AZ$12&lt;&gt;0,$H125&gt;0,OR(AUTOEVENTO&lt;&gt;"manual",$M125&lt;&gt;$A$15)),
        IF(Import.TipoArredondamento&lt;&gt;"TransfereGOV",
              ROUND(OFFSET($P125,0,AZ$13),15-13*ORÇAMENTO!$AF$7)/$H125*OFFSET(ORÇAMENTO!$X$15,ROW(AZ125)-ROW(AZ$15),0),
              ROUND(ROUND(OFFSET($P125,0,AZ$13),15-13*ORÇAMENTO!$AF$7)*OFFSET(ORÇAMENTO!$W$15,ROW(AZ125)-ROW(AZ$15),0),15-13*ORÇAMENTO!$AF$11)),
         0)</f>
        <v>0</v>
      </c>
      <c r="BA125" s="453">
        <f ca="1">IF(AND($D125="Serviço",BA$12&lt;&gt;0,$H125&gt;0,OR(AUTOEVENTO&lt;&gt;"manual",$M125&lt;&gt;$A$15)),
        IF(Import.TipoArredondamento&lt;&gt;"TransfereGOV",
              ROUND(OFFSET($P125,0,BA$13),15-13*ORÇAMENTO!$AF$7)/$H125*OFFSET(ORÇAMENTO!$X$15,ROW(BA125)-ROW(BA$15),0),
              ROUND(ROUND(OFFSET($P125,0,BA$13),15-13*ORÇAMENTO!$AF$7)*OFFSET(ORÇAMENTO!$W$15,ROW(BA125)-ROW(BA$15),0),15-13*ORÇAMENTO!$AF$11)),
         0)</f>
        <v>0</v>
      </c>
      <c r="BC125" s="171">
        <f ca="1">IF(OR($D125&lt;&gt;"Serviço",AND(AUTOEVENTO="Manual",$M125=$A$15)),0,
         IF(OFFSET(CRONOPLE!$F$15,$M125-$A$15,BC$13)=0,10^12,OFFSET(CRONOPLE!$F$15,$M125-$A$15,BC$13)))</f>
        <v>1000000000000</v>
      </c>
      <c r="BD125" s="171">
        <f ca="1">IF(OR($D125&lt;&gt;"Serviço",AND(AUTOEVENTO="Manual",$M125=$A$15)),0,
         IF(OFFSET(CRONOPLE!$F$15,$M125-$A$15,BD$13)=0,10^12,OFFSET(CRONOPLE!$F$15,$M125-$A$15,BD$13)))</f>
        <v>1000000000000</v>
      </c>
      <c r="BE125" s="171">
        <f ca="1">IF(OR($D125&lt;&gt;"Serviço",AND(AUTOEVENTO="Manual",$M125=$A$15)),0,
         IF(OFFSET(CRONOPLE!$F$15,$M125-$A$15,BE$13)=0,10^12,OFFSET(CRONOPLE!$F$15,$M125-$A$15,BE$13)))</f>
        <v>1000000000000</v>
      </c>
      <c r="BF125" s="171">
        <f ca="1">IF(OR($D125&lt;&gt;"Serviço",AND(AUTOEVENTO="Manual",$M125=$A$15)),0,
         IF(OFFSET(CRONOPLE!$F$15,$M125-$A$15,BF$13)=0,10^12,OFFSET(CRONOPLE!$F$15,$M125-$A$15,BF$13)))</f>
        <v>1000000000000</v>
      </c>
      <c r="BG125" s="171">
        <f ca="1">IF(OR($D125&lt;&gt;"Serviço",AND(AUTOEVENTO="Manual",$M125=$A$15)),0,
         IF(OFFSET(CRONOPLE!$F$15,$M125-$A$15,BG$13)=0,10^12,OFFSET(CRONOPLE!$F$15,$M125-$A$15,BG$13)))</f>
        <v>4</v>
      </c>
      <c r="BH125" s="171">
        <f ca="1">IF(OR($D125&lt;&gt;"Serviço",AND(AUTOEVENTO="Manual",$M125=$A$15)),0,
         IF(OFFSET(CRONOPLE!$F$15,$M125-$A$15,BH$13)=0,10^12,OFFSET(CRONOPLE!$F$15,$M125-$A$15,BH$13)))</f>
        <v>1000000000000</v>
      </c>
      <c r="BI125" s="171">
        <f ca="1">IF(OR($D125&lt;&gt;"Serviço",AND(AUTOEVENTO="Manual",$M125=$A$15)),0,
         IF(OFFSET(CRONOPLE!$F$15,$M125-$A$15,BI$13)=0,10^12,OFFSET(CRONOPLE!$F$15,$M125-$A$15,BI$13)))</f>
        <v>1000000000000</v>
      </c>
      <c r="BJ125" s="171">
        <f ca="1">IF(OR($D125&lt;&gt;"Serviço",AND(AUTOEVENTO="Manual",$M125=$A$15)),0,
         IF(OFFSET(CRONOPLE!$F$15,$M125-$A$15,BJ$13)=0,10^12,OFFSET(CRONOPLE!$F$15,$M125-$A$15,BJ$13)))</f>
        <v>1000000000000</v>
      </c>
      <c r="BK125" s="171">
        <f ca="1">IF(OR($D125&lt;&gt;"Serviço",AND(AUTOEVENTO="Manual",$M125=$A$15)),0,
         IF(OFFSET(CRONOPLE!$F$15,$M125-$A$15,BK$13)=0,10^12,OFFSET(CRONOPLE!$F$15,$M125-$A$15,BK$13)))</f>
        <v>1000000000000</v>
      </c>
      <c r="BL125" s="171">
        <f ca="1">IF(OR($D125&lt;&gt;"Serviço",AND(AUTOEVENTO="Manual",$M125=$A$15)),0,
         IF(OFFSET(CRONOPLE!$F$15,$M125-$A$15,BL$13)=0,10^12,OFFSET(CRONOPLE!$F$15,$M125-$A$15,BL$13)))</f>
        <v>1000000000000</v>
      </c>
      <c r="BM125" s="171">
        <f ca="1">IF(OR($D125&lt;&gt;"Serviço",AND(AUTOEVENTO="Manual",$M125=$A$15)),0,
         IF(OFFSET(CRONOPLE!$F$15,$M125-$A$15,BM$13)=0,10^12,OFFSET(CRONOPLE!$F$15,$M125-$A$15,BM$13)))</f>
        <v>1000000000000</v>
      </c>
      <c r="BN125" s="171">
        <f ca="1">IF(OR($D125&lt;&gt;"Serviço",AND(AUTOEVENTO="Manual",$M125=$A$15)),0,
         IF(OFFSET(CRONOPLE!$F$15,$M125-$A$15,BN$13)=0,10^12,OFFSET(CRONOPLE!$F$15,$M125-$A$15,BN$13)))</f>
        <v>1000000000000</v>
      </c>
      <c r="BO125" s="171">
        <f ca="1">IF(OR($D125&lt;&gt;"Serviço",AND(AUTOEVENTO="Manual",$M125=$A$15)),0,
         IF(OFFSET(CRONOPLE!$F$15,$M125-$A$15,BO$13)=0,10^12,OFFSET(CRONOPLE!$F$15,$M125-$A$15,BO$13)))</f>
        <v>1000000000000</v>
      </c>
      <c r="BP125" s="171">
        <f ca="1">IF(OR($D125&lt;&gt;"Serviço",AND(AUTOEVENTO="Manual",$M125=$A$15)),0,
         IF(OFFSET(CRONOPLE!$F$15,$M125-$A$15,BP$13)=0,10^12,OFFSET(CRONOPLE!$F$15,$M125-$A$15,BP$13)))</f>
        <v>1000000000000</v>
      </c>
      <c r="BQ125" s="171">
        <f ca="1">IF(OR($D125&lt;&gt;"Serviço",AND(AUTOEVENTO="Manual",$M125=$A$15)),0,
         IF(OFFSET(CRONOPLE!$F$15,$M125-$A$15,BQ$13)=0,10^12,OFFSET(CRONOPLE!$F$15,$M125-$A$15,BQ$13)))</f>
        <v>1000000000000</v>
      </c>
      <c r="BR125" s="171">
        <f ca="1">IF(OR($D125&lt;&gt;"Serviço",AND(AUTOEVENTO="Manual",$M125=$A$15)),0,
         IF(OFFSET(CRONOPLE!$F$15,$M125-$A$15,BR$13)=0,10^12,OFFSET(CRONOPLE!$F$15,$M125-$A$15,BR$13)))</f>
        <v>1000000000000</v>
      </c>
      <c r="BS125" s="171">
        <f ca="1">IF(OR($D125&lt;&gt;"Serviço",AND(AUTOEVENTO="Manual",$M125=$A$15)),0,
         IF(OFFSET(CRONOPLE!$F$15,$M125-$A$15,BS$13)=0,10^12,OFFSET(CRONOPLE!$F$15,$M125-$A$15,BS$13)))</f>
        <v>1000000000000</v>
      </c>
      <c r="BT125" s="171">
        <f ca="1">IF(OR($D125&lt;&gt;"Serviço",AND(AUTOEVENTO="Manual",$M125=$A$15)),0,
         IF(OFFSET(CRONOPLE!$F$15,$M125-$A$15,BT$13)=0,10^12,OFFSET(CRONOPLE!$F$15,$M125-$A$15,BT$13)))</f>
        <v>1000000000000</v>
      </c>
      <c r="BV125" s="172">
        <f ca="1">IF(OR($D125&lt;&gt;"Serviço",AND(AUTOEVENTO="Manual",$M125=$A$15),$M125&gt;(ROW(PLE.lastrow)-ROW(PLE.firstrow))),0,
           IF(OFFSET(PLE!$G$15,$M125-$A$15,BV$13)="",10^12,OFFSET(PLE!$G$15,$M125-$A$15,BV$13)))</f>
        <v>1000000000000</v>
      </c>
      <c r="BW125" s="172">
        <f ca="1">IF(OR($D125&lt;&gt;"Serviço",AND(AUTOEVENTO="Manual",$M125=$A$15),$M125&gt;(ROW(PLE.lastrow)-ROW(PLE.firstrow))),0,
           IF(OFFSET(PLE!$G$15,$M125-$A$15,BW$13)="",10^12,OFFSET(PLE!$G$15,$M125-$A$15,BW$13)))</f>
        <v>1000000000000</v>
      </c>
      <c r="BX125" s="172">
        <f ca="1">IF(OR($D125&lt;&gt;"Serviço",AND(AUTOEVENTO="Manual",$M125=$A$15),$M125&gt;(ROW(PLE.lastrow)-ROW(PLE.firstrow))),0,
           IF(OFFSET(PLE!$G$15,$M125-$A$15,BX$13)="",10^12,OFFSET(PLE!$G$15,$M125-$A$15,BX$13)))</f>
        <v>1000000000000</v>
      </c>
      <c r="BY125" s="172">
        <f ca="1">IF(OR($D125&lt;&gt;"Serviço",AND(AUTOEVENTO="Manual",$M125=$A$15),$M125&gt;(ROW(PLE.lastrow)-ROW(PLE.firstrow))),0,
           IF(OFFSET(PLE!$G$15,$M125-$A$15,BY$13)="",10^12,OFFSET(PLE!$G$15,$M125-$A$15,BY$13)))</f>
        <v>1000000000000</v>
      </c>
      <c r="BZ125" s="172">
        <f ca="1">IF(OR($D125&lt;&gt;"Serviço",AND(AUTOEVENTO="Manual",$M125=$A$15),$M125&gt;(ROW(PLE.lastrow)-ROW(PLE.firstrow))),0,
           IF(OFFSET(PLE!$G$15,$M125-$A$15,BZ$13)="",10^12,OFFSET(PLE!$G$15,$M125-$A$15,BZ$13)))</f>
        <v>1000000000000</v>
      </c>
      <c r="CA125" s="172">
        <f ca="1">IF(OR($D125&lt;&gt;"Serviço",AND(AUTOEVENTO="Manual",$M125=$A$15),$M125&gt;(ROW(PLE.lastrow)-ROW(PLE.firstrow))),0,
           IF(OFFSET(PLE!$G$15,$M125-$A$15,CA$13)="",10^12,OFFSET(PLE!$G$15,$M125-$A$15,CA$13)))</f>
        <v>1000000000000</v>
      </c>
      <c r="CB125" s="172">
        <f ca="1">IF(OR($D125&lt;&gt;"Serviço",AND(AUTOEVENTO="Manual",$M125=$A$15),$M125&gt;(ROW(PLE.lastrow)-ROW(PLE.firstrow))),0,
           IF(OFFSET(PLE!$G$15,$M125-$A$15,CB$13)="",10^12,OFFSET(PLE!$G$15,$M125-$A$15,CB$13)))</f>
        <v>1000000000000</v>
      </c>
      <c r="CC125" s="172">
        <f ca="1">IF(OR($D125&lt;&gt;"Serviço",AND(AUTOEVENTO="Manual",$M125=$A$15),$M125&gt;(ROW(PLE.lastrow)-ROW(PLE.firstrow))),0,
           IF(OFFSET(PLE!$G$15,$M125-$A$15,CC$13)="",10^12,OFFSET(PLE!$G$15,$M125-$A$15,CC$13)))</f>
        <v>1000000000000</v>
      </c>
      <c r="CD125" s="172">
        <f ca="1">IF(OR($D125&lt;&gt;"Serviço",AND(AUTOEVENTO="Manual",$M125=$A$15),$M125&gt;(ROW(PLE.lastrow)-ROW(PLE.firstrow))),0,
           IF(OFFSET(PLE!$G$15,$M125-$A$15,CD$13)="",10^12,OFFSET(PLE!$G$15,$M125-$A$15,CD$13)))</f>
        <v>1000000000000</v>
      </c>
      <c r="CE125" s="172">
        <f ca="1">IF(OR($D125&lt;&gt;"Serviço",AND(AUTOEVENTO="Manual",$M125=$A$15),$M125&gt;(ROW(PLE.lastrow)-ROW(PLE.firstrow))),0,
           IF(OFFSET(PLE!$G$15,$M125-$A$15,CE$13)="",10^12,OFFSET(PLE!$G$15,$M125-$A$15,CE$13)))</f>
        <v>1000000000000</v>
      </c>
      <c r="CF125" s="172">
        <f ca="1">IF(OR($D125&lt;&gt;"Serviço",AND(AUTOEVENTO="Manual",$M125=$A$15),$M125&gt;(ROW(PLE.lastrow)-ROW(PLE.firstrow))),0,
           IF(OFFSET(PLE!$G$15,$M125-$A$15,CF$13)="",10^12,OFFSET(PLE!$G$15,$M125-$A$15,CF$13)))</f>
        <v>1000000000000</v>
      </c>
      <c r="CG125" s="172">
        <f ca="1">IF(OR($D125&lt;&gt;"Serviço",AND(AUTOEVENTO="Manual",$M125=$A$15),$M125&gt;(ROW(PLE.lastrow)-ROW(PLE.firstrow))),0,
           IF(OFFSET(PLE!$G$15,$M125-$A$15,CG$13)="",10^12,OFFSET(PLE!$G$15,$M125-$A$15,CG$13)))</f>
        <v>1000000000000</v>
      </c>
      <c r="CH125" s="172">
        <f ca="1">IF(OR($D125&lt;&gt;"Serviço",AND(AUTOEVENTO="Manual",$M125=$A$15),$M125&gt;(ROW(PLE.lastrow)-ROW(PLE.firstrow))),0,
           IF(OFFSET(PLE!$G$15,$M125-$A$15,CH$13)="",10^12,OFFSET(PLE!$G$15,$M125-$A$15,CH$13)))</f>
        <v>1000000000000</v>
      </c>
      <c r="CI125" s="172">
        <f ca="1">IF(OR($D125&lt;&gt;"Serviço",AND(AUTOEVENTO="Manual",$M125=$A$15),$M125&gt;(ROW(PLE.lastrow)-ROW(PLE.firstrow))),0,
           IF(OFFSET(PLE!$G$15,$M125-$A$15,CI$13)="",10^12,OFFSET(PLE!$G$15,$M125-$A$15,CI$13)))</f>
        <v>1000000000000</v>
      </c>
      <c r="CJ125" s="172">
        <f ca="1">IF(OR($D125&lt;&gt;"Serviço",AND(AUTOEVENTO="Manual",$M125=$A$15),$M125&gt;(ROW(PLE.lastrow)-ROW(PLE.firstrow))),0,
           IF(OFFSET(PLE!$G$15,$M125-$A$15,CJ$13)="",10^12,OFFSET(PLE!$G$15,$M125-$A$15,CJ$13)))</f>
        <v>1000000000000</v>
      </c>
      <c r="CK125" s="172">
        <f ca="1">IF(OR($D125&lt;&gt;"Serviço",AND(AUTOEVENTO="Manual",$M125=$A$15),$M125&gt;(ROW(PLE.lastrow)-ROW(PLE.firstrow))),0,
           IF(OFFSET(PLE!$G$15,$M125-$A$15,CK$13)="",10^12,OFFSET(PLE!$G$15,$M125-$A$15,CK$13)))</f>
        <v>1000000000000</v>
      </c>
      <c r="CL125" s="172">
        <f ca="1">IF(OR($D125&lt;&gt;"Serviço",AND(AUTOEVENTO="Manual",$M125=$A$15),$M125&gt;(ROW(PLE.lastrow)-ROW(PLE.firstrow))),0,
           IF(OFFSET(PLE!$G$15,$M125-$A$15,CL$13)="",10^12,OFFSET(PLE!$G$15,$M125-$A$15,CL$13)))</f>
        <v>1000000000000</v>
      </c>
      <c r="CM125" s="172">
        <f ca="1">IF(OR($D125&lt;&gt;"Serviço",AND(AUTOEVENTO="Manual",$M125=$A$15),$M125&gt;(ROW(PLE.lastrow)-ROW(PLE.firstrow))),0,
           IF(OFFSET(PLE!$G$15,$M125-$A$15,CM$13)="",10^12,OFFSET(PLE!$G$15,$M125-$A$15,CM$13)))</f>
        <v>1000000000000</v>
      </c>
    </row>
    <row r="126" spans="1:91" ht="13.2" x14ac:dyDescent="0.25">
      <c r="A126" s="7" t="str">
        <f t="shared" ca="1" si="11"/>
        <v>109</v>
      </c>
      <c r="B126" s="7" t="str">
        <f ca="1">OFFSET(ORÇAMENTO!C$15,ROW(B126)-ROW(B$15),0)</f>
        <v>S</v>
      </c>
      <c r="C126" s="7" t="str">
        <f ca="1">OFFSET(ORÇAMENTO!L$15,ROW(C126)-ROW(C$15),0)</f>
        <v>F</v>
      </c>
      <c r="D126" s="116" t="str">
        <f ca="1">OFFSET(ORÇAMENTO!N$15,ROW(D126)-ROW(D$15),0)</f>
        <v>Serviço</v>
      </c>
      <c r="E126" s="117" t="str">
        <f ca="1">OFFSET(ORÇAMENTO!O$15,ROW(E126)-ROW(E$15),0)</f>
        <v>3.4.2.</v>
      </c>
      <c r="F126" s="163" t="str">
        <f ca="1">OFFSET(ORÇAMENTO!R$15,ROW(F126)-ROW(F$15),0)</f>
        <v>PLACA DE ADVERTÊNCIA QUADRADA LADO 0,60M</v>
      </c>
      <c r="G126" s="164" t="str">
        <f ca="1">IF($D126&lt;&gt;"Serviço","",OFFSET(ORÇAMENTO!S$15,ROW(G126)-ROW(G$15),0))</f>
        <v>UN</v>
      </c>
      <c r="H126" s="122" cm="1">
        <f t="array" aca="1" ref="H126" ca="1">IF($D126&lt;&gt;"Serviço",0,IF(ACOMPANHAMENTO="BM",ROUND(OFFSET(ORÇAMENTO!AJ$15,ROW(H126)-ROW(H$15),0),15-13*ORÇAMENTO!$AF$7),SUMPRODUCT(($Q$1:$AI$1=1)*ROUND($Q126:$AI126,15-13*ORÇAMENTO!$AF$7))))</f>
        <v>2</v>
      </c>
      <c r="I126" s="468"/>
      <c r="J126" s="651" t="e" cm="1">
        <f t="array" aca="1" ref="J126" ca="1">IF(OR(B126&lt;&gt;"S",CÁLCULO.FrentesPreenchidas=0),"",IF(AND(ACOMPANHAMENTO="PLE",AUTOEVENTO="Manual",OR(H126&gt;0,ORÇAMENTO!AC126="QUANT."),OR(K126="",M126=0,N126="")),"►E",IF(AND(ACOMPANHAMENTO="PLE",ORÇAMENTO!AC126="QUANT."),"►Q",IF(AND(ACOMPANHAMENTO="PLE",H126&lt;&gt;SUMPRODUCT(($Q$1:$AI$1=1)*ROUND(Q126:AI126,15))),"►S",IF(AND(COUNTIF($P$11:$AI$11,"▼")=0,H126&gt;0,I126=""),"◄M","")))))</f>
        <v>#NAME?</v>
      </c>
      <c r="K126" s="652"/>
      <c r="L126" s="165" t="s">
        <v>764</v>
      </c>
      <c r="M126" s="166">
        <f ca="1">IF($D126&lt;&gt;"Serviço","",
          IF(AUTOEVENTO="manual",$A126,
                IF(ISERROR(MATCH($A126,$A$15:OFFSET($A126,-1,0),0)),MAX($M$15:OFFSET(M126,-1,0))+1,
                      INDEX($M$15:OFFSET(M126,-1,0),MATCH($A126,$A$15:OFFSET($A126,-1,0),0)))))</f>
        <v>17</v>
      </c>
      <c r="N126" s="167" t="str">
        <f ca="1">IF($D126&lt;&gt;"Serviço","",
         IF(AUTOEVENTO="Manual",
                IF($A126=0,"&lt;-- defina o número do agrupador",
                       OFFSET(EVENTOS!$D$15,$A126-$A$15,0)),
                OFFSET($F$15,$A126,0)))</f>
        <v>SINALIZAÇAO</v>
      </c>
      <c r="O126" s="168"/>
      <c r="Q126" s="168"/>
      <c r="R126" s="169"/>
      <c r="S126" s="169"/>
      <c r="T126" s="169"/>
      <c r="U126" s="169">
        <v>2</v>
      </c>
      <c r="V126" s="169"/>
      <c r="W126" s="169"/>
      <c r="X126" s="169"/>
      <c r="Y126" s="169"/>
      <c r="Z126" s="170"/>
      <c r="AA126" s="169"/>
      <c r="AB126" s="169"/>
      <c r="AC126" s="169"/>
      <c r="AD126" s="169"/>
      <c r="AE126" s="169"/>
      <c r="AF126" s="169"/>
      <c r="AG126" s="169"/>
      <c r="AH126" s="170"/>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L126" s="453">
        <f ca="1">IF(AND($D126="Serviço",AL$12&lt;&gt;0,$H126&gt;0,OR(AUTOEVENTO&lt;&gt;"manual",$M126&lt;&gt;$A$15)),
        IF(Import.TipoArredondamento&lt;&gt;"TransfereGOV",
              ROUND(OFFSET($P126,0,AL$13),15-13*ORÇAMENTO!$AF$7)/$H126*OFFSET(ORÇAMENTO!$X$15,ROW(AL126)-ROW(AL$15),0),
              ROUND(ROUND(OFFSET($P126,0,AL$13),15-13*ORÇAMENTO!$AF$7)*OFFSET(ORÇAMENTO!$W$15,ROW(AL126)-ROW(AL$15),0),15-13*ORÇAMENTO!$AF$11)),
         0)</f>
        <v>0</v>
      </c>
      <c r="AM126" s="453">
        <f ca="1">IF(AND($D126="Serviço",AM$12&lt;&gt;0,$H126&gt;0,OR(AUTOEVENTO&lt;&gt;"manual",$M126&lt;&gt;$A$15)),
        IF(Import.TipoArredondamento&lt;&gt;"TransfereGOV",
              ROUND(OFFSET($P126,0,AM$13),15-13*ORÇAMENTO!$AF$7)/$H126*OFFSET(ORÇAMENTO!$X$15,ROW(AM126)-ROW(AM$15),0),
              ROUND(ROUND(OFFSET($P126,0,AM$13),15-13*ORÇAMENTO!$AF$7)*OFFSET(ORÇAMENTO!$W$15,ROW(AM126)-ROW(AM$15),0),15-13*ORÇAMENTO!$AF$11)),
         0)</f>
        <v>0</v>
      </c>
      <c r="AN126" s="453">
        <f ca="1">IF(AND($D126="Serviço",AN$12&lt;&gt;0,$H126&gt;0,OR(AUTOEVENTO&lt;&gt;"manual",$M126&lt;&gt;$A$15)),
        IF(Import.TipoArredondamento&lt;&gt;"TransfereGOV",
              ROUND(OFFSET($P126,0,AN$13),15-13*ORÇAMENTO!$AF$7)/$H126*OFFSET(ORÇAMENTO!$X$15,ROW(AN126)-ROW(AN$15),0),
              ROUND(ROUND(OFFSET($P126,0,AN$13),15-13*ORÇAMENTO!$AF$7)*OFFSET(ORÇAMENTO!$W$15,ROW(AN126)-ROW(AN$15),0),15-13*ORÇAMENTO!$AF$11)),
         0)</f>
        <v>1927.42</v>
      </c>
      <c r="AO126" s="453">
        <f ca="1">IF(AND($D126="Serviço",AO$12&lt;&gt;0,$H126&gt;0,OR(AUTOEVENTO&lt;&gt;"manual",$M126&lt;&gt;$A$15)),
        IF(Import.TipoArredondamento&lt;&gt;"TransfereGOV",
              ROUND(OFFSET($P126,0,AO$13),15-13*ORÇAMENTO!$AF$7)/$H126*OFFSET(ORÇAMENTO!$X$15,ROW(AO126)-ROW(AO$15),0),
              ROUND(ROUND(OFFSET($P126,0,AO$13),15-13*ORÇAMENTO!$AF$7)*OFFSET(ORÇAMENTO!$W$15,ROW(AO126)-ROW(AO$15),0),15-13*ORÇAMENTO!$AF$11)),
         0)</f>
        <v>0</v>
      </c>
      <c r="AP126" s="453">
        <f ca="1">IF(AND($D126="Serviço",AP$12&lt;&gt;0,$H126&gt;0,OR(AUTOEVENTO&lt;&gt;"manual",$M126&lt;&gt;$A$15)),
        IF(Import.TipoArredondamento&lt;&gt;"TransfereGOV",
              ROUND(OFFSET($P126,0,AP$13),15-13*ORÇAMENTO!$AF$7)/$H126*OFFSET(ORÇAMENTO!$X$15,ROW(AP126)-ROW(AP$15),0),
              ROUND(ROUND(OFFSET($P126,0,AP$13),15-13*ORÇAMENTO!$AF$7)*OFFSET(ORÇAMENTO!$W$15,ROW(AP126)-ROW(AP$15),0),15-13*ORÇAMENTO!$AF$11)),
         0)</f>
        <v>0</v>
      </c>
      <c r="AQ126" s="453">
        <f ca="1">IF(AND($D126="Serviço",AQ$12&lt;&gt;0,$H126&gt;0,OR(AUTOEVENTO&lt;&gt;"manual",$M126&lt;&gt;$A$15)),
        IF(Import.TipoArredondamento&lt;&gt;"TransfereGOV",
              ROUND(OFFSET($P126,0,AQ$13),15-13*ORÇAMENTO!$AF$7)/$H126*OFFSET(ORÇAMENTO!$X$15,ROW(AQ126)-ROW(AQ$15),0),
              ROUND(ROUND(OFFSET($P126,0,AQ$13),15-13*ORÇAMENTO!$AF$7)*OFFSET(ORÇAMENTO!$W$15,ROW(AQ126)-ROW(AQ$15),0),15-13*ORÇAMENTO!$AF$11)),
         0)</f>
        <v>0</v>
      </c>
      <c r="AR126" s="453">
        <f ca="1">IF(AND($D126="Serviço",AR$12&lt;&gt;0,$H126&gt;0,OR(AUTOEVENTO&lt;&gt;"manual",$M126&lt;&gt;$A$15)),
        IF(Import.TipoArredondamento&lt;&gt;"TransfereGOV",
              ROUND(OFFSET($P126,0,AR$13),15-13*ORÇAMENTO!$AF$7)/$H126*OFFSET(ORÇAMENTO!$X$15,ROW(AR126)-ROW(AR$15),0),
              ROUND(ROUND(OFFSET($P126,0,AR$13),15-13*ORÇAMENTO!$AF$7)*OFFSET(ORÇAMENTO!$W$15,ROW(AR126)-ROW(AR$15),0),15-13*ORÇAMENTO!$AF$11)),
         0)</f>
        <v>0</v>
      </c>
      <c r="AS126" s="453">
        <f ca="1">IF(AND($D126="Serviço",AS$12&lt;&gt;0,$H126&gt;0,OR(AUTOEVENTO&lt;&gt;"manual",$M126&lt;&gt;$A$15)),
        IF(Import.TipoArredondamento&lt;&gt;"TransfereGOV",
              ROUND(OFFSET($P126,0,AS$13),15-13*ORÇAMENTO!$AF$7)/$H126*OFFSET(ORÇAMENTO!$X$15,ROW(AS126)-ROW(AS$15),0),
              ROUND(ROUND(OFFSET($P126,0,AS$13),15-13*ORÇAMENTO!$AF$7)*OFFSET(ORÇAMENTO!$W$15,ROW(AS126)-ROW(AS$15),0),15-13*ORÇAMENTO!$AF$11)),
         0)</f>
        <v>0</v>
      </c>
      <c r="AT126" s="453">
        <f ca="1">IF(AND($D126="Serviço",AT$12&lt;&gt;0,$H126&gt;0,OR(AUTOEVENTO&lt;&gt;"manual",$M126&lt;&gt;$A$15)),
        IF(Import.TipoArredondamento&lt;&gt;"TransfereGOV",
              ROUND(OFFSET($P126,0,AT$13),15-13*ORÇAMENTO!$AF$7)/$H126*OFFSET(ORÇAMENTO!$X$15,ROW(AT126)-ROW(AT$15),0),
              ROUND(ROUND(OFFSET($P126,0,AT$13),15-13*ORÇAMENTO!$AF$7)*OFFSET(ORÇAMENTO!$W$15,ROW(AT126)-ROW(AT$15),0),15-13*ORÇAMENTO!$AF$11)),
         0)</f>
        <v>0</v>
      </c>
      <c r="AU126" s="453">
        <f ca="1">IF(AND($D126="Serviço",AU$12&lt;&gt;0,$H126&gt;0,OR(AUTOEVENTO&lt;&gt;"manual",$M126&lt;&gt;$A$15)),
        IF(Import.TipoArredondamento&lt;&gt;"TransfereGOV",
              ROUND(OFFSET($P126,0,AU$13),15-13*ORÇAMENTO!$AF$7)/$H126*OFFSET(ORÇAMENTO!$X$15,ROW(AU126)-ROW(AU$15),0),
              ROUND(ROUND(OFFSET($P126,0,AU$13),15-13*ORÇAMENTO!$AF$7)*OFFSET(ORÇAMENTO!$W$15,ROW(AU126)-ROW(AU$15),0),15-13*ORÇAMENTO!$AF$11)),
         0)</f>
        <v>0</v>
      </c>
      <c r="AV126" s="453">
        <f ca="1">IF(AND($D126="Serviço",AV$12&lt;&gt;0,$H126&gt;0,OR(AUTOEVENTO&lt;&gt;"manual",$M126&lt;&gt;$A$15)),
        IF(Import.TipoArredondamento&lt;&gt;"TransfereGOV",
              ROUND(OFFSET($P126,0,AV$13),15-13*ORÇAMENTO!$AF$7)/$H126*OFFSET(ORÇAMENTO!$X$15,ROW(AV126)-ROW(AV$15),0),
              ROUND(ROUND(OFFSET($P126,0,AV$13),15-13*ORÇAMENTO!$AF$7)*OFFSET(ORÇAMENTO!$W$15,ROW(AV126)-ROW(AV$15),0),15-13*ORÇAMENTO!$AF$11)),
         0)</f>
        <v>0</v>
      </c>
      <c r="AW126" s="453">
        <f ca="1">IF(AND($D126="Serviço",AW$12&lt;&gt;0,$H126&gt;0,OR(AUTOEVENTO&lt;&gt;"manual",$M126&lt;&gt;$A$15)),
        IF(Import.TipoArredondamento&lt;&gt;"TransfereGOV",
              ROUND(OFFSET($P126,0,AW$13),15-13*ORÇAMENTO!$AF$7)/$H126*OFFSET(ORÇAMENTO!$X$15,ROW(AW126)-ROW(AW$15),0),
              ROUND(ROUND(OFFSET($P126,0,AW$13),15-13*ORÇAMENTO!$AF$7)*OFFSET(ORÇAMENTO!$W$15,ROW(AW126)-ROW(AW$15),0),15-13*ORÇAMENTO!$AF$11)),
         0)</f>
        <v>0</v>
      </c>
      <c r="AX126" s="453">
        <f ca="1">IF(AND($D126="Serviço",AX$12&lt;&gt;0,$H126&gt;0,OR(AUTOEVENTO&lt;&gt;"manual",$M126&lt;&gt;$A$15)),
        IF(Import.TipoArredondamento&lt;&gt;"TransfereGOV",
              ROUND(OFFSET($P126,0,AX$13),15-13*ORÇAMENTO!$AF$7)/$H126*OFFSET(ORÇAMENTO!$X$15,ROW(AX126)-ROW(AX$15),0),
              ROUND(ROUND(OFFSET($P126,0,AX$13),15-13*ORÇAMENTO!$AF$7)*OFFSET(ORÇAMENTO!$W$15,ROW(AX126)-ROW(AX$15),0),15-13*ORÇAMENTO!$AF$11)),
         0)</f>
        <v>0</v>
      </c>
      <c r="AY126" s="453">
        <f ca="1">IF(AND($D126="Serviço",AY$12&lt;&gt;0,$H126&gt;0,OR(AUTOEVENTO&lt;&gt;"manual",$M126&lt;&gt;$A$15)),
        IF(Import.TipoArredondamento&lt;&gt;"TransfereGOV",
              ROUND(OFFSET($P126,0,AY$13),15-13*ORÇAMENTO!$AF$7)/$H126*OFFSET(ORÇAMENTO!$X$15,ROW(AY126)-ROW(AY$15),0),
              ROUND(ROUND(OFFSET($P126,0,AY$13),15-13*ORÇAMENTO!$AF$7)*OFFSET(ORÇAMENTO!$W$15,ROW(AY126)-ROW(AY$15),0),15-13*ORÇAMENTO!$AF$11)),
         0)</f>
        <v>0</v>
      </c>
      <c r="AZ126" s="453">
        <f ca="1">IF(AND($D126="Serviço",AZ$12&lt;&gt;0,$H126&gt;0,OR(AUTOEVENTO&lt;&gt;"manual",$M126&lt;&gt;$A$15)),
        IF(Import.TipoArredondamento&lt;&gt;"TransfereGOV",
              ROUND(OFFSET($P126,0,AZ$13),15-13*ORÇAMENTO!$AF$7)/$H126*OFFSET(ORÇAMENTO!$X$15,ROW(AZ126)-ROW(AZ$15),0),
              ROUND(ROUND(OFFSET($P126,0,AZ$13),15-13*ORÇAMENTO!$AF$7)*OFFSET(ORÇAMENTO!$W$15,ROW(AZ126)-ROW(AZ$15),0),15-13*ORÇAMENTO!$AF$11)),
         0)</f>
        <v>0</v>
      </c>
      <c r="BA126" s="453">
        <f ca="1">IF(AND($D126="Serviço",BA$12&lt;&gt;0,$H126&gt;0,OR(AUTOEVENTO&lt;&gt;"manual",$M126&lt;&gt;$A$15)),
        IF(Import.TipoArredondamento&lt;&gt;"TransfereGOV",
              ROUND(OFFSET($P126,0,BA$13),15-13*ORÇAMENTO!$AF$7)/$H126*OFFSET(ORÇAMENTO!$X$15,ROW(BA126)-ROW(BA$15),0),
              ROUND(ROUND(OFFSET($P126,0,BA$13),15-13*ORÇAMENTO!$AF$7)*OFFSET(ORÇAMENTO!$W$15,ROW(BA126)-ROW(BA$15),0),15-13*ORÇAMENTO!$AF$11)),
         0)</f>
        <v>0</v>
      </c>
      <c r="BC126" s="171">
        <f ca="1">IF(OR($D126&lt;&gt;"Serviço",AND(AUTOEVENTO="Manual",$M126=$A$15)),0,
         IF(OFFSET(CRONOPLE!$F$15,$M126-$A$15,BC$13)=0,10^12,OFFSET(CRONOPLE!$F$15,$M126-$A$15,BC$13)))</f>
        <v>1000000000000</v>
      </c>
      <c r="BD126" s="171">
        <f ca="1">IF(OR($D126&lt;&gt;"Serviço",AND(AUTOEVENTO="Manual",$M126=$A$15)),0,
         IF(OFFSET(CRONOPLE!$F$15,$M126-$A$15,BD$13)=0,10^12,OFFSET(CRONOPLE!$F$15,$M126-$A$15,BD$13)))</f>
        <v>1000000000000</v>
      </c>
      <c r="BE126" s="171">
        <f ca="1">IF(OR($D126&lt;&gt;"Serviço",AND(AUTOEVENTO="Manual",$M126=$A$15)),0,
         IF(OFFSET(CRONOPLE!$F$15,$M126-$A$15,BE$13)=0,10^12,OFFSET(CRONOPLE!$F$15,$M126-$A$15,BE$13)))</f>
        <v>1000000000000</v>
      </c>
      <c r="BF126" s="171">
        <f ca="1">IF(OR($D126&lt;&gt;"Serviço",AND(AUTOEVENTO="Manual",$M126=$A$15)),0,
         IF(OFFSET(CRONOPLE!$F$15,$M126-$A$15,BF$13)=0,10^12,OFFSET(CRONOPLE!$F$15,$M126-$A$15,BF$13)))</f>
        <v>1000000000000</v>
      </c>
      <c r="BG126" s="171">
        <f ca="1">IF(OR($D126&lt;&gt;"Serviço",AND(AUTOEVENTO="Manual",$M126=$A$15)),0,
         IF(OFFSET(CRONOPLE!$F$15,$M126-$A$15,BG$13)=0,10^12,OFFSET(CRONOPLE!$F$15,$M126-$A$15,BG$13)))</f>
        <v>4</v>
      </c>
      <c r="BH126" s="171">
        <f ca="1">IF(OR($D126&lt;&gt;"Serviço",AND(AUTOEVENTO="Manual",$M126=$A$15)),0,
         IF(OFFSET(CRONOPLE!$F$15,$M126-$A$15,BH$13)=0,10^12,OFFSET(CRONOPLE!$F$15,$M126-$A$15,BH$13)))</f>
        <v>1000000000000</v>
      </c>
      <c r="BI126" s="171">
        <f ca="1">IF(OR($D126&lt;&gt;"Serviço",AND(AUTOEVENTO="Manual",$M126=$A$15)),0,
         IF(OFFSET(CRONOPLE!$F$15,$M126-$A$15,BI$13)=0,10^12,OFFSET(CRONOPLE!$F$15,$M126-$A$15,BI$13)))</f>
        <v>1000000000000</v>
      </c>
      <c r="BJ126" s="171">
        <f ca="1">IF(OR($D126&lt;&gt;"Serviço",AND(AUTOEVENTO="Manual",$M126=$A$15)),0,
         IF(OFFSET(CRONOPLE!$F$15,$M126-$A$15,BJ$13)=0,10^12,OFFSET(CRONOPLE!$F$15,$M126-$A$15,BJ$13)))</f>
        <v>1000000000000</v>
      </c>
      <c r="BK126" s="171">
        <f ca="1">IF(OR($D126&lt;&gt;"Serviço",AND(AUTOEVENTO="Manual",$M126=$A$15)),0,
         IF(OFFSET(CRONOPLE!$F$15,$M126-$A$15,BK$13)=0,10^12,OFFSET(CRONOPLE!$F$15,$M126-$A$15,BK$13)))</f>
        <v>1000000000000</v>
      </c>
      <c r="BL126" s="171">
        <f ca="1">IF(OR($D126&lt;&gt;"Serviço",AND(AUTOEVENTO="Manual",$M126=$A$15)),0,
         IF(OFFSET(CRONOPLE!$F$15,$M126-$A$15,BL$13)=0,10^12,OFFSET(CRONOPLE!$F$15,$M126-$A$15,BL$13)))</f>
        <v>1000000000000</v>
      </c>
      <c r="BM126" s="171">
        <f ca="1">IF(OR($D126&lt;&gt;"Serviço",AND(AUTOEVENTO="Manual",$M126=$A$15)),0,
         IF(OFFSET(CRONOPLE!$F$15,$M126-$A$15,BM$13)=0,10^12,OFFSET(CRONOPLE!$F$15,$M126-$A$15,BM$13)))</f>
        <v>1000000000000</v>
      </c>
      <c r="BN126" s="171">
        <f ca="1">IF(OR($D126&lt;&gt;"Serviço",AND(AUTOEVENTO="Manual",$M126=$A$15)),0,
         IF(OFFSET(CRONOPLE!$F$15,$M126-$A$15,BN$13)=0,10^12,OFFSET(CRONOPLE!$F$15,$M126-$A$15,BN$13)))</f>
        <v>1000000000000</v>
      </c>
      <c r="BO126" s="171">
        <f ca="1">IF(OR($D126&lt;&gt;"Serviço",AND(AUTOEVENTO="Manual",$M126=$A$15)),0,
         IF(OFFSET(CRONOPLE!$F$15,$M126-$A$15,BO$13)=0,10^12,OFFSET(CRONOPLE!$F$15,$M126-$A$15,BO$13)))</f>
        <v>1000000000000</v>
      </c>
      <c r="BP126" s="171">
        <f ca="1">IF(OR($D126&lt;&gt;"Serviço",AND(AUTOEVENTO="Manual",$M126=$A$15)),0,
         IF(OFFSET(CRONOPLE!$F$15,$M126-$A$15,BP$13)=0,10^12,OFFSET(CRONOPLE!$F$15,$M126-$A$15,BP$13)))</f>
        <v>1000000000000</v>
      </c>
      <c r="BQ126" s="171">
        <f ca="1">IF(OR($D126&lt;&gt;"Serviço",AND(AUTOEVENTO="Manual",$M126=$A$15)),0,
         IF(OFFSET(CRONOPLE!$F$15,$M126-$A$15,BQ$13)=0,10^12,OFFSET(CRONOPLE!$F$15,$M126-$A$15,BQ$13)))</f>
        <v>1000000000000</v>
      </c>
      <c r="BR126" s="171">
        <f ca="1">IF(OR($D126&lt;&gt;"Serviço",AND(AUTOEVENTO="Manual",$M126=$A$15)),0,
         IF(OFFSET(CRONOPLE!$F$15,$M126-$A$15,BR$13)=0,10^12,OFFSET(CRONOPLE!$F$15,$M126-$A$15,BR$13)))</f>
        <v>1000000000000</v>
      </c>
      <c r="BS126" s="171">
        <f ca="1">IF(OR($D126&lt;&gt;"Serviço",AND(AUTOEVENTO="Manual",$M126=$A$15)),0,
         IF(OFFSET(CRONOPLE!$F$15,$M126-$A$15,BS$13)=0,10^12,OFFSET(CRONOPLE!$F$15,$M126-$A$15,BS$13)))</f>
        <v>1000000000000</v>
      </c>
      <c r="BT126" s="171">
        <f ca="1">IF(OR($D126&lt;&gt;"Serviço",AND(AUTOEVENTO="Manual",$M126=$A$15)),0,
         IF(OFFSET(CRONOPLE!$F$15,$M126-$A$15,BT$13)=0,10^12,OFFSET(CRONOPLE!$F$15,$M126-$A$15,BT$13)))</f>
        <v>1000000000000</v>
      </c>
      <c r="BV126" s="172">
        <f ca="1">IF(OR($D126&lt;&gt;"Serviço",AND(AUTOEVENTO="Manual",$M126=$A$15),$M126&gt;(ROW(PLE.lastrow)-ROW(PLE.firstrow))),0,
           IF(OFFSET(PLE!$G$15,$M126-$A$15,BV$13)="",10^12,OFFSET(PLE!$G$15,$M126-$A$15,BV$13)))</f>
        <v>1000000000000</v>
      </c>
      <c r="BW126" s="172">
        <f ca="1">IF(OR($D126&lt;&gt;"Serviço",AND(AUTOEVENTO="Manual",$M126=$A$15),$M126&gt;(ROW(PLE.lastrow)-ROW(PLE.firstrow))),0,
           IF(OFFSET(PLE!$G$15,$M126-$A$15,BW$13)="",10^12,OFFSET(PLE!$G$15,$M126-$A$15,BW$13)))</f>
        <v>1000000000000</v>
      </c>
      <c r="BX126" s="172">
        <f ca="1">IF(OR($D126&lt;&gt;"Serviço",AND(AUTOEVENTO="Manual",$M126=$A$15),$M126&gt;(ROW(PLE.lastrow)-ROW(PLE.firstrow))),0,
           IF(OFFSET(PLE!$G$15,$M126-$A$15,BX$13)="",10^12,OFFSET(PLE!$G$15,$M126-$A$15,BX$13)))</f>
        <v>1000000000000</v>
      </c>
      <c r="BY126" s="172">
        <f ca="1">IF(OR($D126&lt;&gt;"Serviço",AND(AUTOEVENTO="Manual",$M126=$A$15),$M126&gt;(ROW(PLE.lastrow)-ROW(PLE.firstrow))),0,
           IF(OFFSET(PLE!$G$15,$M126-$A$15,BY$13)="",10^12,OFFSET(PLE!$G$15,$M126-$A$15,BY$13)))</f>
        <v>1000000000000</v>
      </c>
      <c r="BZ126" s="172">
        <f ca="1">IF(OR($D126&lt;&gt;"Serviço",AND(AUTOEVENTO="Manual",$M126=$A$15),$M126&gt;(ROW(PLE.lastrow)-ROW(PLE.firstrow))),0,
           IF(OFFSET(PLE!$G$15,$M126-$A$15,BZ$13)="",10^12,OFFSET(PLE!$G$15,$M126-$A$15,BZ$13)))</f>
        <v>1000000000000</v>
      </c>
      <c r="CA126" s="172">
        <f ca="1">IF(OR($D126&lt;&gt;"Serviço",AND(AUTOEVENTO="Manual",$M126=$A$15),$M126&gt;(ROW(PLE.lastrow)-ROW(PLE.firstrow))),0,
           IF(OFFSET(PLE!$G$15,$M126-$A$15,CA$13)="",10^12,OFFSET(PLE!$G$15,$M126-$A$15,CA$13)))</f>
        <v>1000000000000</v>
      </c>
      <c r="CB126" s="172">
        <f ca="1">IF(OR($D126&lt;&gt;"Serviço",AND(AUTOEVENTO="Manual",$M126=$A$15),$M126&gt;(ROW(PLE.lastrow)-ROW(PLE.firstrow))),0,
           IF(OFFSET(PLE!$G$15,$M126-$A$15,CB$13)="",10^12,OFFSET(PLE!$G$15,$M126-$A$15,CB$13)))</f>
        <v>1000000000000</v>
      </c>
      <c r="CC126" s="172">
        <f ca="1">IF(OR($D126&lt;&gt;"Serviço",AND(AUTOEVENTO="Manual",$M126=$A$15),$M126&gt;(ROW(PLE.lastrow)-ROW(PLE.firstrow))),0,
           IF(OFFSET(PLE!$G$15,$M126-$A$15,CC$13)="",10^12,OFFSET(PLE!$G$15,$M126-$A$15,CC$13)))</f>
        <v>1000000000000</v>
      </c>
      <c r="CD126" s="172">
        <f ca="1">IF(OR($D126&lt;&gt;"Serviço",AND(AUTOEVENTO="Manual",$M126=$A$15),$M126&gt;(ROW(PLE.lastrow)-ROW(PLE.firstrow))),0,
           IF(OFFSET(PLE!$G$15,$M126-$A$15,CD$13)="",10^12,OFFSET(PLE!$G$15,$M126-$A$15,CD$13)))</f>
        <v>1000000000000</v>
      </c>
      <c r="CE126" s="172">
        <f ca="1">IF(OR($D126&lt;&gt;"Serviço",AND(AUTOEVENTO="Manual",$M126=$A$15),$M126&gt;(ROW(PLE.lastrow)-ROW(PLE.firstrow))),0,
           IF(OFFSET(PLE!$G$15,$M126-$A$15,CE$13)="",10^12,OFFSET(PLE!$G$15,$M126-$A$15,CE$13)))</f>
        <v>1000000000000</v>
      </c>
      <c r="CF126" s="172">
        <f ca="1">IF(OR($D126&lt;&gt;"Serviço",AND(AUTOEVENTO="Manual",$M126=$A$15),$M126&gt;(ROW(PLE.lastrow)-ROW(PLE.firstrow))),0,
           IF(OFFSET(PLE!$G$15,$M126-$A$15,CF$13)="",10^12,OFFSET(PLE!$G$15,$M126-$A$15,CF$13)))</f>
        <v>1000000000000</v>
      </c>
      <c r="CG126" s="172">
        <f ca="1">IF(OR($D126&lt;&gt;"Serviço",AND(AUTOEVENTO="Manual",$M126=$A$15),$M126&gt;(ROW(PLE.lastrow)-ROW(PLE.firstrow))),0,
           IF(OFFSET(PLE!$G$15,$M126-$A$15,CG$13)="",10^12,OFFSET(PLE!$G$15,$M126-$A$15,CG$13)))</f>
        <v>1000000000000</v>
      </c>
      <c r="CH126" s="172">
        <f ca="1">IF(OR($D126&lt;&gt;"Serviço",AND(AUTOEVENTO="Manual",$M126=$A$15),$M126&gt;(ROW(PLE.lastrow)-ROW(PLE.firstrow))),0,
           IF(OFFSET(PLE!$G$15,$M126-$A$15,CH$13)="",10^12,OFFSET(PLE!$G$15,$M126-$A$15,CH$13)))</f>
        <v>1000000000000</v>
      </c>
      <c r="CI126" s="172">
        <f ca="1">IF(OR($D126&lt;&gt;"Serviço",AND(AUTOEVENTO="Manual",$M126=$A$15),$M126&gt;(ROW(PLE.lastrow)-ROW(PLE.firstrow))),0,
           IF(OFFSET(PLE!$G$15,$M126-$A$15,CI$13)="",10^12,OFFSET(PLE!$G$15,$M126-$A$15,CI$13)))</f>
        <v>1000000000000</v>
      </c>
      <c r="CJ126" s="172">
        <f ca="1">IF(OR($D126&lt;&gt;"Serviço",AND(AUTOEVENTO="Manual",$M126=$A$15),$M126&gt;(ROW(PLE.lastrow)-ROW(PLE.firstrow))),0,
           IF(OFFSET(PLE!$G$15,$M126-$A$15,CJ$13)="",10^12,OFFSET(PLE!$G$15,$M126-$A$15,CJ$13)))</f>
        <v>1000000000000</v>
      </c>
      <c r="CK126" s="172">
        <f ca="1">IF(OR($D126&lt;&gt;"Serviço",AND(AUTOEVENTO="Manual",$M126=$A$15),$M126&gt;(ROW(PLE.lastrow)-ROW(PLE.firstrow))),0,
           IF(OFFSET(PLE!$G$15,$M126-$A$15,CK$13)="",10^12,OFFSET(PLE!$G$15,$M126-$A$15,CK$13)))</f>
        <v>1000000000000</v>
      </c>
      <c r="CL126" s="172">
        <f ca="1">IF(OR($D126&lt;&gt;"Serviço",AND(AUTOEVENTO="Manual",$M126=$A$15),$M126&gt;(ROW(PLE.lastrow)-ROW(PLE.firstrow))),0,
           IF(OFFSET(PLE!$G$15,$M126-$A$15,CL$13)="",10^12,OFFSET(PLE!$G$15,$M126-$A$15,CL$13)))</f>
        <v>1000000000000</v>
      </c>
      <c r="CM126" s="172">
        <f ca="1">IF(OR($D126&lt;&gt;"Serviço",AND(AUTOEVENTO="Manual",$M126=$A$15),$M126&gt;(ROW(PLE.lastrow)-ROW(PLE.firstrow))),0,
           IF(OFFSET(PLE!$G$15,$M126-$A$15,CM$13)="",10^12,OFFSET(PLE!$G$15,$M126-$A$15,CM$13)))</f>
        <v>1000000000000</v>
      </c>
    </row>
    <row r="127" spans="1:91" ht="13.2" x14ac:dyDescent="0.25">
      <c r="A127" s="7" t="str">
        <f t="shared" ca="1" si="11"/>
        <v>109</v>
      </c>
      <c r="B127" s="7" t="str">
        <f ca="1">OFFSET(ORÇAMENTO!C$15,ROW(B127)-ROW(B$15),0)</f>
        <v>S</v>
      </c>
      <c r="C127" s="7" t="str">
        <f ca="1">OFFSET(ORÇAMENTO!L$15,ROW(C127)-ROW(C$15),0)</f>
        <v>F</v>
      </c>
      <c r="D127" s="116" t="str">
        <f ca="1">OFFSET(ORÇAMENTO!N$15,ROW(D127)-ROW(D$15),0)</f>
        <v>Serviço</v>
      </c>
      <c r="E127" s="117" t="str">
        <f ca="1">OFFSET(ORÇAMENTO!O$15,ROW(E127)-ROW(E$15),0)</f>
        <v>3.4.3.</v>
      </c>
      <c r="F127" s="163" t="str">
        <f ca="1">OFFSET(ORÇAMENTO!R$15,ROW(F127)-ROW(F$15),0)</f>
        <v>PLACA DE REGULAMENTAÇÃO OCTOGONAL LADO 0,25M</v>
      </c>
      <c r="G127" s="164" t="str">
        <f ca="1">IF($D127&lt;&gt;"Serviço","",OFFSET(ORÇAMENTO!S$15,ROW(G127)-ROW(G$15),0))</f>
        <v>UN</v>
      </c>
      <c r="H127" s="122" cm="1">
        <f t="array" aca="1" ref="H127" ca="1">IF($D127&lt;&gt;"Serviço",0,IF(ACOMPANHAMENTO="BM",ROUND(OFFSET(ORÇAMENTO!AJ$15,ROW(H127)-ROW(H$15),0),15-13*ORÇAMENTO!$AF$7),SUMPRODUCT(($Q$1:$AI$1=1)*ROUND($Q127:$AI127,15-13*ORÇAMENTO!$AF$7))))</f>
        <v>1</v>
      </c>
      <c r="I127" s="468"/>
      <c r="J127" s="651" t="e" cm="1">
        <f t="array" aca="1" ref="J127" ca="1">IF(OR(B127&lt;&gt;"S",CÁLCULO.FrentesPreenchidas=0),"",IF(AND(ACOMPANHAMENTO="PLE",AUTOEVENTO="Manual",OR(H127&gt;0,ORÇAMENTO!AC127="QUANT."),OR(K127="",M127=0,N127="")),"►E",IF(AND(ACOMPANHAMENTO="PLE",ORÇAMENTO!AC127="QUANT."),"►Q",IF(AND(ACOMPANHAMENTO="PLE",H127&lt;&gt;SUMPRODUCT(($Q$1:$AI$1=1)*ROUND(Q127:AI127,15))),"►S",IF(AND(COUNTIF($P$11:$AI$11,"▼")=0,H127&gt;0,I127=""),"◄M","")))))</f>
        <v>#NAME?</v>
      </c>
      <c r="K127" s="652"/>
      <c r="L127" s="165" t="s">
        <v>764</v>
      </c>
      <c r="M127" s="166">
        <f ca="1">IF($D127&lt;&gt;"Serviço","",
          IF(AUTOEVENTO="manual",$A127,
                IF(ISERROR(MATCH($A127,$A$15:OFFSET($A127,-1,0),0)),MAX($M$15:OFFSET(M127,-1,0))+1,
                      INDEX($M$15:OFFSET(M127,-1,0),MATCH($A127,$A$15:OFFSET($A127,-1,0),0)))))</f>
        <v>17</v>
      </c>
      <c r="N127" s="167" t="str">
        <f ca="1">IF($D127&lt;&gt;"Serviço","",
         IF(AUTOEVENTO="Manual",
                IF($A127=0,"&lt;-- defina o número do agrupador",
                       OFFSET(EVENTOS!$D$15,$A127-$A$15,0)),
                OFFSET($F$15,$A127,0)))</f>
        <v>SINALIZAÇAO</v>
      </c>
      <c r="O127" s="168"/>
      <c r="Q127" s="168"/>
      <c r="R127" s="169"/>
      <c r="S127" s="169"/>
      <c r="T127" s="169"/>
      <c r="U127" s="169">
        <v>1</v>
      </c>
      <c r="V127" s="169"/>
      <c r="W127" s="169"/>
      <c r="X127" s="169"/>
      <c r="Y127" s="169"/>
      <c r="Z127" s="170"/>
      <c r="AA127" s="169"/>
      <c r="AB127" s="169"/>
      <c r="AC127" s="169"/>
      <c r="AD127" s="169"/>
      <c r="AE127" s="169"/>
      <c r="AF127" s="169"/>
      <c r="AG127" s="169"/>
      <c r="AH127" s="170"/>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L127" s="453">
        <f ca="1">IF(AND($D127="Serviço",AL$12&lt;&gt;0,$H127&gt;0,OR(AUTOEVENTO&lt;&gt;"manual",$M127&lt;&gt;$A$15)),
        IF(Import.TipoArredondamento&lt;&gt;"TransfereGOV",
              ROUND(OFFSET($P127,0,AL$13),15-13*ORÇAMENTO!$AF$7)/$H127*OFFSET(ORÇAMENTO!$X$15,ROW(AL127)-ROW(AL$15),0),
              ROUND(ROUND(OFFSET($P127,0,AL$13),15-13*ORÇAMENTO!$AF$7)*OFFSET(ORÇAMENTO!$W$15,ROW(AL127)-ROW(AL$15),0),15-13*ORÇAMENTO!$AF$11)),
         0)</f>
        <v>0</v>
      </c>
      <c r="AM127" s="453">
        <f ca="1">IF(AND($D127="Serviço",AM$12&lt;&gt;0,$H127&gt;0,OR(AUTOEVENTO&lt;&gt;"manual",$M127&lt;&gt;$A$15)),
        IF(Import.TipoArredondamento&lt;&gt;"TransfereGOV",
              ROUND(OFFSET($P127,0,AM$13),15-13*ORÇAMENTO!$AF$7)/$H127*OFFSET(ORÇAMENTO!$X$15,ROW(AM127)-ROW(AM$15),0),
              ROUND(ROUND(OFFSET($P127,0,AM$13),15-13*ORÇAMENTO!$AF$7)*OFFSET(ORÇAMENTO!$W$15,ROW(AM127)-ROW(AM$15),0),15-13*ORÇAMENTO!$AF$11)),
         0)</f>
        <v>0</v>
      </c>
      <c r="AN127" s="453">
        <f ca="1">IF(AND($D127="Serviço",AN$12&lt;&gt;0,$H127&gt;0,OR(AUTOEVENTO&lt;&gt;"manual",$M127&lt;&gt;$A$15)),
        IF(Import.TipoArredondamento&lt;&gt;"TransfereGOV",
              ROUND(OFFSET($P127,0,AN$13),15-13*ORÇAMENTO!$AF$7)/$H127*OFFSET(ORÇAMENTO!$X$15,ROW(AN127)-ROW(AN$15),0),
              ROUND(ROUND(OFFSET($P127,0,AN$13),15-13*ORÇAMENTO!$AF$7)*OFFSET(ORÇAMENTO!$W$15,ROW(AN127)-ROW(AN$15),0),15-13*ORÇAMENTO!$AF$11)),
         0)</f>
        <v>902.38</v>
      </c>
      <c r="AO127" s="453">
        <f ca="1">IF(AND($D127="Serviço",AO$12&lt;&gt;0,$H127&gt;0,OR(AUTOEVENTO&lt;&gt;"manual",$M127&lt;&gt;$A$15)),
        IF(Import.TipoArredondamento&lt;&gt;"TransfereGOV",
              ROUND(OFFSET($P127,0,AO$13),15-13*ORÇAMENTO!$AF$7)/$H127*OFFSET(ORÇAMENTO!$X$15,ROW(AO127)-ROW(AO$15),0),
              ROUND(ROUND(OFFSET($P127,0,AO$13),15-13*ORÇAMENTO!$AF$7)*OFFSET(ORÇAMENTO!$W$15,ROW(AO127)-ROW(AO$15),0),15-13*ORÇAMENTO!$AF$11)),
         0)</f>
        <v>0</v>
      </c>
      <c r="AP127" s="453">
        <f ca="1">IF(AND($D127="Serviço",AP$12&lt;&gt;0,$H127&gt;0,OR(AUTOEVENTO&lt;&gt;"manual",$M127&lt;&gt;$A$15)),
        IF(Import.TipoArredondamento&lt;&gt;"TransfereGOV",
              ROUND(OFFSET($P127,0,AP$13),15-13*ORÇAMENTO!$AF$7)/$H127*OFFSET(ORÇAMENTO!$X$15,ROW(AP127)-ROW(AP$15),0),
              ROUND(ROUND(OFFSET($P127,0,AP$13),15-13*ORÇAMENTO!$AF$7)*OFFSET(ORÇAMENTO!$W$15,ROW(AP127)-ROW(AP$15),0),15-13*ORÇAMENTO!$AF$11)),
         0)</f>
        <v>0</v>
      </c>
      <c r="AQ127" s="453">
        <f ca="1">IF(AND($D127="Serviço",AQ$12&lt;&gt;0,$H127&gt;0,OR(AUTOEVENTO&lt;&gt;"manual",$M127&lt;&gt;$A$15)),
        IF(Import.TipoArredondamento&lt;&gt;"TransfereGOV",
              ROUND(OFFSET($P127,0,AQ$13),15-13*ORÇAMENTO!$AF$7)/$H127*OFFSET(ORÇAMENTO!$X$15,ROW(AQ127)-ROW(AQ$15),0),
              ROUND(ROUND(OFFSET($P127,0,AQ$13),15-13*ORÇAMENTO!$AF$7)*OFFSET(ORÇAMENTO!$W$15,ROW(AQ127)-ROW(AQ$15),0),15-13*ORÇAMENTO!$AF$11)),
         0)</f>
        <v>0</v>
      </c>
      <c r="AR127" s="453">
        <f ca="1">IF(AND($D127="Serviço",AR$12&lt;&gt;0,$H127&gt;0,OR(AUTOEVENTO&lt;&gt;"manual",$M127&lt;&gt;$A$15)),
        IF(Import.TipoArredondamento&lt;&gt;"TransfereGOV",
              ROUND(OFFSET($P127,0,AR$13),15-13*ORÇAMENTO!$AF$7)/$H127*OFFSET(ORÇAMENTO!$X$15,ROW(AR127)-ROW(AR$15),0),
              ROUND(ROUND(OFFSET($P127,0,AR$13),15-13*ORÇAMENTO!$AF$7)*OFFSET(ORÇAMENTO!$W$15,ROW(AR127)-ROW(AR$15),0),15-13*ORÇAMENTO!$AF$11)),
         0)</f>
        <v>0</v>
      </c>
      <c r="AS127" s="453">
        <f ca="1">IF(AND($D127="Serviço",AS$12&lt;&gt;0,$H127&gt;0,OR(AUTOEVENTO&lt;&gt;"manual",$M127&lt;&gt;$A$15)),
        IF(Import.TipoArredondamento&lt;&gt;"TransfereGOV",
              ROUND(OFFSET($P127,0,AS$13),15-13*ORÇAMENTO!$AF$7)/$H127*OFFSET(ORÇAMENTO!$X$15,ROW(AS127)-ROW(AS$15),0),
              ROUND(ROUND(OFFSET($P127,0,AS$13),15-13*ORÇAMENTO!$AF$7)*OFFSET(ORÇAMENTO!$W$15,ROW(AS127)-ROW(AS$15),0),15-13*ORÇAMENTO!$AF$11)),
         0)</f>
        <v>0</v>
      </c>
      <c r="AT127" s="453">
        <f ca="1">IF(AND($D127="Serviço",AT$12&lt;&gt;0,$H127&gt;0,OR(AUTOEVENTO&lt;&gt;"manual",$M127&lt;&gt;$A$15)),
        IF(Import.TipoArredondamento&lt;&gt;"TransfereGOV",
              ROUND(OFFSET($P127,0,AT$13),15-13*ORÇAMENTO!$AF$7)/$H127*OFFSET(ORÇAMENTO!$X$15,ROW(AT127)-ROW(AT$15),0),
              ROUND(ROUND(OFFSET($P127,0,AT$13),15-13*ORÇAMENTO!$AF$7)*OFFSET(ORÇAMENTO!$W$15,ROW(AT127)-ROW(AT$15),0),15-13*ORÇAMENTO!$AF$11)),
         0)</f>
        <v>0</v>
      </c>
      <c r="AU127" s="453">
        <f ca="1">IF(AND($D127="Serviço",AU$12&lt;&gt;0,$H127&gt;0,OR(AUTOEVENTO&lt;&gt;"manual",$M127&lt;&gt;$A$15)),
        IF(Import.TipoArredondamento&lt;&gt;"TransfereGOV",
              ROUND(OFFSET($P127,0,AU$13),15-13*ORÇAMENTO!$AF$7)/$H127*OFFSET(ORÇAMENTO!$X$15,ROW(AU127)-ROW(AU$15),0),
              ROUND(ROUND(OFFSET($P127,0,AU$13),15-13*ORÇAMENTO!$AF$7)*OFFSET(ORÇAMENTO!$W$15,ROW(AU127)-ROW(AU$15),0),15-13*ORÇAMENTO!$AF$11)),
         0)</f>
        <v>0</v>
      </c>
      <c r="AV127" s="453">
        <f ca="1">IF(AND($D127="Serviço",AV$12&lt;&gt;0,$H127&gt;0,OR(AUTOEVENTO&lt;&gt;"manual",$M127&lt;&gt;$A$15)),
        IF(Import.TipoArredondamento&lt;&gt;"TransfereGOV",
              ROUND(OFFSET($P127,0,AV$13),15-13*ORÇAMENTO!$AF$7)/$H127*OFFSET(ORÇAMENTO!$X$15,ROW(AV127)-ROW(AV$15),0),
              ROUND(ROUND(OFFSET($P127,0,AV$13),15-13*ORÇAMENTO!$AF$7)*OFFSET(ORÇAMENTO!$W$15,ROW(AV127)-ROW(AV$15),0),15-13*ORÇAMENTO!$AF$11)),
         0)</f>
        <v>0</v>
      </c>
      <c r="AW127" s="453">
        <f ca="1">IF(AND($D127="Serviço",AW$12&lt;&gt;0,$H127&gt;0,OR(AUTOEVENTO&lt;&gt;"manual",$M127&lt;&gt;$A$15)),
        IF(Import.TipoArredondamento&lt;&gt;"TransfereGOV",
              ROUND(OFFSET($P127,0,AW$13),15-13*ORÇAMENTO!$AF$7)/$H127*OFFSET(ORÇAMENTO!$X$15,ROW(AW127)-ROW(AW$15),0),
              ROUND(ROUND(OFFSET($P127,0,AW$13),15-13*ORÇAMENTO!$AF$7)*OFFSET(ORÇAMENTO!$W$15,ROW(AW127)-ROW(AW$15),0),15-13*ORÇAMENTO!$AF$11)),
         0)</f>
        <v>0</v>
      </c>
      <c r="AX127" s="453">
        <f ca="1">IF(AND($D127="Serviço",AX$12&lt;&gt;0,$H127&gt;0,OR(AUTOEVENTO&lt;&gt;"manual",$M127&lt;&gt;$A$15)),
        IF(Import.TipoArredondamento&lt;&gt;"TransfereGOV",
              ROUND(OFFSET($P127,0,AX$13),15-13*ORÇAMENTO!$AF$7)/$H127*OFFSET(ORÇAMENTO!$X$15,ROW(AX127)-ROW(AX$15),0),
              ROUND(ROUND(OFFSET($P127,0,AX$13),15-13*ORÇAMENTO!$AF$7)*OFFSET(ORÇAMENTO!$W$15,ROW(AX127)-ROW(AX$15),0),15-13*ORÇAMENTO!$AF$11)),
         0)</f>
        <v>0</v>
      </c>
      <c r="AY127" s="453">
        <f ca="1">IF(AND($D127="Serviço",AY$12&lt;&gt;0,$H127&gt;0,OR(AUTOEVENTO&lt;&gt;"manual",$M127&lt;&gt;$A$15)),
        IF(Import.TipoArredondamento&lt;&gt;"TransfereGOV",
              ROUND(OFFSET($P127,0,AY$13),15-13*ORÇAMENTO!$AF$7)/$H127*OFFSET(ORÇAMENTO!$X$15,ROW(AY127)-ROW(AY$15),0),
              ROUND(ROUND(OFFSET($P127,0,AY$13),15-13*ORÇAMENTO!$AF$7)*OFFSET(ORÇAMENTO!$W$15,ROW(AY127)-ROW(AY$15),0),15-13*ORÇAMENTO!$AF$11)),
         0)</f>
        <v>0</v>
      </c>
      <c r="AZ127" s="453">
        <f ca="1">IF(AND($D127="Serviço",AZ$12&lt;&gt;0,$H127&gt;0,OR(AUTOEVENTO&lt;&gt;"manual",$M127&lt;&gt;$A$15)),
        IF(Import.TipoArredondamento&lt;&gt;"TransfereGOV",
              ROUND(OFFSET($P127,0,AZ$13),15-13*ORÇAMENTO!$AF$7)/$H127*OFFSET(ORÇAMENTO!$X$15,ROW(AZ127)-ROW(AZ$15),0),
              ROUND(ROUND(OFFSET($P127,0,AZ$13),15-13*ORÇAMENTO!$AF$7)*OFFSET(ORÇAMENTO!$W$15,ROW(AZ127)-ROW(AZ$15),0),15-13*ORÇAMENTO!$AF$11)),
         0)</f>
        <v>0</v>
      </c>
      <c r="BA127" s="453">
        <f ca="1">IF(AND($D127="Serviço",BA$12&lt;&gt;0,$H127&gt;0,OR(AUTOEVENTO&lt;&gt;"manual",$M127&lt;&gt;$A$15)),
        IF(Import.TipoArredondamento&lt;&gt;"TransfereGOV",
              ROUND(OFFSET($P127,0,BA$13),15-13*ORÇAMENTO!$AF$7)/$H127*OFFSET(ORÇAMENTO!$X$15,ROW(BA127)-ROW(BA$15),0),
              ROUND(ROUND(OFFSET($P127,0,BA$13),15-13*ORÇAMENTO!$AF$7)*OFFSET(ORÇAMENTO!$W$15,ROW(BA127)-ROW(BA$15),0),15-13*ORÇAMENTO!$AF$11)),
         0)</f>
        <v>0</v>
      </c>
      <c r="BC127" s="171">
        <f ca="1">IF(OR($D127&lt;&gt;"Serviço",AND(AUTOEVENTO="Manual",$M127=$A$15)),0,
         IF(OFFSET(CRONOPLE!$F$15,$M127-$A$15,BC$13)=0,10^12,OFFSET(CRONOPLE!$F$15,$M127-$A$15,BC$13)))</f>
        <v>1000000000000</v>
      </c>
      <c r="BD127" s="171">
        <f ca="1">IF(OR($D127&lt;&gt;"Serviço",AND(AUTOEVENTO="Manual",$M127=$A$15)),0,
         IF(OFFSET(CRONOPLE!$F$15,$M127-$A$15,BD$13)=0,10^12,OFFSET(CRONOPLE!$F$15,$M127-$A$15,BD$13)))</f>
        <v>1000000000000</v>
      </c>
      <c r="BE127" s="171">
        <f ca="1">IF(OR($D127&lt;&gt;"Serviço",AND(AUTOEVENTO="Manual",$M127=$A$15)),0,
         IF(OFFSET(CRONOPLE!$F$15,$M127-$A$15,BE$13)=0,10^12,OFFSET(CRONOPLE!$F$15,$M127-$A$15,BE$13)))</f>
        <v>1000000000000</v>
      </c>
      <c r="BF127" s="171">
        <f ca="1">IF(OR($D127&lt;&gt;"Serviço",AND(AUTOEVENTO="Manual",$M127=$A$15)),0,
         IF(OFFSET(CRONOPLE!$F$15,$M127-$A$15,BF$13)=0,10^12,OFFSET(CRONOPLE!$F$15,$M127-$A$15,BF$13)))</f>
        <v>1000000000000</v>
      </c>
      <c r="BG127" s="171">
        <f ca="1">IF(OR($D127&lt;&gt;"Serviço",AND(AUTOEVENTO="Manual",$M127=$A$15)),0,
         IF(OFFSET(CRONOPLE!$F$15,$M127-$A$15,BG$13)=0,10^12,OFFSET(CRONOPLE!$F$15,$M127-$A$15,BG$13)))</f>
        <v>4</v>
      </c>
      <c r="BH127" s="171">
        <f ca="1">IF(OR($D127&lt;&gt;"Serviço",AND(AUTOEVENTO="Manual",$M127=$A$15)),0,
         IF(OFFSET(CRONOPLE!$F$15,$M127-$A$15,BH$13)=0,10^12,OFFSET(CRONOPLE!$F$15,$M127-$A$15,BH$13)))</f>
        <v>1000000000000</v>
      </c>
      <c r="BI127" s="171">
        <f ca="1">IF(OR($D127&lt;&gt;"Serviço",AND(AUTOEVENTO="Manual",$M127=$A$15)),0,
         IF(OFFSET(CRONOPLE!$F$15,$M127-$A$15,BI$13)=0,10^12,OFFSET(CRONOPLE!$F$15,$M127-$A$15,BI$13)))</f>
        <v>1000000000000</v>
      </c>
      <c r="BJ127" s="171">
        <f ca="1">IF(OR($D127&lt;&gt;"Serviço",AND(AUTOEVENTO="Manual",$M127=$A$15)),0,
         IF(OFFSET(CRONOPLE!$F$15,$M127-$A$15,BJ$13)=0,10^12,OFFSET(CRONOPLE!$F$15,$M127-$A$15,BJ$13)))</f>
        <v>1000000000000</v>
      </c>
      <c r="BK127" s="171">
        <f ca="1">IF(OR($D127&lt;&gt;"Serviço",AND(AUTOEVENTO="Manual",$M127=$A$15)),0,
         IF(OFFSET(CRONOPLE!$F$15,$M127-$A$15,BK$13)=0,10^12,OFFSET(CRONOPLE!$F$15,$M127-$A$15,BK$13)))</f>
        <v>1000000000000</v>
      </c>
      <c r="BL127" s="171">
        <f ca="1">IF(OR($D127&lt;&gt;"Serviço",AND(AUTOEVENTO="Manual",$M127=$A$15)),0,
         IF(OFFSET(CRONOPLE!$F$15,$M127-$A$15,BL$13)=0,10^12,OFFSET(CRONOPLE!$F$15,$M127-$A$15,BL$13)))</f>
        <v>1000000000000</v>
      </c>
      <c r="BM127" s="171">
        <f ca="1">IF(OR($D127&lt;&gt;"Serviço",AND(AUTOEVENTO="Manual",$M127=$A$15)),0,
         IF(OFFSET(CRONOPLE!$F$15,$M127-$A$15,BM$13)=0,10^12,OFFSET(CRONOPLE!$F$15,$M127-$A$15,BM$13)))</f>
        <v>1000000000000</v>
      </c>
      <c r="BN127" s="171">
        <f ca="1">IF(OR($D127&lt;&gt;"Serviço",AND(AUTOEVENTO="Manual",$M127=$A$15)),0,
         IF(OFFSET(CRONOPLE!$F$15,$M127-$A$15,BN$13)=0,10^12,OFFSET(CRONOPLE!$F$15,$M127-$A$15,BN$13)))</f>
        <v>1000000000000</v>
      </c>
      <c r="BO127" s="171">
        <f ca="1">IF(OR($D127&lt;&gt;"Serviço",AND(AUTOEVENTO="Manual",$M127=$A$15)),0,
         IF(OFFSET(CRONOPLE!$F$15,$M127-$A$15,BO$13)=0,10^12,OFFSET(CRONOPLE!$F$15,$M127-$A$15,BO$13)))</f>
        <v>1000000000000</v>
      </c>
      <c r="BP127" s="171">
        <f ca="1">IF(OR($D127&lt;&gt;"Serviço",AND(AUTOEVENTO="Manual",$M127=$A$15)),0,
         IF(OFFSET(CRONOPLE!$F$15,$M127-$A$15,BP$13)=0,10^12,OFFSET(CRONOPLE!$F$15,$M127-$A$15,BP$13)))</f>
        <v>1000000000000</v>
      </c>
      <c r="BQ127" s="171">
        <f ca="1">IF(OR($D127&lt;&gt;"Serviço",AND(AUTOEVENTO="Manual",$M127=$A$15)),0,
         IF(OFFSET(CRONOPLE!$F$15,$M127-$A$15,BQ$13)=0,10^12,OFFSET(CRONOPLE!$F$15,$M127-$A$15,BQ$13)))</f>
        <v>1000000000000</v>
      </c>
      <c r="BR127" s="171">
        <f ca="1">IF(OR($D127&lt;&gt;"Serviço",AND(AUTOEVENTO="Manual",$M127=$A$15)),0,
         IF(OFFSET(CRONOPLE!$F$15,$M127-$A$15,BR$13)=0,10^12,OFFSET(CRONOPLE!$F$15,$M127-$A$15,BR$13)))</f>
        <v>1000000000000</v>
      </c>
      <c r="BS127" s="171">
        <f ca="1">IF(OR($D127&lt;&gt;"Serviço",AND(AUTOEVENTO="Manual",$M127=$A$15)),0,
         IF(OFFSET(CRONOPLE!$F$15,$M127-$A$15,BS$13)=0,10^12,OFFSET(CRONOPLE!$F$15,$M127-$A$15,BS$13)))</f>
        <v>1000000000000</v>
      </c>
      <c r="BT127" s="171">
        <f ca="1">IF(OR($D127&lt;&gt;"Serviço",AND(AUTOEVENTO="Manual",$M127=$A$15)),0,
         IF(OFFSET(CRONOPLE!$F$15,$M127-$A$15,BT$13)=0,10^12,OFFSET(CRONOPLE!$F$15,$M127-$A$15,BT$13)))</f>
        <v>1000000000000</v>
      </c>
      <c r="BV127" s="172">
        <f ca="1">IF(OR($D127&lt;&gt;"Serviço",AND(AUTOEVENTO="Manual",$M127=$A$15),$M127&gt;(ROW(PLE.lastrow)-ROW(PLE.firstrow))),0,
           IF(OFFSET(PLE!$G$15,$M127-$A$15,BV$13)="",10^12,OFFSET(PLE!$G$15,$M127-$A$15,BV$13)))</f>
        <v>1000000000000</v>
      </c>
      <c r="BW127" s="172">
        <f ca="1">IF(OR($D127&lt;&gt;"Serviço",AND(AUTOEVENTO="Manual",$M127=$A$15),$M127&gt;(ROW(PLE.lastrow)-ROW(PLE.firstrow))),0,
           IF(OFFSET(PLE!$G$15,$M127-$A$15,BW$13)="",10^12,OFFSET(PLE!$G$15,$M127-$A$15,BW$13)))</f>
        <v>1000000000000</v>
      </c>
      <c r="BX127" s="172">
        <f ca="1">IF(OR($D127&lt;&gt;"Serviço",AND(AUTOEVENTO="Manual",$M127=$A$15),$M127&gt;(ROW(PLE.lastrow)-ROW(PLE.firstrow))),0,
           IF(OFFSET(PLE!$G$15,$M127-$A$15,BX$13)="",10^12,OFFSET(PLE!$G$15,$M127-$A$15,BX$13)))</f>
        <v>1000000000000</v>
      </c>
      <c r="BY127" s="172">
        <f ca="1">IF(OR($D127&lt;&gt;"Serviço",AND(AUTOEVENTO="Manual",$M127=$A$15),$M127&gt;(ROW(PLE.lastrow)-ROW(PLE.firstrow))),0,
           IF(OFFSET(PLE!$G$15,$M127-$A$15,BY$13)="",10^12,OFFSET(PLE!$G$15,$M127-$A$15,BY$13)))</f>
        <v>1000000000000</v>
      </c>
      <c r="BZ127" s="172">
        <f ca="1">IF(OR($D127&lt;&gt;"Serviço",AND(AUTOEVENTO="Manual",$M127=$A$15),$M127&gt;(ROW(PLE.lastrow)-ROW(PLE.firstrow))),0,
           IF(OFFSET(PLE!$G$15,$M127-$A$15,BZ$13)="",10^12,OFFSET(PLE!$G$15,$M127-$A$15,BZ$13)))</f>
        <v>1000000000000</v>
      </c>
      <c r="CA127" s="172">
        <f ca="1">IF(OR($D127&lt;&gt;"Serviço",AND(AUTOEVENTO="Manual",$M127=$A$15),$M127&gt;(ROW(PLE.lastrow)-ROW(PLE.firstrow))),0,
           IF(OFFSET(PLE!$G$15,$M127-$A$15,CA$13)="",10^12,OFFSET(PLE!$G$15,$M127-$A$15,CA$13)))</f>
        <v>1000000000000</v>
      </c>
      <c r="CB127" s="172">
        <f ca="1">IF(OR($D127&lt;&gt;"Serviço",AND(AUTOEVENTO="Manual",$M127=$A$15),$M127&gt;(ROW(PLE.lastrow)-ROW(PLE.firstrow))),0,
           IF(OFFSET(PLE!$G$15,$M127-$A$15,CB$13)="",10^12,OFFSET(PLE!$G$15,$M127-$A$15,CB$13)))</f>
        <v>1000000000000</v>
      </c>
      <c r="CC127" s="172">
        <f ca="1">IF(OR($D127&lt;&gt;"Serviço",AND(AUTOEVENTO="Manual",$M127=$A$15),$M127&gt;(ROW(PLE.lastrow)-ROW(PLE.firstrow))),0,
           IF(OFFSET(PLE!$G$15,$M127-$A$15,CC$13)="",10^12,OFFSET(PLE!$G$15,$M127-$A$15,CC$13)))</f>
        <v>1000000000000</v>
      </c>
      <c r="CD127" s="172">
        <f ca="1">IF(OR($D127&lt;&gt;"Serviço",AND(AUTOEVENTO="Manual",$M127=$A$15),$M127&gt;(ROW(PLE.lastrow)-ROW(PLE.firstrow))),0,
           IF(OFFSET(PLE!$G$15,$M127-$A$15,CD$13)="",10^12,OFFSET(PLE!$G$15,$M127-$A$15,CD$13)))</f>
        <v>1000000000000</v>
      </c>
      <c r="CE127" s="172">
        <f ca="1">IF(OR($D127&lt;&gt;"Serviço",AND(AUTOEVENTO="Manual",$M127=$A$15),$M127&gt;(ROW(PLE.lastrow)-ROW(PLE.firstrow))),0,
           IF(OFFSET(PLE!$G$15,$M127-$A$15,CE$13)="",10^12,OFFSET(PLE!$G$15,$M127-$A$15,CE$13)))</f>
        <v>1000000000000</v>
      </c>
      <c r="CF127" s="172">
        <f ca="1">IF(OR($D127&lt;&gt;"Serviço",AND(AUTOEVENTO="Manual",$M127=$A$15),$M127&gt;(ROW(PLE.lastrow)-ROW(PLE.firstrow))),0,
           IF(OFFSET(PLE!$G$15,$M127-$A$15,CF$13)="",10^12,OFFSET(PLE!$G$15,$M127-$A$15,CF$13)))</f>
        <v>1000000000000</v>
      </c>
      <c r="CG127" s="172">
        <f ca="1">IF(OR($D127&lt;&gt;"Serviço",AND(AUTOEVENTO="Manual",$M127=$A$15),$M127&gt;(ROW(PLE.lastrow)-ROW(PLE.firstrow))),0,
           IF(OFFSET(PLE!$G$15,$M127-$A$15,CG$13)="",10^12,OFFSET(PLE!$G$15,$M127-$A$15,CG$13)))</f>
        <v>1000000000000</v>
      </c>
      <c r="CH127" s="172">
        <f ca="1">IF(OR($D127&lt;&gt;"Serviço",AND(AUTOEVENTO="Manual",$M127=$A$15),$M127&gt;(ROW(PLE.lastrow)-ROW(PLE.firstrow))),0,
           IF(OFFSET(PLE!$G$15,$M127-$A$15,CH$13)="",10^12,OFFSET(PLE!$G$15,$M127-$A$15,CH$13)))</f>
        <v>1000000000000</v>
      </c>
      <c r="CI127" s="172">
        <f ca="1">IF(OR($D127&lt;&gt;"Serviço",AND(AUTOEVENTO="Manual",$M127=$A$15),$M127&gt;(ROW(PLE.lastrow)-ROW(PLE.firstrow))),0,
           IF(OFFSET(PLE!$G$15,$M127-$A$15,CI$13)="",10^12,OFFSET(PLE!$G$15,$M127-$A$15,CI$13)))</f>
        <v>1000000000000</v>
      </c>
      <c r="CJ127" s="172">
        <f ca="1">IF(OR($D127&lt;&gt;"Serviço",AND(AUTOEVENTO="Manual",$M127=$A$15),$M127&gt;(ROW(PLE.lastrow)-ROW(PLE.firstrow))),0,
           IF(OFFSET(PLE!$G$15,$M127-$A$15,CJ$13)="",10^12,OFFSET(PLE!$G$15,$M127-$A$15,CJ$13)))</f>
        <v>1000000000000</v>
      </c>
      <c r="CK127" s="172">
        <f ca="1">IF(OR($D127&lt;&gt;"Serviço",AND(AUTOEVENTO="Manual",$M127=$A$15),$M127&gt;(ROW(PLE.lastrow)-ROW(PLE.firstrow))),0,
           IF(OFFSET(PLE!$G$15,$M127-$A$15,CK$13)="",10^12,OFFSET(PLE!$G$15,$M127-$A$15,CK$13)))</f>
        <v>1000000000000</v>
      </c>
      <c r="CL127" s="172">
        <f ca="1">IF(OR($D127&lt;&gt;"Serviço",AND(AUTOEVENTO="Manual",$M127=$A$15),$M127&gt;(ROW(PLE.lastrow)-ROW(PLE.firstrow))),0,
           IF(OFFSET(PLE!$G$15,$M127-$A$15,CL$13)="",10^12,OFFSET(PLE!$G$15,$M127-$A$15,CL$13)))</f>
        <v>1000000000000</v>
      </c>
      <c r="CM127" s="172">
        <f ca="1">IF(OR($D127&lt;&gt;"Serviço",AND(AUTOEVENTO="Manual",$M127=$A$15),$M127&gt;(ROW(PLE.lastrow)-ROW(PLE.firstrow))),0,
           IF(OFFSET(PLE!$G$15,$M127-$A$15,CM$13)="",10^12,OFFSET(PLE!$G$15,$M127-$A$15,CM$13)))</f>
        <v>1000000000000</v>
      </c>
    </row>
    <row r="128" spans="1:91" ht="13.2" x14ac:dyDescent="0.25">
      <c r="A128" s="7" t="str">
        <f t="shared" ca="1" si="11"/>
        <v>113.</v>
      </c>
      <c r="B128" s="7">
        <f ca="1">OFFSET(ORÇAMENTO!C$15,ROW(B128)-ROW(B$15),0)</f>
        <v>2</v>
      </c>
      <c r="C128" s="7" t="str">
        <f ca="1">OFFSET(ORÇAMENTO!L$15,ROW(C128)-ROW(C$15),0)</f>
        <v>F</v>
      </c>
      <c r="D128" s="116" t="str">
        <f ca="1">OFFSET(ORÇAMENTO!N$15,ROW(D128)-ROW(D$15),0)</f>
        <v>Nível 2</v>
      </c>
      <c r="E128" s="117" t="str">
        <f ca="1">OFFSET(ORÇAMENTO!O$15,ROW(E128)-ROW(E$15),0)</f>
        <v>3.5.</v>
      </c>
      <c r="F128" s="163" t="str">
        <f ca="1">OFFSET(ORÇAMENTO!R$15,ROW(F128)-ROW(F$15),0)</f>
        <v>ENSAIOS</v>
      </c>
      <c r="G128" s="164" t="str">
        <f ca="1">IF($D128&lt;&gt;"Serviço","",OFFSET(ORÇAMENTO!S$15,ROW(G128)-ROW(G$15),0))</f>
        <v/>
      </c>
      <c r="H128" s="122" cm="1">
        <f t="array" aca="1" ref="H128" ca="1">IF($D128&lt;&gt;"Serviço",0,IF(ACOMPANHAMENTO="BM",ROUND(OFFSET(ORÇAMENTO!AJ$15,ROW(H128)-ROW(H$15),0),15-13*ORÇAMENTO!$AF$7),SUMPRODUCT(($Q$1:$AI$1=1)*ROUND($Q128:$AI128,15-13*ORÇAMENTO!$AF$7))))</f>
        <v>0</v>
      </c>
      <c r="I128" s="468"/>
      <c r="J128" s="651" t="str" cm="1">
        <f t="array" aca="1" ref="J128" ca="1">IF(OR(B128&lt;&gt;"S",CÁLCULO.FrentesPreenchidas=0),"",IF(AND(ACOMPANHAMENTO="PLE",AUTOEVENTO="Manual",OR(H128&gt;0,ORÇAMENTO!AC128="QUANT."),OR(K128="",M128=0,N128="")),"►E",IF(AND(ACOMPANHAMENTO="PLE",ORÇAMENTO!AC128="QUANT."),"►Q",IF(AND(ACOMPANHAMENTO="PLE",H128&lt;&gt;SUMPRODUCT(($Q$1:$AI$1=1)*ROUND(Q128:AI128,15))),"►S",IF(AND(COUNTIF($P$11:$AI$11,"▼")=0,H128&gt;0,I128=""),"◄M","")))))</f>
        <v/>
      </c>
      <c r="K128" s="652"/>
      <c r="L128" s="165" t="s">
        <v>764</v>
      </c>
      <c r="M128" s="166" t="str">
        <f ca="1">IF($D128&lt;&gt;"Serviço","",
          IF(AUTOEVENTO="manual",$A128,
                IF(ISERROR(MATCH($A128,$A$15:OFFSET($A128,-1,0),0)),MAX($M$15:OFFSET(M128,-1,0))+1,
                      INDEX($M$15:OFFSET(M128,-1,0),MATCH($A128,$A$15:OFFSET($A128,-1,0),0)))))</f>
        <v/>
      </c>
      <c r="N128" s="167" t="str">
        <f ca="1">IF($D128&lt;&gt;"Serviço","",
         IF(AUTOEVENTO="Manual",
                IF($A128=0,"&lt;-- defina o número do agrupador",
                       OFFSET(EVENTOS!$D$15,$A128-$A$15,0)),
                OFFSET($F$15,$A128,0)))</f>
        <v/>
      </c>
      <c r="O128" s="168"/>
      <c r="Q128" s="168"/>
      <c r="R128" s="169"/>
      <c r="S128" s="169"/>
      <c r="T128" s="169"/>
      <c r="U128" s="169"/>
      <c r="V128" s="169"/>
      <c r="W128" s="169"/>
      <c r="X128" s="169"/>
      <c r="Y128" s="169"/>
      <c r="Z128" s="170"/>
      <c r="AA128" s="169"/>
      <c r="AB128" s="169"/>
      <c r="AC128" s="169"/>
      <c r="AD128" s="169"/>
      <c r="AE128" s="169"/>
      <c r="AF128" s="169"/>
      <c r="AG128" s="169"/>
      <c r="AH128" s="170"/>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L128" s="453">
        <f ca="1">IF(AND($D128="Serviço",AL$12&lt;&gt;0,$H128&gt;0,OR(AUTOEVENTO&lt;&gt;"manual",$M128&lt;&gt;$A$15)),
        IF(Import.TipoArredondamento&lt;&gt;"TransfereGOV",
              ROUND(OFFSET($P128,0,AL$13),15-13*ORÇAMENTO!$AF$7)/$H128*OFFSET(ORÇAMENTO!$X$15,ROW(AL128)-ROW(AL$15),0),
              ROUND(ROUND(OFFSET($P128,0,AL$13),15-13*ORÇAMENTO!$AF$7)*OFFSET(ORÇAMENTO!$W$15,ROW(AL128)-ROW(AL$15),0),15-13*ORÇAMENTO!$AF$11)),
         0)</f>
        <v>0</v>
      </c>
      <c r="AM128" s="453">
        <f ca="1">IF(AND($D128="Serviço",AM$12&lt;&gt;0,$H128&gt;0,OR(AUTOEVENTO&lt;&gt;"manual",$M128&lt;&gt;$A$15)),
        IF(Import.TipoArredondamento&lt;&gt;"TransfereGOV",
              ROUND(OFFSET($P128,0,AM$13),15-13*ORÇAMENTO!$AF$7)/$H128*OFFSET(ORÇAMENTO!$X$15,ROW(AM128)-ROW(AM$15),0),
              ROUND(ROUND(OFFSET($P128,0,AM$13),15-13*ORÇAMENTO!$AF$7)*OFFSET(ORÇAMENTO!$W$15,ROW(AM128)-ROW(AM$15),0),15-13*ORÇAMENTO!$AF$11)),
         0)</f>
        <v>0</v>
      </c>
      <c r="AN128" s="453">
        <f ca="1">IF(AND($D128="Serviço",AN$12&lt;&gt;0,$H128&gt;0,OR(AUTOEVENTO&lt;&gt;"manual",$M128&lt;&gt;$A$15)),
        IF(Import.TipoArredondamento&lt;&gt;"TransfereGOV",
              ROUND(OFFSET($P128,0,AN$13),15-13*ORÇAMENTO!$AF$7)/$H128*OFFSET(ORÇAMENTO!$X$15,ROW(AN128)-ROW(AN$15),0),
              ROUND(ROUND(OFFSET($P128,0,AN$13),15-13*ORÇAMENTO!$AF$7)*OFFSET(ORÇAMENTO!$W$15,ROW(AN128)-ROW(AN$15),0),15-13*ORÇAMENTO!$AF$11)),
         0)</f>
        <v>0</v>
      </c>
      <c r="AO128" s="453">
        <f ca="1">IF(AND($D128="Serviço",AO$12&lt;&gt;0,$H128&gt;0,OR(AUTOEVENTO&lt;&gt;"manual",$M128&lt;&gt;$A$15)),
        IF(Import.TipoArredondamento&lt;&gt;"TransfereGOV",
              ROUND(OFFSET($P128,0,AO$13),15-13*ORÇAMENTO!$AF$7)/$H128*OFFSET(ORÇAMENTO!$X$15,ROW(AO128)-ROW(AO$15),0),
              ROUND(ROUND(OFFSET($P128,0,AO$13),15-13*ORÇAMENTO!$AF$7)*OFFSET(ORÇAMENTO!$W$15,ROW(AO128)-ROW(AO$15),0),15-13*ORÇAMENTO!$AF$11)),
         0)</f>
        <v>0</v>
      </c>
      <c r="AP128" s="453">
        <f ca="1">IF(AND($D128="Serviço",AP$12&lt;&gt;0,$H128&gt;0,OR(AUTOEVENTO&lt;&gt;"manual",$M128&lt;&gt;$A$15)),
        IF(Import.TipoArredondamento&lt;&gt;"TransfereGOV",
              ROUND(OFFSET($P128,0,AP$13),15-13*ORÇAMENTO!$AF$7)/$H128*OFFSET(ORÇAMENTO!$X$15,ROW(AP128)-ROW(AP$15),0),
              ROUND(ROUND(OFFSET($P128,0,AP$13),15-13*ORÇAMENTO!$AF$7)*OFFSET(ORÇAMENTO!$W$15,ROW(AP128)-ROW(AP$15),0),15-13*ORÇAMENTO!$AF$11)),
         0)</f>
        <v>0</v>
      </c>
      <c r="AQ128" s="453">
        <f ca="1">IF(AND($D128="Serviço",AQ$12&lt;&gt;0,$H128&gt;0,OR(AUTOEVENTO&lt;&gt;"manual",$M128&lt;&gt;$A$15)),
        IF(Import.TipoArredondamento&lt;&gt;"TransfereGOV",
              ROUND(OFFSET($P128,0,AQ$13),15-13*ORÇAMENTO!$AF$7)/$H128*OFFSET(ORÇAMENTO!$X$15,ROW(AQ128)-ROW(AQ$15),0),
              ROUND(ROUND(OFFSET($P128,0,AQ$13),15-13*ORÇAMENTO!$AF$7)*OFFSET(ORÇAMENTO!$W$15,ROW(AQ128)-ROW(AQ$15),0),15-13*ORÇAMENTO!$AF$11)),
         0)</f>
        <v>0</v>
      </c>
      <c r="AR128" s="453">
        <f ca="1">IF(AND($D128="Serviço",AR$12&lt;&gt;0,$H128&gt;0,OR(AUTOEVENTO&lt;&gt;"manual",$M128&lt;&gt;$A$15)),
        IF(Import.TipoArredondamento&lt;&gt;"TransfereGOV",
              ROUND(OFFSET($P128,0,AR$13),15-13*ORÇAMENTO!$AF$7)/$H128*OFFSET(ORÇAMENTO!$X$15,ROW(AR128)-ROW(AR$15),0),
              ROUND(ROUND(OFFSET($P128,0,AR$13),15-13*ORÇAMENTO!$AF$7)*OFFSET(ORÇAMENTO!$W$15,ROW(AR128)-ROW(AR$15),0),15-13*ORÇAMENTO!$AF$11)),
         0)</f>
        <v>0</v>
      </c>
      <c r="AS128" s="453">
        <f ca="1">IF(AND($D128="Serviço",AS$12&lt;&gt;0,$H128&gt;0,OR(AUTOEVENTO&lt;&gt;"manual",$M128&lt;&gt;$A$15)),
        IF(Import.TipoArredondamento&lt;&gt;"TransfereGOV",
              ROUND(OFFSET($P128,0,AS$13),15-13*ORÇAMENTO!$AF$7)/$H128*OFFSET(ORÇAMENTO!$X$15,ROW(AS128)-ROW(AS$15),0),
              ROUND(ROUND(OFFSET($P128,0,AS$13),15-13*ORÇAMENTO!$AF$7)*OFFSET(ORÇAMENTO!$W$15,ROW(AS128)-ROW(AS$15),0),15-13*ORÇAMENTO!$AF$11)),
         0)</f>
        <v>0</v>
      </c>
      <c r="AT128" s="453">
        <f ca="1">IF(AND($D128="Serviço",AT$12&lt;&gt;0,$H128&gt;0,OR(AUTOEVENTO&lt;&gt;"manual",$M128&lt;&gt;$A$15)),
        IF(Import.TipoArredondamento&lt;&gt;"TransfereGOV",
              ROUND(OFFSET($P128,0,AT$13),15-13*ORÇAMENTO!$AF$7)/$H128*OFFSET(ORÇAMENTO!$X$15,ROW(AT128)-ROW(AT$15),0),
              ROUND(ROUND(OFFSET($P128,0,AT$13),15-13*ORÇAMENTO!$AF$7)*OFFSET(ORÇAMENTO!$W$15,ROW(AT128)-ROW(AT$15),0),15-13*ORÇAMENTO!$AF$11)),
         0)</f>
        <v>0</v>
      </c>
      <c r="AU128" s="453">
        <f ca="1">IF(AND($D128="Serviço",AU$12&lt;&gt;0,$H128&gt;0,OR(AUTOEVENTO&lt;&gt;"manual",$M128&lt;&gt;$A$15)),
        IF(Import.TipoArredondamento&lt;&gt;"TransfereGOV",
              ROUND(OFFSET($P128,0,AU$13),15-13*ORÇAMENTO!$AF$7)/$H128*OFFSET(ORÇAMENTO!$X$15,ROW(AU128)-ROW(AU$15),0),
              ROUND(ROUND(OFFSET($P128,0,AU$13),15-13*ORÇAMENTO!$AF$7)*OFFSET(ORÇAMENTO!$W$15,ROW(AU128)-ROW(AU$15),0),15-13*ORÇAMENTO!$AF$11)),
         0)</f>
        <v>0</v>
      </c>
      <c r="AV128" s="453">
        <f ca="1">IF(AND($D128="Serviço",AV$12&lt;&gt;0,$H128&gt;0,OR(AUTOEVENTO&lt;&gt;"manual",$M128&lt;&gt;$A$15)),
        IF(Import.TipoArredondamento&lt;&gt;"TransfereGOV",
              ROUND(OFFSET($P128,0,AV$13),15-13*ORÇAMENTO!$AF$7)/$H128*OFFSET(ORÇAMENTO!$X$15,ROW(AV128)-ROW(AV$15),0),
              ROUND(ROUND(OFFSET($P128,0,AV$13),15-13*ORÇAMENTO!$AF$7)*OFFSET(ORÇAMENTO!$W$15,ROW(AV128)-ROW(AV$15),0),15-13*ORÇAMENTO!$AF$11)),
         0)</f>
        <v>0</v>
      </c>
      <c r="AW128" s="453">
        <f ca="1">IF(AND($D128="Serviço",AW$12&lt;&gt;0,$H128&gt;0,OR(AUTOEVENTO&lt;&gt;"manual",$M128&lt;&gt;$A$15)),
        IF(Import.TipoArredondamento&lt;&gt;"TransfereGOV",
              ROUND(OFFSET($P128,0,AW$13),15-13*ORÇAMENTO!$AF$7)/$H128*OFFSET(ORÇAMENTO!$X$15,ROW(AW128)-ROW(AW$15),0),
              ROUND(ROUND(OFFSET($P128,0,AW$13),15-13*ORÇAMENTO!$AF$7)*OFFSET(ORÇAMENTO!$W$15,ROW(AW128)-ROW(AW$15),0),15-13*ORÇAMENTO!$AF$11)),
         0)</f>
        <v>0</v>
      </c>
      <c r="AX128" s="453">
        <f ca="1">IF(AND($D128="Serviço",AX$12&lt;&gt;0,$H128&gt;0,OR(AUTOEVENTO&lt;&gt;"manual",$M128&lt;&gt;$A$15)),
        IF(Import.TipoArredondamento&lt;&gt;"TransfereGOV",
              ROUND(OFFSET($P128,0,AX$13),15-13*ORÇAMENTO!$AF$7)/$H128*OFFSET(ORÇAMENTO!$X$15,ROW(AX128)-ROW(AX$15),0),
              ROUND(ROUND(OFFSET($P128,0,AX$13),15-13*ORÇAMENTO!$AF$7)*OFFSET(ORÇAMENTO!$W$15,ROW(AX128)-ROW(AX$15),0),15-13*ORÇAMENTO!$AF$11)),
         0)</f>
        <v>0</v>
      </c>
      <c r="AY128" s="453">
        <f ca="1">IF(AND($D128="Serviço",AY$12&lt;&gt;0,$H128&gt;0,OR(AUTOEVENTO&lt;&gt;"manual",$M128&lt;&gt;$A$15)),
        IF(Import.TipoArredondamento&lt;&gt;"TransfereGOV",
              ROUND(OFFSET($P128,0,AY$13),15-13*ORÇAMENTO!$AF$7)/$H128*OFFSET(ORÇAMENTO!$X$15,ROW(AY128)-ROW(AY$15),0),
              ROUND(ROUND(OFFSET($P128,0,AY$13),15-13*ORÇAMENTO!$AF$7)*OFFSET(ORÇAMENTO!$W$15,ROW(AY128)-ROW(AY$15),0),15-13*ORÇAMENTO!$AF$11)),
         0)</f>
        <v>0</v>
      </c>
      <c r="AZ128" s="453">
        <f ca="1">IF(AND($D128="Serviço",AZ$12&lt;&gt;0,$H128&gt;0,OR(AUTOEVENTO&lt;&gt;"manual",$M128&lt;&gt;$A$15)),
        IF(Import.TipoArredondamento&lt;&gt;"TransfereGOV",
              ROUND(OFFSET($P128,0,AZ$13),15-13*ORÇAMENTO!$AF$7)/$H128*OFFSET(ORÇAMENTO!$X$15,ROW(AZ128)-ROW(AZ$15),0),
              ROUND(ROUND(OFFSET($P128,0,AZ$13),15-13*ORÇAMENTO!$AF$7)*OFFSET(ORÇAMENTO!$W$15,ROW(AZ128)-ROW(AZ$15),0),15-13*ORÇAMENTO!$AF$11)),
         0)</f>
        <v>0</v>
      </c>
      <c r="BA128" s="453">
        <f ca="1">IF(AND($D128="Serviço",BA$12&lt;&gt;0,$H128&gt;0,OR(AUTOEVENTO&lt;&gt;"manual",$M128&lt;&gt;$A$15)),
        IF(Import.TipoArredondamento&lt;&gt;"TransfereGOV",
              ROUND(OFFSET($P128,0,BA$13),15-13*ORÇAMENTO!$AF$7)/$H128*OFFSET(ORÇAMENTO!$X$15,ROW(BA128)-ROW(BA$15),0),
              ROUND(ROUND(OFFSET($P128,0,BA$13),15-13*ORÇAMENTO!$AF$7)*OFFSET(ORÇAMENTO!$W$15,ROW(BA128)-ROW(BA$15),0),15-13*ORÇAMENTO!$AF$11)),
         0)</f>
        <v>0</v>
      </c>
      <c r="BC128" s="171">
        <f ca="1">IF(OR($D128&lt;&gt;"Serviço",AND(AUTOEVENTO="Manual",$M128=$A$15)),0,
         IF(OFFSET(CRONOPLE!$F$15,$M128-$A$15,BC$13)=0,10^12,OFFSET(CRONOPLE!$F$15,$M128-$A$15,BC$13)))</f>
        <v>0</v>
      </c>
      <c r="BD128" s="171">
        <f ca="1">IF(OR($D128&lt;&gt;"Serviço",AND(AUTOEVENTO="Manual",$M128=$A$15)),0,
         IF(OFFSET(CRONOPLE!$F$15,$M128-$A$15,BD$13)=0,10^12,OFFSET(CRONOPLE!$F$15,$M128-$A$15,BD$13)))</f>
        <v>0</v>
      </c>
      <c r="BE128" s="171">
        <f ca="1">IF(OR($D128&lt;&gt;"Serviço",AND(AUTOEVENTO="Manual",$M128=$A$15)),0,
         IF(OFFSET(CRONOPLE!$F$15,$M128-$A$15,BE$13)=0,10^12,OFFSET(CRONOPLE!$F$15,$M128-$A$15,BE$13)))</f>
        <v>0</v>
      </c>
      <c r="BF128" s="171">
        <f ca="1">IF(OR($D128&lt;&gt;"Serviço",AND(AUTOEVENTO="Manual",$M128=$A$15)),0,
         IF(OFFSET(CRONOPLE!$F$15,$M128-$A$15,BF$13)=0,10^12,OFFSET(CRONOPLE!$F$15,$M128-$A$15,BF$13)))</f>
        <v>0</v>
      </c>
      <c r="BG128" s="171">
        <f ca="1">IF(OR($D128&lt;&gt;"Serviço",AND(AUTOEVENTO="Manual",$M128=$A$15)),0,
         IF(OFFSET(CRONOPLE!$F$15,$M128-$A$15,BG$13)=0,10^12,OFFSET(CRONOPLE!$F$15,$M128-$A$15,BG$13)))</f>
        <v>0</v>
      </c>
      <c r="BH128" s="171">
        <f ca="1">IF(OR($D128&lt;&gt;"Serviço",AND(AUTOEVENTO="Manual",$M128=$A$15)),0,
         IF(OFFSET(CRONOPLE!$F$15,$M128-$A$15,BH$13)=0,10^12,OFFSET(CRONOPLE!$F$15,$M128-$A$15,BH$13)))</f>
        <v>0</v>
      </c>
      <c r="BI128" s="171">
        <f ca="1">IF(OR($D128&lt;&gt;"Serviço",AND(AUTOEVENTO="Manual",$M128=$A$15)),0,
         IF(OFFSET(CRONOPLE!$F$15,$M128-$A$15,BI$13)=0,10^12,OFFSET(CRONOPLE!$F$15,$M128-$A$15,BI$13)))</f>
        <v>0</v>
      </c>
      <c r="BJ128" s="171">
        <f ca="1">IF(OR($D128&lt;&gt;"Serviço",AND(AUTOEVENTO="Manual",$M128=$A$15)),0,
         IF(OFFSET(CRONOPLE!$F$15,$M128-$A$15,BJ$13)=0,10^12,OFFSET(CRONOPLE!$F$15,$M128-$A$15,BJ$13)))</f>
        <v>0</v>
      </c>
      <c r="BK128" s="171">
        <f ca="1">IF(OR($D128&lt;&gt;"Serviço",AND(AUTOEVENTO="Manual",$M128=$A$15)),0,
         IF(OFFSET(CRONOPLE!$F$15,$M128-$A$15,BK$13)=0,10^12,OFFSET(CRONOPLE!$F$15,$M128-$A$15,BK$13)))</f>
        <v>0</v>
      </c>
      <c r="BL128" s="171">
        <f ca="1">IF(OR($D128&lt;&gt;"Serviço",AND(AUTOEVENTO="Manual",$M128=$A$15)),0,
         IF(OFFSET(CRONOPLE!$F$15,$M128-$A$15,BL$13)=0,10^12,OFFSET(CRONOPLE!$F$15,$M128-$A$15,BL$13)))</f>
        <v>0</v>
      </c>
      <c r="BM128" s="171">
        <f ca="1">IF(OR($D128&lt;&gt;"Serviço",AND(AUTOEVENTO="Manual",$M128=$A$15)),0,
         IF(OFFSET(CRONOPLE!$F$15,$M128-$A$15,BM$13)=0,10^12,OFFSET(CRONOPLE!$F$15,$M128-$A$15,BM$13)))</f>
        <v>0</v>
      </c>
      <c r="BN128" s="171">
        <f ca="1">IF(OR($D128&lt;&gt;"Serviço",AND(AUTOEVENTO="Manual",$M128=$A$15)),0,
         IF(OFFSET(CRONOPLE!$F$15,$M128-$A$15,BN$13)=0,10^12,OFFSET(CRONOPLE!$F$15,$M128-$A$15,BN$13)))</f>
        <v>0</v>
      </c>
      <c r="BO128" s="171">
        <f ca="1">IF(OR($D128&lt;&gt;"Serviço",AND(AUTOEVENTO="Manual",$M128=$A$15)),0,
         IF(OFFSET(CRONOPLE!$F$15,$M128-$A$15,BO$13)=0,10^12,OFFSET(CRONOPLE!$F$15,$M128-$A$15,BO$13)))</f>
        <v>0</v>
      </c>
      <c r="BP128" s="171">
        <f ca="1">IF(OR($D128&lt;&gt;"Serviço",AND(AUTOEVENTO="Manual",$M128=$A$15)),0,
         IF(OFFSET(CRONOPLE!$F$15,$M128-$A$15,BP$13)=0,10^12,OFFSET(CRONOPLE!$F$15,$M128-$A$15,BP$13)))</f>
        <v>0</v>
      </c>
      <c r="BQ128" s="171">
        <f ca="1">IF(OR($D128&lt;&gt;"Serviço",AND(AUTOEVENTO="Manual",$M128=$A$15)),0,
         IF(OFFSET(CRONOPLE!$F$15,$M128-$A$15,BQ$13)=0,10^12,OFFSET(CRONOPLE!$F$15,$M128-$A$15,BQ$13)))</f>
        <v>0</v>
      </c>
      <c r="BR128" s="171">
        <f ca="1">IF(OR($D128&lt;&gt;"Serviço",AND(AUTOEVENTO="Manual",$M128=$A$15)),0,
         IF(OFFSET(CRONOPLE!$F$15,$M128-$A$15,BR$13)=0,10^12,OFFSET(CRONOPLE!$F$15,$M128-$A$15,BR$13)))</f>
        <v>0</v>
      </c>
      <c r="BS128" s="171">
        <f ca="1">IF(OR($D128&lt;&gt;"Serviço",AND(AUTOEVENTO="Manual",$M128=$A$15)),0,
         IF(OFFSET(CRONOPLE!$F$15,$M128-$A$15,BS$13)=0,10^12,OFFSET(CRONOPLE!$F$15,$M128-$A$15,BS$13)))</f>
        <v>0</v>
      </c>
      <c r="BT128" s="171">
        <f ca="1">IF(OR($D128&lt;&gt;"Serviço",AND(AUTOEVENTO="Manual",$M128=$A$15)),0,
         IF(OFFSET(CRONOPLE!$F$15,$M128-$A$15,BT$13)=0,10^12,OFFSET(CRONOPLE!$F$15,$M128-$A$15,BT$13)))</f>
        <v>0</v>
      </c>
      <c r="BV128" s="172">
        <f ca="1">IF(OR($D128&lt;&gt;"Serviço",AND(AUTOEVENTO="Manual",$M128=$A$15),$M128&gt;(ROW(PLE.lastrow)-ROW(PLE.firstrow))),0,
           IF(OFFSET(PLE!$G$15,$M128-$A$15,BV$13)="",10^12,OFFSET(PLE!$G$15,$M128-$A$15,BV$13)))</f>
        <v>0</v>
      </c>
      <c r="BW128" s="172">
        <f ca="1">IF(OR($D128&lt;&gt;"Serviço",AND(AUTOEVENTO="Manual",$M128=$A$15),$M128&gt;(ROW(PLE.lastrow)-ROW(PLE.firstrow))),0,
           IF(OFFSET(PLE!$G$15,$M128-$A$15,BW$13)="",10^12,OFFSET(PLE!$G$15,$M128-$A$15,BW$13)))</f>
        <v>0</v>
      </c>
      <c r="BX128" s="172">
        <f ca="1">IF(OR($D128&lt;&gt;"Serviço",AND(AUTOEVENTO="Manual",$M128=$A$15),$M128&gt;(ROW(PLE.lastrow)-ROW(PLE.firstrow))),0,
           IF(OFFSET(PLE!$G$15,$M128-$A$15,BX$13)="",10^12,OFFSET(PLE!$G$15,$M128-$A$15,BX$13)))</f>
        <v>0</v>
      </c>
      <c r="BY128" s="172">
        <f ca="1">IF(OR($D128&lt;&gt;"Serviço",AND(AUTOEVENTO="Manual",$M128=$A$15),$M128&gt;(ROW(PLE.lastrow)-ROW(PLE.firstrow))),0,
           IF(OFFSET(PLE!$G$15,$M128-$A$15,BY$13)="",10^12,OFFSET(PLE!$G$15,$M128-$A$15,BY$13)))</f>
        <v>0</v>
      </c>
      <c r="BZ128" s="172">
        <f ca="1">IF(OR($D128&lt;&gt;"Serviço",AND(AUTOEVENTO="Manual",$M128=$A$15),$M128&gt;(ROW(PLE.lastrow)-ROW(PLE.firstrow))),0,
           IF(OFFSET(PLE!$G$15,$M128-$A$15,BZ$13)="",10^12,OFFSET(PLE!$G$15,$M128-$A$15,BZ$13)))</f>
        <v>0</v>
      </c>
      <c r="CA128" s="172">
        <f ca="1">IF(OR($D128&lt;&gt;"Serviço",AND(AUTOEVENTO="Manual",$M128=$A$15),$M128&gt;(ROW(PLE.lastrow)-ROW(PLE.firstrow))),0,
           IF(OFFSET(PLE!$G$15,$M128-$A$15,CA$13)="",10^12,OFFSET(PLE!$G$15,$M128-$A$15,CA$13)))</f>
        <v>0</v>
      </c>
      <c r="CB128" s="172">
        <f ca="1">IF(OR($D128&lt;&gt;"Serviço",AND(AUTOEVENTO="Manual",$M128=$A$15),$M128&gt;(ROW(PLE.lastrow)-ROW(PLE.firstrow))),0,
           IF(OFFSET(PLE!$G$15,$M128-$A$15,CB$13)="",10^12,OFFSET(PLE!$G$15,$M128-$A$15,CB$13)))</f>
        <v>0</v>
      </c>
      <c r="CC128" s="172">
        <f ca="1">IF(OR($D128&lt;&gt;"Serviço",AND(AUTOEVENTO="Manual",$M128=$A$15),$M128&gt;(ROW(PLE.lastrow)-ROW(PLE.firstrow))),0,
           IF(OFFSET(PLE!$G$15,$M128-$A$15,CC$13)="",10^12,OFFSET(PLE!$G$15,$M128-$A$15,CC$13)))</f>
        <v>0</v>
      </c>
      <c r="CD128" s="172">
        <f ca="1">IF(OR($D128&lt;&gt;"Serviço",AND(AUTOEVENTO="Manual",$M128=$A$15),$M128&gt;(ROW(PLE.lastrow)-ROW(PLE.firstrow))),0,
           IF(OFFSET(PLE!$G$15,$M128-$A$15,CD$13)="",10^12,OFFSET(PLE!$G$15,$M128-$A$15,CD$13)))</f>
        <v>0</v>
      </c>
      <c r="CE128" s="172">
        <f ca="1">IF(OR($D128&lt;&gt;"Serviço",AND(AUTOEVENTO="Manual",$M128=$A$15),$M128&gt;(ROW(PLE.lastrow)-ROW(PLE.firstrow))),0,
           IF(OFFSET(PLE!$G$15,$M128-$A$15,CE$13)="",10^12,OFFSET(PLE!$G$15,$M128-$A$15,CE$13)))</f>
        <v>0</v>
      </c>
      <c r="CF128" s="172">
        <f ca="1">IF(OR($D128&lt;&gt;"Serviço",AND(AUTOEVENTO="Manual",$M128=$A$15),$M128&gt;(ROW(PLE.lastrow)-ROW(PLE.firstrow))),0,
           IF(OFFSET(PLE!$G$15,$M128-$A$15,CF$13)="",10^12,OFFSET(PLE!$G$15,$M128-$A$15,CF$13)))</f>
        <v>0</v>
      </c>
      <c r="CG128" s="172">
        <f ca="1">IF(OR($D128&lt;&gt;"Serviço",AND(AUTOEVENTO="Manual",$M128=$A$15),$M128&gt;(ROW(PLE.lastrow)-ROW(PLE.firstrow))),0,
           IF(OFFSET(PLE!$G$15,$M128-$A$15,CG$13)="",10^12,OFFSET(PLE!$G$15,$M128-$A$15,CG$13)))</f>
        <v>0</v>
      </c>
      <c r="CH128" s="172">
        <f ca="1">IF(OR($D128&lt;&gt;"Serviço",AND(AUTOEVENTO="Manual",$M128=$A$15),$M128&gt;(ROW(PLE.lastrow)-ROW(PLE.firstrow))),0,
           IF(OFFSET(PLE!$G$15,$M128-$A$15,CH$13)="",10^12,OFFSET(PLE!$G$15,$M128-$A$15,CH$13)))</f>
        <v>0</v>
      </c>
      <c r="CI128" s="172">
        <f ca="1">IF(OR($D128&lt;&gt;"Serviço",AND(AUTOEVENTO="Manual",$M128=$A$15),$M128&gt;(ROW(PLE.lastrow)-ROW(PLE.firstrow))),0,
           IF(OFFSET(PLE!$G$15,$M128-$A$15,CI$13)="",10^12,OFFSET(PLE!$G$15,$M128-$A$15,CI$13)))</f>
        <v>0</v>
      </c>
      <c r="CJ128" s="172">
        <f ca="1">IF(OR($D128&lt;&gt;"Serviço",AND(AUTOEVENTO="Manual",$M128=$A$15),$M128&gt;(ROW(PLE.lastrow)-ROW(PLE.firstrow))),0,
           IF(OFFSET(PLE!$G$15,$M128-$A$15,CJ$13)="",10^12,OFFSET(PLE!$G$15,$M128-$A$15,CJ$13)))</f>
        <v>0</v>
      </c>
      <c r="CK128" s="172">
        <f ca="1">IF(OR($D128&lt;&gt;"Serviço",AND(AUTOEVENTO="Manual",$M128=$A$15),$M128&gt;(ROW(PLE.lastrow)-ROW(PLE.firstrow))),0,
           IF(OFFSET(PLE!$G$15,$M128-$A$15,CK$13)="",10^12,OFFSET(PLE!$G$15,$M128-$A$15,CK$13)))</f>
        <v>0</v>
      </c>
      <c r="CL128" s="172">
        <f ca="1">IF(OR($D128&lt;&gt;"Serviço",AND(AUTOEVENTO="Manual",$M128=$A$15),$M128&gt;(ROW(PLE.lastrow)-ROW(PLE.firstrow))),0,
           IF(OFFSET(PLE!$G$15,$M128-$A$15,CL$13)="",10^12,OFFSET(PLE!$G$15,$M128-$A$15,CL$13)))</f>
        <v>0</v>
      </c>
      <c r="CM128" s="172">
        <f ca="1">IF(OR($D128&lt;&gt;"Serviço",AND(AUTOEVENTO="Manual",$M128=$A$15),$M128&gt;(ROW(PLE.lastrow)-ROW(PLE.firstrow))),0,
           IF(OFFSET(PLE!$G$15,$M128-$A$15,CM$13)="",10^12,OFFSET(PLE!$G$15,$M128-$A$15,CM$13)))</f>
        <v>0</v>
      </c>
    </row>
    <row r="129" spans="1:91" ht="26.4" x14ac:dyDescent="0.25">
      <c r="A129" s="7" t="str">
        <f t="shared" ca="1" si="11"/>
        <v>113</v>
      </c>
      <c r="B129" s="7" t="str">
        <f ca="1">OFFSET(ORÇAMENTO!C$15,ROW(B129)-ROW(B$15),0)</f>
        <v>S</v>
      </c>
      <c r="C129" s="7" t="str">
        <f ca="1">OFFSET(ORÇAMENTO!L$15,ROW(C129)-ROW(C$15),0)</f>
        <v>F</v>
      </c>
      <c r="D129" s="116" t="str">
        <f ca="1">OFFSET(ORÇAMENTO!N$15,ROW(D129)-ROW(D$15),0)</f>
        <v>Serviço</v>
      </c>
      <c r="E129" s="117" t="str">
        <f ca="1">OFFSET(ORÇAMENTO!O$15,ROW(E129)-ROW(E$15),0)</f>
        <v>3.5.1.</v>
      </c>
      <c r="F129" s="163" t="str">
        <f ca="1">OFFSET(ORÇAMENTO!R$15,ROW(F129)-ROW(F$15),0)</f>
        <v>ENSAIO DE DETERMINAÇÃO DO TEOR DE BETUME - SOXHLET - CIMENTO ASFALTICO DE PETROLEO</v>
      </c>
      <c r="G129" s="164" t="str">
        <f ca="1">IF($D129&lt;&gt;"Serviço","",OFFSET(ORÇAMENTO!S$15,ROW(G129)-ROW(G$15),0))</f>
        <v>UN</v>
      </c>
      <c r="H129" s="122" cm="1">
        <f t="array" aca="1" ref="H129" ca="1">IF($D129&lt;&gt;"Serviço",0,IF(ACOMPANHAMENTO="BM",ROUND(OFFSET(ORÇAMENTO!AJ$15,ROW(H129)-ROW(H$15),0),15-13*ORÇAMENTO!$AF$7),SUMPRODUCT(($Q$1:$AI$1=1)*ROUND($Q129:$AI129,15-13*ORÇAMENTO!$AF$7))))</f>
        <v>1</v>
      </c>
      <c r="I129" s="468"/>
      <c r="J129" s="651" t="e" cm="1">
        <f t="array" aca="1" ref="J129" ca="1">IF(OR(B129&lt;&gt;"S",CÁLCULO.FrentesPreenchidas=0),"",IF(AND(ACOMPANHAMENTO="PLE",AUTOEVENTO="Manual",OR(H129&gt;0,ORÇAMENTO!AC129="QUANT."),OR(K129="",M129=0,N129="")),"►E",IF(AND(ACOMPANHAMENTO="PLE",ORÇAMENTO!AC129="QUANT."),"►Q",IF(AND(ACOMPANHAMENTO="PLE",H129&lt;&gt;SUMPRODUCT(($Q$1:$AI$1=1)*ROUND(Q129:AI129,15))),"►S",IF(AND(COUNTIF($P$11:$AI$11,"▼")=0,H129&gt;0,I129=""),"◄M","")))))</f>
        <v>#NAME?</v>
      </c>
      <c r="K129" s="652"/>
      <c r="L129" s="165" t="s">
        <v>764</v>
      </c>
      <c r="M129" s="166">
        <f ca="1">IF($D129&lt;&gt;"Serviço","",
          IF(AUTOEVENTO="manual",$A129,
                IF(ISERROR(MATCH($A129,$A$15:OFFSET($A129,-1,0),0)),MAX($M$15:OFFSET(M129,-1,0))+1,
                      INDEX($M$15:OFFSET(M129,-1,0),MATCH($A129,$A$15:OFFSET($A129,-1,0),0)))))</f>
        <v>18</v>
      </c>
      <c r="N129" s="167" t="str">
        <f ca="1">IF($D129&lt;&gt;"Serviço","",
         IF(AUTOEVENTO="Manual",
                IF($A129=0,"&lt;-- defina o número do agrupador",
                       OFFSET(EVENTOS!$D$15,$A129-$A$15,0)),
                OFFSET($F$15,$A129,0)))</f>
        <v>ENSAIOS</v>
      </c>
      <c r="O129" s="168"/>
      <c r="Q129" s="168"/>
      <c r="R129" s="169"/>
      <c r="S129" s="169"/>
      <c r="T129" s="169"/>
      <c r="U129" s="169">
        <v>1</v>
      </c>
      <c r="V129" s="169"/>
      <c r="W129" s="169"/>
      <c r="X129" s="169"/>
      <c r="Y129" s="169"/>
      <c r="Z129" s="170"/>
      <c r="AA129" s="169"/>
      <c r="AB129" s="169"/>
      <c r="AC129" s="169"/>
      <c r="AD129" s="169"/>
      <c r="AE129" s="169"/>
      <c r="AF129" s="169"/>
      <c r="AG129" s="169"/>
      <c r="AH129" s="170"/>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L129" s="453">
        <f ca="1">IF(AND($D129="Serviço",AL$12&lt;&gt;0,$H129&gt;0,OR(AUTOEVENTO&lt;&gt;"manual",$M129&lt;&gt;$A$15)),
        IF(Import.TipoArredondamento&lt;&gt;"TransfereGOV",
              ROUND(OFFSET($P129,0,AL$13),15-13*ORÇAMENTO!$AF$7)/$H129*OFFSET(ORÇAMENTO!$X$15,ROW(AL129)-ROW(AL$15),0),
              ROUND(ROUND(OFFSET($P129,0,AL$13),15-13*ORÇAMENTO!$AF$7)*OFFSET(ORÇAMENTO!$W$15,ROW(AL129)-ROW(AL$15),0),15-13*ORÇAMENTO!$AF$11)),
         0)</f>
        <v>0</v>
      </c>
      <c r="AM129" s="453">
        <f ca="1">IF(AND($D129="Serviço",AM$12&lt;&gt;0,$H129&gt;0,OR(AUTOEVENTO&lt;&gt;"manual",$M129&lt;&gt;$A$15)),
        IF(Import.TipoArredondamento&lt;&gt;"TransfereGOV",
              ROUND(OFFSET($P129,0,AM$13),15-13*ORÇAMENTO!$AF$7)/$H129*OFFSET(ORÇAMENTO!$X$15,ROW(AM129)-ROW(AM$15),0),
              ROUND(ROUND(OFFSET($P129,0,AM$13),15-13*ORÇAMENTO!$AF$7)*OFFSET(ORÇAMENTO!$W$15,ROW(AM129)-ROW(AM$15),0),15-13*ORÇAMENTO!$AF$11)),
         0)</f>
        <v>0</v>
      </c>
      <c r="AN129" s="453">
        <f ca="1">IF(AND($D129="Serviço",AN$12&lt;&gt;0,$H129&gt;0,OR(AUTOEVENTO&lt;&gt;"manual",$M129&lt;&gt;$A$15)),
        IF(Import.TipoArredondamento&lt;&gt;"TransfereGOV",
              ROUND(OFFSET($P129,0,AN$13),15-13*ORÇAMENTO!$AF$7)/$H129*OFFSET(ORÇAMENTO!$X$15,ROW(AN129)-ROW(AN$15),0),
              ROUND(ROUND(OFFSET($P129,0,AN$13),15-13*ORÇAMENTO!$AF$7)*OFFSET(ORÇAMENTO!$W$15,ROW(AN129)-ROW(AN$15),0),15-13*ORÇAMENTO!$AF$11)),
         0)</f>
        <v>260.79000000000002</v>
      </c>
      <c r="AO129" s="453">
        <f ca="1">IF(AND($D129="Serviço",AO$12&lt;&gt;0,$H129&gt;0,OR(AUTOEVENTO&lt;&gt;"manual",$M129&lt;&gt;$A$15)),
        IF(Import.TipoArredondamento&lt;&gt;"TransfereGOV",
              ROUND(OFFSET($P129,0,AO$13),15-13*ORÇAMENTO!$AF$7)/$H129*OFFSET(ORÇAMENTO!$X$15,ROW(AO129)-ROW(AO$15),0),
              ROUND(ROUND(OFFSET($P129,0,AO$13),15-13*ORÇAMENTO!$AF$7)*OFFSET(ORÇAMENTO!$W$15,ROW(AO129)-ROW(AO$15),0),15-13*ORÇAMENTO!$AF$11)),
         0)</f>
        <v>0</v>
      </c>
      <c r="AP129" s="453">
        <f ca="1">IF(AND($D129="Serviço",AP$12&lt;&gt;0,$H129&gt;0,OR(AUTOEVENTO&lt;&gt;"manual",$M129&lt;&gt;$A$15)),
        IF(Import.TipoArredondamento&lt;&gt;"TransfereGOV",
              ROUND(OFFSET($P129,0,AP$13),15-13*ORÇAMENTO!$AF$7)/$H129*OFFSET(ORÇAMENTO!$X$15,ROW(AP129)-ROW(AP$15),0),
              ROUND(ROUND(OFFSET($P129,0,AP$13),15-13*ORÇAMENTO!$AF$7)*OFFSET(ORÇAMENTO!$W$15,ROW(AP129)-ROW(AP$15),0),15-13*ORÇAMENTO!$AF$11)),
         0)</f>
        <v>0</v>
      </c>
      <c r="AQ129" s="453">
        <f ca="1">IF(AND($D129="Serviço",AQ$12&lt;&gt;0,$H129&gt;0,OR(AUTOEVENTO&lt;&gt;"manual",$M129&lt;&gt;$A$15)),
        IF(Import.TipoArredondamento&lt;&gt;"TransfereGOV",
              ROUND(OFFSET($P129,0,AQ$13),15-13*ORÇAMENTO!$AF$7)/$H129*OFFSET(ORÇAMENTO!$X$15,ROW(AQ129)-ROW(AQ$15),0),
              ROUND(ROUND(OFFSET($P129,0,AQ$13),15-13*ORÇAMENTO!$AF$7)*OFFSET(ORÇAMENTO!$W$15,ROW(AQ129)-ROW(AQ$15),0),15-13*ORÇAMENTO!$AF$11)),
         0)</f>
        <v>0</v>
      </c>
      <c r="AR129" s="453">
        <f ca="1">IF(AND($D129="Serviço",AR$12&lt;&gt;0,$H129&gt;0,OR(AUTOEVENTO&lt;&gt;"manual",$M129&lt;&gt;$A$15)),
        IF(Import.TipoArredondamento&lt;&gt;"TransfereGOV",
              ROUND(OFFSET($P129,0,AR$13),15-13*ORÇAMENTO!$AF$7)/$H129*OFFSET(ORÇAMENTO!$X$15,ROW(AR129)-ROW(AR$15),0),
              ROUND(ROUND(OFFSET($P129,0,AR$13),15-13*ORÇAMENTO!$AF$7)*OFFSET(ORÇAMENTO!$W$15,ROW(AR129)-ROW(AR$15),0),15-13*ORÇAMENTO!$AF$11)),
         0)</f>
        <v>0</v>
      </c>
      <c r="AS129" s="453">
        <f ca="1">IF(AND($D129="Serviço",AS$12&lt;&gt;0,$H129&gt;0,OR(AUTOEVENTO&lt;&gt;"manual",$M129&lt;&gt;$A$15)),
        IF(Import.TipoArredondamento&lt;&gt;"TransfereGOV",
              ROUND(OFFSET($P129,0,AS$13),15-13*ORÇAMENTO!$AF$7)/$H129*OFFSET(ORÇAMENTO!$X$15,ROW(AS129)-ROW(AS$15),0),
              ROUND(ROUND(OFFSET($P129,0,AS$13),15-13*ORÇAMENTO!$AF$7)*OFFSET(ORÇAMENTO!$W$15,ROW(AS129)-ROW(AS$15),0),15-13*ORÇAMENTO!$AF$11)),
         0)</f>
        <v>0</v>
      </c>
      <c r="AT129" s="453">
        <f ca="1">IF(AND($D129="Serviço",AT$12&lt;&gt;0,$H129&gt;0,OR(AUTOEVENTO&lt;&gt;"manual",$M129&lt;&gt;$A$15)),
        IF(Import.TipoArredondamento&lt;&gt;"TransfereGOV",
              ROUND(OFFSET($P129,0,AT$13),15-13*ORÇAMENTO!$AF$7)/$H129*OFFSET(ORÇAMENTO!$X$15,ROW(AT129)-ROW(AT$15),0),
              ROUND(ROUND(OFFSET($P129,0,AT$13),15-13*ORÇAMENTO!$AF$7)*OFFSET(ORÇAMENTO!$W$15,ROW(AT129)-ROW(AT$15),0),15-13*ORÇAMENTO!$AF$11)),
         0)</f>
        <v>0</v>
      </c>
      <c r="AU129" s="453">
        <f ca="1">IF(AND($D129="Serviço",AU$12&lt;&gt;0,$H129&gt;0,OR(AUTOEVENTO&lt;&gt;"manual",$M129&lt;&gt;$A$15)),
        IF(Import.TipoArredondamento&lt;&gt;"TransfereGOV",
              ROUND(OFFSET($P129,0,AU$13),15-13*ORÇAMENTO!$AF$7)/$H129*OFFSET(ORÇAMENTO!$X$15,ROW(AU129)-ROW(AU$15),0),
              ROUND(ROUND(OFFSET($P129,0,AU$13),15-13*ORÇAMENTO!$AF$7)*OFFSET(ORÇAMENTO!$W$15,ROW(AU129)-ROW(AU$15),0),15-13*ORÇAMENTO!$AF$11)),
         0)</f>
        <v>0</v>
      </c>
      <c r="AV129" s="453">
        <f ca="1">IF(AND($D129="Serviço",AV$12&lt;&gt;0,$H129&gt;0,OR(AUTOEVENTO&lt;&gt;"manual",$M129&lt;&gt;$A$15)),
        IF(Import.TipoArredondamento&lt;&gt;"TransfereGOV",
              ROUND(OFFSET($P129,0,AV$13),15-13*ORÇAMENTO!$AF$7)/$H129*OFFSET(ORÇAMENTO!$X$15,ROW(AV129)-ROW(AV$15),0),
              ROUND(ROUND(OFFSET($P129,0,AV$13),15-13*ORÇAMENTO!$AF$7)*OFFSET(ORÇAMENTO!$W$15,ROW(AV129)-ROW(AV$15),0),15-13*ORÇAMENTO!$AF$11)),
         0)</f>
        <v>0</v>
      </c>
      <c r="AW129" s="453">
        <f ca="1">IF(AND($D129="Serviço",AW$12&lt;&gt;0,$H129&gt;0,OR(AUTOEVENTO&lt;&gt;"manual",$M129&lt;&gt;$A$15)),
        IF(Import.TipoArredondamento&lt;&gt;"TransfereGOV",
              ROUND(OFFSET($P129,0,AW$13),15-13*ORÇAMENTO!$AF$7)/$H129*OFFSET(ORÇAMENTO!$X$15,ROW(AW129)-ROW(AW$15),0),
              ROUND(ROUND(OFFSET($P129,0,AW$13),15-13*ORÇAMENTO!$AF$7)*OFFSET(ORÇAMENTO!$W$15,ROW(AW129)-ROW(AW$15),0),15-13*ORÇAMENTO!$AF$11)),
         0)</f>
        <v>0</v>
      </c>
      <c r="AX129" s="453">
        <f ca="1">IF(AND($D129="Serviço",AX$12&lt;&gt;0,$H129&gt;0,OR(AUTOEVENTO&lt;&gt;"manual",$M129&lt;&gt;$A$15)),
        IF(Import.TipoArredondamento&lt;&gt;"TransfereGOV",
              ROUND(OFFSET($P129,0,AX$13),15-13*ORÇAMENTO!$AF$7)/$H129*OFFSET(ORÇAMENTO!$X$15,ROW(AX129)-ROW(AX$15),0),
              ROUND(ROUND(OFFSET($P129,0,AX$13),15-13*ORÇAMENTO!$AF$7)*OFFSET(ORÇAMENTO!$W$15,ROW(AX129)-ROW(AX$15),0),15-13*ORÇAMENTO!$AF$11)),
         0)</f>
        <v>0</v>
      </c>
      <c r="AY129" s="453">
        <f ca="1">IF(AND($D129="Serviço",AY$12&lt;&gt;0,$H129&gt;0,OR(AUTOEVENTO&lt;&gt;"manual",$M129&lt;&gt;$A$15)),
        IF(Import.TipoArredondamento&lt;&gt;"TransfereGOV",
              ROUND(OFFSET($P129,0,AY$13),15-13*ORÇAMENTO!$AF$7)/$H129*OFFSET(ORÇAMENTO!$X$15,ROW(AY129)-ROW(AY$15),0),
              ROUND(ROUND(OFFSET($P129,0,AY$13),15-13*ORÇAMENTO!$AF$7)*OFFSET(ORÇAMENTO!$W$15,ROW(AY129)-ROW(AY$15),0),15-13*ORÇAMENTO!$AF$11)),
         0)</f>
        <v>0</v>
      </c>
      <c r="AZ129" s="453">
        <f ca="1">IF(AND($D129="Serviço",AZ$12&lt;&gt;0,$H129&gt;0,OR(AUTOEVENTO&lt;&gt;"manual",$M129&lt;&gt;$A$15)),
        IF(Import.TipoArredondamento&lt;&gt;"TransfereGOV",
              ROUND(OFFSET($P129,0,AZ$13),15-13*ORÇAMENTO!$AF$7)/$H129*OFFSET(ORÇAMENTO!$X$15,ROW(AZ129)-ROW(AZ$15),0),
              ROUND(ROUND(OFFSET($P129,0,AZ$13),15-13*ORÇAMENTO!$AF$7)*OFFSET(ORÇAMENTO!$W$15,ROW(AZ129)-ROW(AZ$15),0),15-13*ORÇAMENTO!$AF$11)),
         0)</f>
        <v>0</v>
      </c>
      <c r="BA129" s="453">
        <f ca="1">IF(AND($D129="Serviço",BA$12&lt;&gt;0,$H129&gt;0,OR(AUTOEVENTO&lt;&gt;"manual",$M129&lt;&gt;$A$15)),
        IF(Import.TipoArredondamento&lt;&gt;"TransfereGOV",
              ROUND(OFFSET($P129,0,BA$13),15-13*ORÇAMENTO!$AF$7)/$H129*OFFSET(ORÇAMENTO!$X$15,ROW(BA129)-ROW(BA$15),0),
              ROUND(ROUND(OFFSET($P129,0,BA$13),15-13*ORÇAMENTO!$AF$7)*OFFSET(ORÇAMENTO!$W$15,ROW(BA129)-ROW(BA$15),0),15-13*ORÇAMENTO!$AF$11)),
         0)</f>
        <v>0</v>
      </c>
      <c r="BC129" s="171">
        <f ca="1">IF(OR($D129&lt;&gt;"Serviço",AND(AUTOEVENTO="Manual",$M129=$A$15)),0,
         IF(OFFSET(CRONOPLE!$F$15,$M129-$A$15,BC$13)=0,10^12,OFFSET(CRONOPLE!$F$15,$M129-$A$15,BC$13)))</f>
        <v>1000000000000</v>
      </c>
      <c r="BD129" s="171">
        <f ca="1">IF(OR($D129&lt;&gt;"Serviço",AND(AUTOEVENTO="Manual",$M129=$A$15)),0,
         IF(OFFSET(CRONOPLE!$F$15,$M129-$A$15,BD$13)=0,10^12,OFFSET(CRONOPLE!$F$15,$M129-$A$15,BD$13)))</f>
        <v>1000000000000</v>
      </c>
      <c r="BE129" s="171">
        <f ca="1">IF(OR($D129&lt;&gt;"Serviço",AND(AUTOEVENTO="Manual",$M129=$A$15)),0,
         IF(OFFSET(CRONOPLE!$F$15,$M129-$A$15,BE$13)=0,10^12,OFFSET(CRONOPLE!$F$15,$M129-$A$15,BE$13)))</f>
        <v>1000000000000</v>
      </c>
      <c r="BF129" s="171">
        <f ca="1">IF(OR($D129&lt;&gt;"Serviço",AND(AUTOEVENTO="Manual",$M129=$A$15)),0,
         IF(OFFSET(CRONOPLE!$F$15,$M129-$A$15,BF$13)=0,10^12,OFFSET(CRONOPLE!$F$15,$M129-$A$15,BF$13)))</f>
        <v>1000000000000</v>
      </c>
      <c r="BG129" s="171">
        <f ca="1">IF(OR($D129&lt;&gt;"Serviço",AND(AUTOEVENTO="Manual",$M129=$A$15)),0,
         IF(OFFSET(CRONOPLE!$F$15,$M129-$A$15,BG$13)=0,10^12,OFFSET(CRONOPLE!$F$15,$M129-$A$15,BG$13)))</f>
        <v>3</v>
      </c>
      <c r="BH129" s="171">
        <f ca="1">IF(OR($D129&lt;&gt;"Serviço",AND(AUTOEVENTO="Manual",$M129=$A$15)),0,
         IF(OFFSET(CRONOPLE!$F$15,$M129-$A$15,BH$13)=0,10^12,OFFSET(CRONOPLE!$F$15,$M129-$A$15,BH$13)))</f>
        <v>1000000000000</v>
      </c>
      <c r="BI129" s="171">
        <f ca="1">IF(OR($D129&lt;&gt;"Serviço",AND(AUTOEVENTO="Manual",$M129=$A$15)),0,
         IF(OFFSET(CRONOPLE!$F$15,$M129-$A$15,BI$13)=0,10^12,OFFSET(CRONOPLE!$F$15,$M129-$A$15,BI$13)))</f>
        <v>1000000000000</v>
      </c>
      <c r="BJ129" s="171">
        <f ca="1">IF(OR($D129&lt;&gt;"Serviço",AND(AUTOEVENTO="Manual",$M129=$A$15)),0,
         IF(OFFSET(CRONOPLE!$F$15,$M129-$A$15,BJ$13)=0,10^12,OFFSET(CRONOPLE!$F$15,$M129-$A$15,BJ$13)))</f>
        <v>1000000000000</v>
      </c>
      <c r="BK129" s="171">
        <f ca="1">IF(OR($D129&lt;&gt;"Serviço",AND(AUTOEVENTO="Manual",$M129=$A$15)),0,
         IF(OFFSET(CRONOPLE!$F$15,$M129-$A$15,BK$13)=0,10^12,OFFSET(CRONOPLE!$F$15,$M129-$A$15,BK$13)))</f>
        <v>1000000000000</v>
      </c>
      <c r="BL129" s="171">
        <f ca="1">IF(OR($D129&lt;&gt;"Serviço",AND(AUTOEVENTO="Manual",$M129=$A$15)),0,
         IF(OFFSET(CRONOPLE!$F$15,$M129-$A$15,BL$13)=0,10^12,OFFSET(CRONOPLE!$F$15,$M129-$A$15,BL$13)))</f>
        <v>1000000000000</v>
      </c>
      <c r="BM129" s="171">
        <f ca="1">IF(OR($D129&lt;&gt;"Serviço",AND(AUTOEVENTO="Manual",$M129=$A$15)),0,
         IF(OFFSET(CRONOPLE!$F$15,$M129-$A$15,BM$13)=0,10^12,OFFSET(CRONOPLE!$F$15,$M129-$A$15,BM$13)))</f>
        <v>1000000000000</v>
      </c>
      <c r="BN129" s="171">
        <f ca="1">IF(OR($D129&lt;&gt;"Serviço",AND(AUTOEVENTO="Manual",$M129=$A$15)),0,
         IF(OFFSET(CRONOPLE!$F$15,$M129-$A$15,BN$13)=0,10^12,OFFSET(CRONOPLE!$F$15,$M129-$A$15,BN$13)))</f>
        <v>1000000000000</v>
      </c>
      <c r="BO129" s="171">
        <f ca="1">IF(OR($D129&lt;&gt;"Serviço",AND(AUTOEVENTO="Manual",$M129=$A$15)),0,
         IF(OFFSET(CRONOPLE!$F$15,$M129-$A$15,BO$13)=0,10^12,OFFSET(CRONOPLE!$F$15,$M129-$A$15,BO$13)))</f>
        <v>1000000000000</v>
      </c>
      <c r="BP129" s="171">
        <f ca="1">IF(OR($D129&lt;&gt;"Serviço",AND(AUTOEVENTO="Manual",$M129=$A$15)),0,
         IF(OFFSET(CRONOPLE!$F$15,$M129-$A$15,BP$13)=0,10^12,OFFSET(CRONOPLE!$F$15,$M129-$A$15,BP$13)))</f>
        <v>1000000000000</v>
      </c>
      <c r="BQ129" s="171">
        <f ca="1">IF(OR($D129&lt;&gt;"Serviço",AND(AUTOEVENTO="Manual",$M129=$A$15)),0,
         IF(OFFSET(CRONOPLE!$F$15,$M129-$A$15,BQ$13)=0,10^12,OFFSET(CRONOPLE!$F$15,$M129-$A$15,BQ$13)))</f>
        <v>1000000000000</v>
      </c>
      <c r="BR129" s="171">
        <f ca="1">IF(OR($D129&lt;&gt;"Serviço",AND(AUTOEVENTO="Manual",$M129=$A$15)),0,
         IF(OFFSET(CRONOPLE!$F$15,$M129-$A$15,BR$13)=0,10^12,OFFSET(CRONOPLE!$F$15,$M129-$A$15,BR$13)))</f>
        <v>1000000000000</v>
      </c>
      <c r="BS129" s="171">
        <f ca="1">IF(OR($D129&lt;&gt;"Serviço",AND(AUTOEVENTO="Manual",$M129=$A$15)),0,
         IF(OFFSET(CRONOPLE!$F$15,$M129-$A$15,BS$13)=0,10^12,OFFSET(CRONOPLE!$F$15,$M129-$A$15,BS$13)))</f>
        <v>1000000000000</v>
      </c>
      <c r="BT129" s="171">
        <f ca="1">IF(OR($D129&lt;&gt;"Serviço",AND(AUTOEVENTO="Manual",$M129=$A$15)),0,
         IF(OFFSET(CRONOPLE!$F$15,$M129-$A$15,BT$13)=0,10^12,OFFSET(CRONOPLE!$F$15,$M129-$A$15,BT$13)))</f>
        <v>1000000000000</v>
      </c>
      <c r="BV129" s="172">
        <f ca="1">IF(OR($D129&lt;&gt;"Serviço",AND(AUTOEVENTO="Manual",$M129=$A$15),$M129&gt;(ROW(PLE.lastrow)-ROW(PLE.firstrow))),0,
           IF(OFFSET(PLE!$G$15,$M129-$A$15,BV$13)="",10^12,OFFSET(PLE!$G$15,$M129-$A$15,BV$13)))</f>
        <v>1000000000000</v>
      </c>
      <c r="BW129" s="172">
        <f ca="1">IF(OR($D129&lt;&gt;"Serviço",AND(AUTOEVENTO="Manual",$M129=$A$15),$M129&gt;(ROW(PLE.lastrow)-ROW(PLE.firstrow))),0,
           IF(OFFSET(PLE!$G$15,$M129-$A$15,BW$13)="",10^12,OFFSET(PLE!$G$15,$M129-$A$15,BW$13)))</f>
        <v>1000000000000</v>
      </c>
      <c r="BX129" s="172">
        <f ca="1">IF(OR($D129&lt;&gt;"Serviço",AND(AUTOEVENTO="Manual",$M129=$A$15),$M129&gt;(ROW(PLE.lastrow)-ROW(PLE.firstrow))),0,
           IF(OFFSET(PLE!$G$15,$M129-$A$15,BX$13)="",10^12,OFFSET(PLE!$G$15,$M129-$A$15,BX$13)))</f>
        <v>1000000000000</v>
      </c>
      <c r="BY129" s="172">
        <f ca="1">IF(OR($D129&lt;&gt;"Serviço",AND(AUTOEVENTO="Manual",$M129=$A$15),$M129&gt;(ROW(PLE.lastrow)-ROW(PLE.firstrow))),0,
           IF(OFFSET(PLE!$G$15,$M129-$A$15,BY$13)="",10^12,OFFSET(PLE!$G$15,$M129-$A$15,BY$13)))</f>
        <v>1000000000000</v>
      </c>
      <c r="BZ129" s="172">
        <f ca="1">IF(OR($D129&lt;&gt;"Serviço",AND(AUTOEVENTO="Manual",$M129=$A$15),$M129&gt;(ROW(PLE.lastrow)-ROW(PLE.firstrow))),0,
           IF(OFFSET(PLE!$G$15,$M129-$A$15,BZ$13)="",10^12,OFFSET(PLE!$G$15,$M129-$A$15,BZ$13)))</f>
        <v>1000000000000</v>
      </c>
      <c r="CA129" s="172">
        <f ca="1">IF(OR($D129&lt;&gt;"Serviço",AND(AUTOEVENTO="Manual",$M129=$A$15),$M129&gt;(ROW(PLE.lastrow)-ROW(PLE.firstrow))),0,
           IF(OFFSET(PLE!$G$15,$M129-$A$15,CA$13)="",10^12,OFFSET(PLE!$G$15,$M129-$A$15,CA$13)))</f>
        <v>1000000000000</v>
      </c>
      <c r="CB129" s="172">
        <f ca="1">IF(OR($D129&lt;&gt;"Serviço",AND(AUTOEVENTO="Manual",$M129=$A$15),$M129&gt;(ROW(PLE.lastrow)-ROW(PLE.firstrow))),0,
           IF(OFFSET(PLE!$G$15,$M129-$A$15,CB$13)="",10^12,OFFSET(PLE!$G$15,$M129-$A$15,CB$13)))</f>
        <v>1000000000000</v>
      </c>
      <c r="CC129" s="172">
        <f ca="1">IF(OR($D129&lt;&gt;"Serviço",AND(AUTOEVENTO="Manual",$M129=$A$15),$M129&gt;(ROW(PLE.lastrow)-ROW(PLE.firstrow))),0,
           IF(OFFSET(PLE!$G$15,$M129-$A$15,CC$13)="",10^12,OFFSET(PLE!$G$15,$M129-$A$15,CC$13)))</f>
        <v>1000000000000</v>
      </c>
      <c r="CD129" s="172">
        <f ca="1">IF(OR($D129&lt;&gt;"Serviço",AND(AUTOEVENTO="Manual",$M129=$A$15),$M129&gt;(ROW(PLE.lastrow)-ROW(PLE.firstrow))),0,
           IF(OFFSET(PLE!$G$15,$M129-$A$15,CD$13)="",10^12,OFFSET(PLE!$G$15,$M129-$A$15,CD$13)))</f>
        <v>1000000000000</v>
      </c>
      <c r="CE129" s="172">
        <f ca="1">IF(OR($D129&lt;&gt;"Serviço",AND(AUTOEVENTO="Manual",$M129=$A$15),$M129&gt;(ROW(PLE.lastrow)-ROW(PLE.firstrow))),0,
           IF(OFFSET(PLE!$G$15,$M129-$A$15,CE$13)="",10^12,OFFSET(PLE!$G$15,$M129-$A$15,CE$13)))</f>
        <v>1000000000000</v>
      </c>
      <c r="CF129" s="172">
        <f ca="1">IF(OR($D129&lt;&gt;"Serviço",AND(AUTOEVENTO="Manual",$M129=$A$15),$M129&gt;(ROW(PLE.lastrow)-ROW(PLE.firstrow))),0,
           IF(OFFSET(PLE!$G$15,$M129-$A$15,CF$13)="",10^12,OFFSET(PLE!$G$15,$M129-$A$15,CF$13)))</f>
        <v>1000000000000</v>
      </c>
      <c r="CG129" s="172">
        <f ca="1">IF(OR($D129&lt;&gt;"Serviço",AND(AUTOEVENTO="Manual",$M129=$A$15),$M129&gt;(ROW(PLE.lastrow)-ROW(PLE.firstrow))),0,
           IF(OFFSET(PLE!$G$15,$M129-$A$15,CG$13)="",10^12,OFFSET(PLE!$G$15,$M129-$A$15,CG$13)))</f>
        <v>1000000000000</v>
      </c>
      <c r="CH129" s="172">
        <f ca="1">IF(OR($D129&lt;&gt;"Serviço",AND(AUTOEVENTO="Manual",$M129=$A$15),$M129&gt;(ROW(PLE.lastrow)-ROW(PLE.firstrow))),0,
           IF(OFFSET(PLE!$G$15,$M129-$A$15,CH$13)="",10^12,OFFSET(PLE!$G$15,$M129-$A$15,CH$13)))</f>
        <v>1000000000000</v>
      </c>
      <c r="CI129" s="172">
        <f ca="1">IF(OR($D129&lt;&gt;"Serviço",AND(AUTOEVENTO="Manual",$M129=$A$15),$M129&gt;(ROW(PLE.lastrow)-ROW(PLE.firstrow))),0,
           IF(OFFSET(PLE!$G$15,$M129-$A$15,CI$13)="",10^12,OFFSET(PLE!$G$15,$M129-$A$15,CI$13)))</f>
        <v>1000000000000</v>
      </c>
      <c r="CJ129" s="172">
        <f ca="1">IF(OR($D129&lt;&gt;"Serviço",AND(AUTOEVENTO="Manual",$M129=$A$15),$M129&gt;(ROW(PLE.lastrow)-ROW(PLE.firstrow))),0,
           IF(OFFSET(PLE!$G$15,$M129-$A$15,CJ$13)="",10^12,OFFSET(PLE!$G$15,$M129-$A$15,CJ$13)))</f>
        <v>1000000000000</v>
      </c>
      <c r="CK129" s="172">
        <f ca="1">IF(OR($D129&lt;&gt;"Serviço",AND(AUTOEVENTO="Manual",$M129=$A$15),$M129&gt;(ROW(PLE.lastrow)-ROW(PLE.firstrow))),0,
           IF(OFFSET(PLE!$G$15,$M129-$A$15,CK$13)="",10^12,OFFSET(PLE!$G$15,$M129-$A$15,CK$13)))</f>
        <v>1000000000000</v>
      </c>
      <c r="CL129" s="172">
        <f ca="1">IF(OR($D129&lt;&gt;"Serviço",AND(AUTOEVENTO="Manual",$M129=$A$15),$M129&gt;(ROW(PLE.lastrow)-ROW(PLE.firstrow))),0,
           IF(OFFSET(PLE!$G$15,$M129-$A$15,CL$13)="",10^12,OFFSET(PLE!$G$15,$M129-$A$15,CL$13)))</f>
        <v>1000000000000</v>
      </c>
      <c r="CM129" s="172">
        <f ca="1">IF(OR($D129&lt;&gt;"Serviço",AND(AUTOEVENTO="Manual",$M129=$A$15),$M129&gt;(ROW(PLE.lastrow)-ROW(PLE.firstrow))),0,
           IF(OFFSET(PLE!$G$15,$M129-$A$15,CM$13)="",10^12,OFFSET(PLE!$G$15,$M129-$A$15,CM$13)))</f>
        <v>1000000000000</v>
      </c>
    </row>
    <row r="130" spans="1:91" ht="13.2" x14ac:dyDescent="0.25">
      <c r="A130" s="7" t="str">
        <f t="shared" ca="1" si="11"/>
        <v>113</v>
      </c>
      <c r="B130" s="7" t="str">
        <f ca="1">OFFSET(ORÇAMENTO!C$15,ROW(B130)-ROW(B$15),0)</f>
        <v>S</v>
      </c>
      <c r="C130" s="7" t="str">
        <f ca="1">OFFSET(ORÇAMENTO!L$15,ROW(C130)-ROW(C$15),0)</f>
        <v>F</v>
      </c>
      <c r="D130" s="116" t="str">
        <f ca="1">OFFSET(ORÇAMENTO!N$15,ROW(D130)-ROW(D$15),0)</f>
        <v>Serviço</v>
      </c>
      <c r="E130" s="117" t="str">
        <f ca="1">OFFSET(ORÇAMENTO!O$15,ROW(E130)-ROW(E$15),0)</f>
        <v>3.5.2.</v>
      </c>
      <c r="F130" s="163" t="str">
        <f ca="1">OFFSET(ORÇAMENTO!R$15,ROW(F130)-ROW(F$15),0)</f>
        <v xml:space="preserve">ENSAIO MARSHALL - MISTURA BETUMINOSA À QUENTE </v>
      </c>
      <c r="G130" s="164" t="str">
        <f ca="1">IF($D130&lt;&gt;"Serviço","",OFFSET(ORÇAMENTO!S$15,ROW(G130)-ROW(G$15),0))</f>
        <v>UN</v>
      </c>
      <c r="H130" s="122" cm="1">
        <f t="array" aca="1" ref="H130" ca="1">IF($D130&lt;&gt;"Serviço",0,IF(ACOMPANHAMENTO="BM",ROUND(OFFSET(ORÇAMENTO!AJ$15,ROW(H130)-ROW(H$15),0),15-13*ORÇAMENTO!$AF$7),SUMPRODUCT(($Q$1:$AI$1=1)*ROUND($Q130:$AI130,15-13*ORÇAMENTO!$AF$7))))</f>
        <v>1</v>
      </c>
      <c r="I130" s="468"/>
      <c r="J130" s="651" t="e" cm="1">
        <f t="array" aca="1" ref="J130" ca="1">IF(OR(B130&lt;&gt;"S",CÁLCULO.FrentesPreenchidas=0),"",IF(AND(ACOMPANHAMENTO="PLE",AUTOEVENTO="Manual",OR(H130&gt;0,ORÇAMENTO!AC130="QUANT."),OR(K130="",M130=0,N130="")),"►E",IF(AND(ACOMPANHAMENTO="PLE",ORÇAMENTO!AC130="QUANT."),"►Q",IF(AND(ACOMPANHAMENTO="PLE",H130&lt;&gt;SUMPRODUCT(($Q$1:$AI$1=1)*ROUND(Q130:AI130,15))),"►S",IF(AND(COUNTIF($P$11:$AI$11,"▼")=0,H130&gt;0,I130=""),"◄M","")))))</f>
        <v>#NAME?</v>
      </c>
      <c r="K130" s="652"/>
      <c r="L130" s="165" t="s">
        <v>764</v>
      </c>
      <c r="M130" s="166">
        <f ca="1">IF($D130&lt;&gt;"Serviço","",
          IF(AUTOEVENTO="manual",$A130,
                IF(ISERROR(MATCH($A130,$A$15:OFFSET($A130,-1,0),0)),MAX($M$15:OFFSET(M130,-1,0))+1,
                      INDEX($M$15:OFFSET(M130,-1,0),MATCH($A130,$A$15:OFFSET($A130,-1,0),0)))))</f>
        <v>18</v>
      </c>
      <c r="N130" s="167" t="str">
        <f ca="1">IF($D130&lt;&gt;"Serviço","",
         IF(AUTOEVENTO="Manual",
                IF($A130=0,"&lt;-- defina o número do agrupador",
                       OFFSET(EVENTOS!$D$15,$A130-$A$15,0)),
                OFFSET($F$15,$A130,0)))</f>
        <v>ENSAIOS</v>
      </c>
      <c r="O130" s="168"/>
      <c r="Q130" s="168"/>
      <c r="R130" s="169"/>
      <c r="S130" s="169"/>
      <c r="T130" s="169"/>
      <c r="U130" s="169">
        <v>1</v>
      </c>
      <c r="V130" s="169"/>
      <c r="W130" s="169"/>
      <c r="X130" s="169"/>
      <c r="Y130" s="169"/>
      <c r="Z130" s="170"/>
      <c r="AA130" s="169"/>
      <c r="AB130" s="169"/>
      <c r="AC130" s="169"/>
      <c r="AD130" s="169"/>
      <c r="AE130" s="169"/>
      <c r="AF130" s="169"/>
      <c r="AG130" s="169"/>
      <c r="AH130" s="170"/>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L130" s="453">
        <f ca="1">IF(AND($D130="Serviço",AL$12&lt;&gt;0,$H130&gt;0,OR(AUTOEVENTO&lt;&gt;"manual",$M130&lt;&gt;$A$15)),
        IF(Import.TipoArredondamento&lt;&gt;"TransfereGOV",
              ROUND(OFFSET($P130,0,AL$13),15-13*ORÇAMENTO!$AF$7)/$H130*OFFSET(ORÇAMENTO!$X$15,ROW(AL130)-ROW(AL$15),0),
              ROUND(ROUND(OFFSET($P130,0,AL$13),15-13*ORÇAMENTO!$AF$7)*OFFSET(ORÇAMENTO!$W$15,ROW(AL130)-ROW(AL$15),0),15-13*ORÇAMENTO!$AF$11)),
         0)</f>
        <v>0</v>
      </c>
      <c r="AM130" s="453">
        <f ca="1">IF(AND($D130="Serviço",AM$12&lt;&gt;0,$H130&gt;0,OR(AUTOEVENTO&lt;&gt;"manual",$M130&lt;&gt;$A$15)),
        IF(Import.TipoArredondamento&lt;&gt;"TransfereGOV",
              ROUND(OFFSET($P130,0,AM$13),15-13*ORÇAMENTO!$AF$7)/$H130*OFFSET(ORÇAMENTO!$X$15,ROW(AM130)-ROW(AM$15),0),
              ROUND(ROUND(OFFSET($P130,0,AM$13),15-13*ORÇAMENTO!$AF$7)*OFFSET(ORÇAMENTO!$W$15,ROW(AM130)-ROW(AM$15),0),15-13*ORÇAMENTO!$AF$11)),
         0)</f>
        <v>0</v>
      </c>
      <c r="AN130" s="453">
        <f ca="1">IF(AND($D130="Serviço",AN$12&lt;&gt;0,$H130&gt;0,OR(AUTOEVENTO&lt;&gt;"manual",$M130&lt;&gt;$A$15)),
        IF(Import.TipoArredondamento&lt;&gt;"TransfereGOV",
              ROUND(OFFSET($P130,0,AN$13),15-13*ORÇAMENTO!$AF$7)/$H130*OFFSET(ORÇAMENTO!$X$15,ROW(AN130)-ROW(AN$15),0),
              ROUND(ROUND(OFFSET($P130,0,AN$13),15-13*ORÇAMENTO!$AF$7)*OFFSET(ORÇAMENTO!$W$15,ROW(AN130)-ROW(AN$15),0),15-13*ORÇAMENTO!$AF$11)),
         0)</f>
        <v>521.61</v>
      </c>
      <c r="AO130" s="453">
        <f ca="1">IF(AND($D130="Serviço",AO$12&lt;&gt;0,$H130&gt;0,OR(AUTOEVENTO&lt;&gt;"manual",$M130&lt;&gt;$A$15)),
        IF(Import.TipoArredondamento&lt;&gt;"TransfereGOV",
              ROUND(OFFSET($P130,0,AO$13),15-13*ORÇAMENTO!$AF$7)/$H130*OFFSET(ORÇAMENTO!$X$15,ROW(AO130)-ROW(AO$15),0),
              ROUND(ROUND(OFFSET($P130,0,AO$13),15-13*ORÇAMENTO!$AF$7)*OFFSET(ORÇAMENTO!$W$15,ROW(AO130)-ROW(AO$15),0),15-13*ORÇAMENTO!$AF$11)),
         0)</f>
        <v>0</v>
      </c>
      <c r="AP130" s="453">
        <f ca="1">IF(AND($D130="Serviço",AP$12&lt;&gt;0,$H130&gt;0,OR(AUTOEVENTO&lt;&gt;"manual",$M130&lt;&gt;$A$15)),
        IF(Import.TipoArredondamento&lt;&gt;"TransfereGOV",
              ROUND(OFFSET($P130,0,AP$13),15-13*ORÇAMENTO!$AF$7)/$H130*OFFSET(ORÇAMENTO!$X$15,ROW(AP130)-ROW(AP$15),0),
              ROUND(ROUND(OFFSET($P130,0,AP$13),15-13*ORÇAMENTO!$AF$7)*OFFSET(ORÇAMENTO!$W$15,ROW(AP130)-ROW(AP$15),0),15-13*ORÇAMENTO!$AF$11)),
         0)</f>
        <v>0</v>
      </c>
      <c r="AQ130" s="453">
        <f ca="1">IF(AND($D130="Serviço",AQ$12&lt;&gt;0,$H130&gt;0,OR(AUTOEVENTO&lt;&gt;"manual",$M130&lt;&gt;$A$15)),
        IF(Import.TipoArredondamento&lt;&gt;"TransfereGOV",
              ROUND(OFFSET($P130,0,AQ$13),15-13*ORÇAMENTO!$AF$7)/$H130*OFFSET(ORÇAMENTO!$X$15,ROW(AQ130)-ROW(AQ$15),0),
              ROUND(ROUND(OFFSET($P130,0,AQ$13),15-13*ORÇAMENTO!$AF$7)*OFFSET(ORÇAMENTO!$W$15,ROW(AQ130)-ROW(AQ$15),0),15-13*ORÇAMENTO!$AF$11)),
         0)</f>
        <v>0</v>
      </c>
      <c r="AR130" s="453">
        <f ca="1">IF(AND($D130="Serviço",AR$12&lt;&gt;0,$H130&gt;0,OR(AUTOEVENTO&lt;&gt;"manual",$M130&lt;&gt;$A$15)),
        IF(Import.TipoArredondamento&lt;&gt;"TransfereGOV",
              ROUND(OFFSET($P130,0,AR$13),15-13*ORÇAMENTO!$AF$7)/$H130*OFFSET(ORÇAMENTO!$X$15,ROW(AR130)-ROW(AR$15),0),
              ROUND(ROUND(OFFSET($P130,0,AR$13),15-13*ORÇAMENTO!$AF$7)*OFFSET(ORÇAMENTO!$W$15,ROW(AR130)-ROW(AR$15),0),15-13*ORÇAMENTO!$AF$11)),
         0)</f>
        <v>0</v>
      </c>
      <c r="AS130" s="453">
        <f ca="1">IF(AND($D130="Serviço",AS$12&lt;&gt;0,$H130&gt;0,OR(AUTOEVENTO&lt;&gt;"manual",$M130&lt;&gt;$A$15)),
        IF(Import.TipoArredondamento&lt;&gt;"TransfereGOV",
              ROUND(OFFSET($P130,0,AS$13),15-13*ORÇAMENTO!$AF$7)/$H130*OFFSET(ORÇAMENTO!$X$15,ROW(AS130)-ROW(AS$15),0),
              ROUND(ROUND(OFFSET($P130,0,AS$13),15-13*ORÇAMENTO!$AF$7)*OFFSET(ORÇAMENTO!$W$15,ROW(AS130)-ROW(AS$15),0),15-13*ORÇAMENTO!$AF$11)),
         0)</f>
        <v>0</v>
      </c>
      <c r="AT130" s="453">
        <f ca="1">IF(AND($D130="Serviço",AT$12&lt;&gt;0,$H130&gt;0,OR(AUTOEVENTO&lt;&gt;"manual",$M130&lt;&gt;$A$15)),
        IF(Import.TipoArredondamento&lt;&gt;"TransfereGOV",
              ROUND(OFFSET($P130,0,AT$13),15-13*ORÇAMENTO!$AF$7)/$H130*OFFSET(ORÇAMENTO!$X$15,ROW(AT130)-ROW(AT$15),0),
              ROUND(ROUND(OFFSET($P130,0,AT$13),15-13*ORÇAMENTO!$AF$7)*OFFSET(ORÇAMENTO!$W$15,ROW(AT130)-ROW(AT$15),0),15-13*ORÇAMENTO!$AF$11)),
         0)</f>
        <v>0</v>
      </c>
      <c r="AU130" s="453">
        <f ca="1">IF(AND($D130="Serviço",AU$12&lt;&gt;0,$H130&gt;0,OR(AUTOEVENTO&lt;&gt;"manual",$M130&lt;&gt;$A$15)),
        IF(Import.TipoArredondamento&lt;&gt;"TransfereGOV",
              ROUND(OFFSET($P130,0,AU$13),15-13*ORÇAMENTO!$AF$7)/$H130*OFFSET(ORÇAMENTO!$X$15,ROW(AU130)-ROW(AU$15),0),
              ROUND(ROUND(OFFSET($P130,0,AU$13),15-13*ORÇAMENTO!$AF$7)*OFFSET(ORÇAMENTO!$W$15,ROW(AU130)-ROW(AU$15),0),15-13*ORÇAMENTO!$AF$11)),
         0)</f>
        <v>0</v>
      </c>
      <c r="AV130" s="453">
        <f ca="1">IF(AND($D130="Serviço",AV$12&lt;&gt;0,$H130&gt;0,OR(AUTOEVENTO&lt;&gt;"manual",$M130&lt;&gt;$A$15)),
        IF(Import.TipoArredondamento&lt;&gt;"TransfereGOV",
              ROUND(OFFSET($P130,0,AV$13),15-13*ORÇAMENTO!$AF$7)/$H130*OFFSET(ORÇAMENTO!$X$15,ROW(AV130)-ROW(AV$15),0),
              ROUND(ROUND(OFFSET($P130,0,AV$13),15-13*ORÇAMENTO!$AF$7)*OFFSET(ORÇAMENTO!$W$15,ROW(AV130)-ROW(AV$15),0),15-13*ORÇAMENTO!$AF$11)),
         0)</f>
        <v>0</v>
      </c>
      <c r="AW130" s="453">
        <f ca="1">IF(AND($D130="Serviço",AW$12&lt;&gt;0,$H130&gt;0,OR(AUTOEVENTO&lt;&gt;"manual",$M130&lt;&gt;$A$15)),
        IF(Import.TipoArredondamento&lt;&gt;"TransfereGOV",
              ROUND(OFFSET($P130,0,AW$13),15-13*ORÇAMENTO!$AF$7)/$H130*OFFSET(ORÇAMENTO!$X$15,ROW(AW130)-ROW(AW$15),0),
              ROUND(ROUND(OFFSET($P130,0,AW$13),15-13*ORÇAMENTO!$AF$7)*OFFSET(ORÇAMENTO!$W$15,ROW(AW130)-ROW(AW$15),0),15-13*ORÇAMENTO!$AF$11)),
         0)</f>
        <v>0</v>
      </c>
      <c r="AX130" s="453">
        <f ca="1">IF(AND($D130="Serviço",AX$12&lt;&gt;0,$H130&gt;0,OR(AUTOEVENTO&lt;&gt;"manual",$M130&lt;&gt;$A$15)),
        IF(Import.TipoArredondamento&lt;&gt;"TransfereGOV",
              ROUND(OFFSET($P130,0,AX$13),15-13*ORÇAMENTO!$AF$7)/$H130*OFFSET(ORÇAMENTO!$X$15,ROW(AX130)-ROW(AX$15),0),
              ROUND(ROUND(OFFSET($P130,0,AX$13),15-13*ORÇAMENTO!$AF$7)*OFFSET(ORÇAMENTO!$W$15,ROW(AX130)-ROW(AX$15),0),15-13*ORÇAMENTO!$AF$11)),
         0)</f>
        <v>0</v>
      </c>
      <c r="AY130" s="453">
        <f ca="1">IF(AND($D130="Serviço",AY$12&lt;&gt;0,$H130&gt;0,OR(AUTOEVENTO&lt;&gt;"manual",$M130&lt;&gt;$A$15)),
        IF(Import.TipoArredondamento&lt;&gt;"TransfereGOV",
              ROUND(OFFSET($P130,0,AY$13),15-13*ORÇAMENTO!$AF$7)/$H130*OFFSET(ORÇAMENTO!$X$15,ROW(AY130)-ROW(AY$15),0),
              ROUND(ROUND(OFFSET($P130,0,AY$13),15-13*ORÇAMENTO!$AF$7)*OFFSET(ORÇAMENTO!$W$15,ROW(AY130)-ROW(AY$15),0),15-13*ORÇAMENTO!$AF$11)),
         0)</f>
        <v>0</v>
      </c>
      <c r="AZ130" s="453">
        <f ca="1">IF(AND($D130="Serviço",AZ$12&lt;&gt;0,$H130&gt;0,OR(AUTOEVENTO&lt;&gt;"manual",$M130&lt;&gt;$A$15)),
        IF(Import.TipoArredondamento&lt;&gt;"TransfereGOV",
              ROUND(OFFSET($P130,0,AZ$13),15-13*ORÇAMENTO!$AF$7)/$H130*OFFSET(ORÇAMENTO!$X$15,ROW(AZ130)-ROW(AZ$15),0),
              ROUND(ROUND(OFFSET($P130,0,AZ$13),15-13*ORÇAMENTO!$AF$7)*OFFSET(ORÇAMENTO!$W$15,ROW(AZ130)-ROW(AZ$15),0),15-13*ORÇAMENTO!$AF$11)),
         0)</f>
        <v>0</v>
      </c>
      <c r="BA130" s="453">
        <f ca="1">IF(AND($D130="Serviço",BA$12&lt;&gt;0,$H130&gt;0,OR(AUTOEVENTO&lt;&gt;"manual",$M130&lt;&gt;$A$15)),
        IF(Import.TipoArredondamento&lt;&gt;"TransfereGOV",
              ROUND(OFFSET($P130,0,BA$13),15-13*ORÇAMENTO!$AF$7)/$H130*OFFSET(ORÇAMENTO!$X$15,ROW(BA130)-ROW(BA$15),0),
              ROUND(ROUND(OFFSET($P130,0,BA$13),15-13*ORÇAMENTO!$AF$7)*OFFSET(ORÇAMENTO!$W$15,ROW(BA130)-ROW(BA$15),0),15-13*ORÇAMENTO!$AF$11)),
         0)</f>
        <v>0</v>
      </c>
      <c r="BC130" s="171">
        <f ca="1">IF(OR($D130&lt;&gt;"Serviço",AND(AUTOEVENTO="Manual",$M130=$A$15)),0,
         IF(OFFSET(CRONOPLE!$F$15,$M130-$A$15,BC$13)=0,10^12,OFFSET(CRONOPLE!$F$15,$M130-$A$15,BC$13)))</f>
        <v>1000000000000</v>
      </c>
      <c r="BD130" s="171">
        <f ca="1">IF(OR($D130&lt;&gt;"Serviço",AND(AUTOEVENTO="Manual",$M130=$A$15)),0,
         IF(OFFSET(CRONOPLE!$F$15,$M130-$A$15,BD$13)=0,10^12,OFFSET(CRONOPLE!$F$15,$M130-$A$15,BD$13)))</f>
        <v>1000000000000</v>
      </c>
      <c r="BE130" s="171">
        <f ca="1">IF(OR($D130&lt;&gt;"Serviço",AND(AUTOEVENTO="Manual",$M130=$A$15)),0,
         IF(OFFSET(CRONOPLE!$F$15,$M130-$A$15,BE$13)=0,10^12,OFFSET(CRONOPLE!$F$15,$M130-$A$15,BE$13)))</f>
        <v>1000000000000</v>
      </c>
      <c r="BF130" s="171">
        <f ca="1">IF(OR($D130&lt;&gt;"Serviço",AND(AUTOEVENTO="Manual",$M130=$A$15)),0,
         IF(OFFSET(CRONOPLE!$F$15,$M130-$A$15,BF$13)=0,10^12,OFFSET(CRONOPLE!$F$15,$M130-$A$15,BF$13)))</f>
        <v>1000000000000</v>
      </c>
      <c r="BG130" s="171">
        <f ca="1">IF(OR($D130&lt;&gt;"Serviço",AND(AUTOEVENTO="Manual",$M130=$A$15)),0,
         IF(OFFSET(CRONOPLE!$F$15,$M130-$A$15,BG$13)=0,10^12,OFFSET(CRONOPLE!$F$15,$M130-$A$15,BG$13)))</f>
        <v>3</v>
      </c>
      <c r="BH130" s="171">
        <f ca="1">IF(OR($D130&lt;&gt;"Serviço",AND(AUTOEVENTO="Manual",$M130=$A$15)),0,
         IF(OFFSET(CRONOPLE!$F$15,$M130-$A$15,BH$13)=0,10^12,OFFSET(CRONOPLE!$F$15,$M130-$A$15,BH$13)))</f>
        <v>1000000000000</v>
      </c>
      <c r="BI130" s="171">
        <f ca="1">IF(OR($D130&lt;&gt;"Serviço",AND(AUTOEVENTO="Manual",$M130=$A$15)),0,
         IF(OFFSET(CRONOPLE!$F$15,$M130-$A$15,BI$13)=0,10^12,OFFSET(CRONOPLE!$F$15,$M130-$A$15,BI$13)))</f>
        <v>1000000000000</v>
      </c>
      <c r="BJ130" s="171">
        <f ca="1">IF(OR($D130&lt;&gt;"Serviço",AND(AUTOEVENTO="Manual",$M130=$A$15)),0,
         IF(OFFSET(CRONOPLE!$F$15,$M130-$A$15,BJ$13)=0,10^12,OFFSET(CRONOPLE!$F$15,$M130-$A$15,BJ$13)))</f>
        <v>1000000000000</v>
      </c>
      <c r="BK130" s="171">
        <f ca="1">IF(OR($D130&lt;&gt;"Serviço",AND(AUTOEVENTO="Manual",$M130=$A$15)),0,
         IF(OFFSET(CRONOPLE!$F$15,$M130-$A$15,BK$13)=0,10^12,OFFSET(CRONOPLE!$F$15,$M130-$A$15,BK$13)))</f>
        <v>1000000000000</v>
      </c>
      <c r="BL130" s="171">
        <f ca="1">IF(OR($D130&lt;&gt;"Serviço",AND(AUTOEVENTO="Manual",$M130=$A$15)),0,
         IF(OFFSET(CRONOPLE!$F$15,$M130-$A$15,BL$13)=0,10^12,OFFSET(CRONOPLE!$F$15,$M130-$A$15,BL$13)))</f>
        <v>1000000000000</v>
      </c>
      <c r="BM130" s="171">
        <f ca="1">IF(OR($D130&lt;&gt;"Serviço",AND(AUTOEVENTO="Manual",$M130=$A$15)),0,
         IF(OFFSET(CRONOPLE!$F$15,$M130-$A$15,BM$13)=0,10^12,OFFSET(CRONOPLE!$F$15,$M130-$A$15,BM$13)))</f>
        <v>1000000000000</v>
      </c>
      <c r="BN130" s="171">
        <f ca="1">IF(OR($D130&lt;&gt;"Serviço",AND(AUTOEVENTO="Manual",$M130=$A$15)),0,
         IF(OFFSET(CRONOPLE!$F$15,$M130-$A$15,BN$13)=0,10^12,OFFSET(CRONOPLE!$F$15,$M130-$A$15,BN$13)))</f>
        <v>1000000000000</v>
      </c>
      <c r="BO130" s="171">
        <f ca="1">IF(OR($D130&lt;&gt;"Serviço",AND(AUTOEVENTO="Manual",$M130=$A$15)),0,
         IF(OFFSET(CRONOPLE!$F$15,$M130-$A$15,BO$13)=0,10^12,OFFSET(CRONOPLE!$F$15,$M130-$A$15,BO$13)))</f>
        <v>1000000000000</v>
      </c>
      <c r="BP130" s="171">
        <f ca="1">IF(OR($D130&lt;&gt;"Serviço",AND(AUTOEVENTO="Manual",$M130=$A$15)),0,
         IF(OFFSET(CRONOPLE!$F$15,$M130-$A$15,BP$13)=0,10^12,OFFSET(CRONOPLE!$F$15,$M130-$A$15,BP$13)))</f>
        <v>1000000000000</v>
      </c>
      <c r="BQ130" s="171">
        <f ca="1">IF(OR($D130&lt;&gt;"Serviço",AND(AUTOEVENTO="Manual",$M130=$A$15)),0,
         IF(OFFSET(CRONOPLE!$F$15,$M130-$A$15,BQ$13)=0,10^12,OFFSET(CRONOPLE!$F$15,$M130-$A$15,BQ$13)))</f>
        <v>1000000000000</v>
      </c>
      <c r="BR130" s="171">
        <f ca="1">IF(OR($D130&lt;&gt;"Serviço",AND(AUTOEVENTO="Manual",$M130=$A$15)),0,
         IF(OFFSET(CRONOPLE!$F$15,$M130-$A$15,BR$13)=0,10^12,OFFSET(CRONOPLE!$F$15,$M130-$A$15,BR$13)))</f>
        <v>1000000000000</v>
      </c>
      <c r="BS130" s="171">
        <f ca="1">IF(OR($D130&lt;&gt;"Serviço",AND(AUTOEVENTO="Manual",$M130=$A$15)),0,
         IF(OFFSET(CRONOPLE!$F$15,$M130-$A$15,BS$13)=0,10^12,OFFSET(CRONOPLE!$F$15,$M130-$A$15,BS$13)))</f>
        <v>1000000000000</v>
      </c>
      <c r="BT130" s="171">
        <f ca="1">IF(OR($D130&lt;&gt;"Serviço",AND(AUTOEVENTO="Manual",$M130=$A$15)),0,
         IF(OFFSET(CRONOPLE!$F$15,$M130-$A$15,BT$13)=0,10^12,OFFSET(CRONOPLE!$F$15,$M130-$A$15,BT$13)))</f>
        <v>1000000000000</v>
      </c>
      <c r="BV130" s="172">
        <f ca="1">IF(OR($D130&lt;&gt;"Serviço",AND(AUTOEVENTO="Manual",$M130=$A$15),$M130&gt;(ROW(PLE.lastrow)-ROW(PLE.firstrow))),0,
           IF(OFFSET(PLE!$G$15,$M130-$A$15,BV$13)="",10^12,OFFSET(PLE!$G$15,$M130-$A$15,BV$13)))</f>
        <v>1000000000000</v>
      </c>
      <c r="BW130" s="172">
        <f ca="1">IF(OR($D130&lt;&gt;"Serviço",AND(AUTOEVENTO="Manual",$M130=$A$15),$M130&gt;(ROW(PLE.lastrow)-ROW(PLE.firstrow))),0,
           IF(OFFSET(PLE!$G$15,$M130-$A$15,BW$13)="",10^12,OFFSET(PLE!$G$15,$M130-$A$15,BW$13)))</f>
        <v>1000000000000</v>
      </c>
      <c r="BX130" s="172">
        <f ca="1">IF(OR($D130&lt;&gt;"Serviço",AND(AUTOEVENTO="Manual",$M130=$A$15),$M130&gt;(ROW(PLE.lastrow)-ROW(PLE.firstrow))),0,
           IF(OFFSET(PLE!$G$15,$M130-$A$15,BX$13)="",10^12,OFFSET(PLE!$G$15,$M130-$A$15,BX$13)))</f>
        <v>1000000000000</v>
      </c>
      <c r="BY130" s="172">
        <f ca="1">IF(OR($D130&lt;&gt;"Serviço",AND(AUTOEVENTO="Manual",$M130=$A$15),$M130&gt;(ROW(PLE.lastrow)-ROW(PLE.firstrow))),0,
           IF(OFFSET(PLE!$G$15,$M130-$A$15,BY$13)="",10^12,OFFSET(PLE!$G$15,$M130-$A$15,BY$13)))</f>
        <v>1000000000000</v>
      </c>
      <c r="BZ130" s="172">
        <f ca="1">IF(OR($D130&lt;&gt;"Serviço",AND(AUTOEVENTO="Manual",$M130=$A$15),$M130&gt;(ROW(PLE.lastrow)-ROW(PLE.firstrow))),0,
           IF(OFFSET(PLE!$G$15,$M130-$A$15,BZ$13)="",10^12,OFFSET(PLE!$G$15,$M130-$A$15,BZ$13)))</f>
        <v>1000000000000</v>
      </c>
      <c r="CA130" s="172">
        <f ca="1">IF(OR($D130&lt;&gt;"Serviço",AND(AUTOEVENTO="Manual",$M130=$A$15),$M130&gt;(ROW(PLE.lastrow)-ROW(PLE.firstrow))),0,
           IF(OFFSET(PLE!$G$15,$M130-$A$15,CA$13)="",10^12,OFFSET(PLE!$G$15,$M130-$A$15,CA$13)))</f>
        <v>1000000000000</v>
      </c>
      <c r="CB130" s="172">
        <f ca="1">IF(OR($D130&lt;&gt;"Serviço",AND(AUTOEVENTO="Manual",$M130=$A$15),$M130&gt;(ROW(PLE.lastrow)-ROW(PLE.firstrow))),0,
           IF(OFFSET(PLE!$G$15,$M130-$A$15,CB$13)="",10^12,OFFSET(PLE!$G$15,$M130-$A$15,CB$13)))</f>
        <v>1000000000000</v>
      </c>
      <c r="CC130" s="172">
        <f ca="1">IF(OR($D130&lt;&gt;"Serviço",AND(AUTOEVENTO="Manual",$M130=$A$15),$M130&gt;(ROW(PLE.lastrow)-ROW(PLE.firstrow))),0,
           IF(OFFSET(PLE!$G$15,$M130-$A$15,CC$13)="",10^12,OFFSET(PLE!$G$15,$M130-$A$15,CC$13)))</f>
        <v>1000000000000</v>
      </c>
      <c r="CD130" s="172">
        <f ca="1">IF(OR($D130&lt;&gt;"Serviço",AND(AUTOEVENTO="Manual",$M130=$A$15),$M130&gt;(ROW(PLE.lastrow)-ROW(PLE.firstrow))),0,
           IF(OFFSET(PLE!$G$15,$M130-$A$15,CD$13)="",10^12,OFFSET(PLE!$G$15,$M130-$A$15,CD$13)))</f>
        <v>1000000000000</v>
      </c>
      <c r="CE130" s="172">
        <f ca="1">IF(OR($D130&lt;&gt;"Serviço",AND(AUTOEVENTO="Manual",$M130=$A$15),$M130&gt;(ROW(PLE.lastrow)-ROW(PLE.firstrow))),0,
           IF(OFFSET(PLE!$G$15,$M130-$A$15,CE$13)="",10^12,OFFSET(PLE!$G$15,$M130-$A$15,CE$13)))</f>
        <v>1000000000000</v>
      </c>
      <c r="CF130" s="172">
        <f ca="1">IF(OR($D130&lt;&gt;"Serviço",AND(AUTOEVENTO="Manual",$M130=$A$15),$M130&gt;(ROW(PLE.lastrow)-ROW(PLE.firstrow))),0,
           IF(OFFSET(PLE!$G$15,$M130-$A$15,CF$13)="",10^12,OFFSET(PLE!$G$15,$M130-$A$15,CF$13)))</f>
        <v>1000000000000</v>
      </c>
      <c r="CG130" s="172">
        <f ca="1">IF(OR($D130&lt;&gt;"Serviço",AND(AUTOEVENTO="Manual",$M130=$A$15),$M130&gt;(ROW(PLE.lastrow)-ROW(PLE.firstrow))),0,
           IF(OFFSET(PLE!$G$15,$M130-$A$15,CG$13)="",10^12,OFFSET(PLE!$G$15,$M130-$A$15,CG$13)))</f>
        <v>1000000000000</v>
      </c>
      <c r="CH130" s="172">
        <f ca="1">IF(OR($D130&lt;&gt;"Serviço",AND(AUTOEVENTO="Manual",$M130=$A$15),$M130&gt;(ROW(PLE.lastrow)-ROW(PLE.firstrow))),0,
           IF(OFFSET(PLE!$G$15,$M130-$A$15,CH$13)="",10^12,OFFSET(PLE!$G$15,$M130-$A$15,CH$13)))</f>
        <v>1000000000000</v>
      </c>
      <c r="CI130" s="172">
        <f ca="1">IF(OR($D130&lt;&gt;"Serviço",AND(AUTOEVENTO="Manual",$M130=$A$15),$M130&gt;(ROW(PLE.lastrow)-ROW(PLE.firstrow))),0,
           IF(OFFSET(PLE!$G$15,$M130-$A$15,CI$13)="",10^12,OFFSET(PLE!$G$15,$M130-$A$15,CI$13)))</f>
        <v>1000000000000</v>
      </c>
      <c r="CJ130" s="172">
        <f ca="1">IF(OR($D130&lt;&gt;"Serviço",AND(AUTOEVENTO="Manual",$M130=$A$15),$M130&gt;(ROW(PLE.lastrow)-ROW(PLE.firstrow))),0,
           IF(OFFSET(PLE!$G$15,$M130-$A$15,CJ$13)="",10^12,OFFSET(PLE!$G$15,$M130-$A$15,CJ$13)))</f>
        <v>1000000000000</v>
      </c>
      <c r="CK130" s="172">
        <f ca="1">IF(OR($D130&lt;&gt;"Serviço",AND(AUTOEVENTO="Manual",$M130=$A$15),$M130&gt;(ROW(PLE.lastrow)-ROW(PLE.firstrow))),0,
           IF(OFFSET(PLE!$G$15,$M130-$A$15,CK$13)="",10^12,OFFSET(PLE!$G$15,$M130-$A$15,CK$13)))</f>
        <v>1000000000000</v>
      </c>
      <c r="CL130" s="172">
        <f ca="1">IF(OR($D130&lt;&gt;"Serviço",AND(AUTOEVENTO="Manual",$M130=$A$15),$M130&gt;(ROW(PLE.lastrow)-ROW(PLE.firstrow))),0,
           IF(OFFSET(PLE!$G$15,$M130-$A$15,CL$13)="",10^12,OFFSET(PLE!$G$15,$M130-$A$15,CL$13)))</f>
        <v>1000000000000</v>
      </c>
      <c r="CM130" s="172">
        <f ca="1">IF(OR($D130&lt;&gt;"Serviço",AND(AUTOEVENTO="Manual",$M130=$A$15),$M130&gt;(ROW(PLE.lastrow)-ROW(PLE.firstrow))),0,
           IF(OFFSET(PLE!$G$15,$M130-$A$15,CM$13)="",10^12,OFFSET(PLE!$G$15,$M130-$A$15,CM$13)))</f>
        <v>1000000000000</v>
      </c>
    </row>
    <row r="131" spans="1:91" ht="39.6" x14ac:dyDescent="0.25">
      <c r="A131" s="7" t="str">
        <f t="shared" ca="1" si="11"/>
        <v>113</v>
      </c>
      <c r="B131" s="7" t="str">
        <f ca="1">OFFSET(ORÇAMENTO!C$15,ROW(B131)-ROW(B$15),0)</f>
        <v>S</v>
      </c>
      <c r="C131" s="7" t="str">
        <f ca="1">OFFSET(ORÇAMENTO!L$15,ROW(C131)-ROW(C$15),0)</f>
        <v>F</v>
      </c>
      <c r="D131" s="116" t="str">
        <f ca="1">OFFSET(ORÇAMENTO!N$15,ROW(D131)-ROW(D$15),0)</f>
        <v>Serviço</v>
      </c>
      <c r="E131" s="117" t="str">
        <f ca="1">OFFSET(ORÇAMENTO!O$15,ROW(E131)-ROW(E$15),0)</f>
        <v>3.5.3.</v>
      </c>
      <c r="F131" s="163" t="str">
        <f ca="1">OFFSET(ORÇAMENTO!R$15,ROW(F131)-ROW(F$15),0)</f>
        <v xml:space="preserve">ENSAIO DE CONTROLE DO GRAU DE COMPACTAÇÃO, DENSIDADE E ESPESSURA DA MASSA ASFÁLTICA COM COLETA ATRAVÉS DE SONDA ROTATIVA </v>
      </c>
      <c r="G131" s="164" t="str">
        <f ca="1">IF($D131&lt;&gt;"Serviço","",OFFSET(ORÇAMENTO!S$15,ROW(G131)-ROW(G$15),0))</f>
        <v>UN</v>
      </c>
      <c r="H131" s="122" cm="1">
        <f t="array" aca="1" ref="H131" ca="1">IF($D131&lt;&gt;"Serviço",0,IF(ACOMPANHAMENTO="BM",ROUND(OFFSET(ORÇAMENTO!AJ$15,ROW(H131)-ROW(H$15),0),15-13*ORÇAMENTO!$AF$7),SUMPRODUCT(($Q$1:$AI$1=1)*ROUND($Q131:$AI131,15-13*ORÇAMENTO!$AF$7))))</f>
        <v>1</v>
      </c>
      <c r="I131" s="468"/>
      <c r="J131" s="651" t="e" cm="1">
        <f t="array" aca="1" ref="J131" ca="1">IF(OR(B131&lt;&gt;"S",CÁLCULO.FrentesPreenchidas=0),"",IF(AND(ACOMPANHAMENTO="PLE",AUTOEVENTO="Manual",OR(H131&gt;0,ORÇAMENTO!AC131="QUANT."),OR(K131="",M131=0,N131="")),"►E",IF(AND(ACOMPANHAMENTO="PLE",ORÇAMENTO!AC131="QUANT."),"►Q",IF(AND(ACOMPANHAMENTO="PLE",H131&lt;&gt;SUMPRODUCT(($Q$1:$AI$1=1)*ROUND(Q131:AI131,15))),"►S",IF(AND(COUNTIF($P$11:$AI$11,"▼")=0,H131&gt;0,I131=""),"◄M","")))))</f>
        <v>#NAME?</v>
      </c>
      <c r="K131" s="652"/>
      <c r="L131" s="165" t="s">
        <v>764</v>
      </c>
      <c r="M131" s="166">
        <f ca="1">IF($D131&lt;&gt;"Serviço","",
          IF(AUTOEVENTO="manual",$A131,
                IF(ISERROR(MATCH($A131,$A$15:OFFSET($A131,-1,0),0)),MAX($M$15:OFFSET(M131,-1,0))+1,
                      INDEX($M$15:OFFSET(M131,-1,0),MATCH($A131,$A$15:OFFSET($A131,-1,0),0)))))</f>
        <v>18</v>
      </c>
      <c r="N131" s="167" t="str">
        <f ca="1">IF($D131&lt;&gt;"Serviço","",
         IF(AUTOEVENTO="Manual",
                IF($A131=0,"&lt;-- defina o número do agrupador",
                       OFFSET(EVENTOS!$D$15,$A131-$A$15,0)),
                OFFSET($F$15,$A131,0)))</f>
        <v>ENSAIOS</v>
      </c>
      <c r="O131" s="168"/>
      <c r="Q131" s="168"/>
      <c r="R131" s="169"/>
      <c r="S131" s="169"/>
      <c r="T131" s="169"/>
      <c r="U131" s="169">
        <v>1</v>
      </c>
      <c r="V131" s="169"/>
      <c r="W131" s="169"/>
      <c r="X131" s="169"/>
      <c r="Y131" s="169"/>
      <c r="Z131" s="170"/>
      <c r="AA131" s="169"/>
      <c r="AB131" s="169"/>
      <c r="AC131" s="169"/>
      <c r="AD131" s="169"/>
      <c r="AE131" s="169"/>
      <c r="AF131" s="169"/>
      <c r="AG131" s="169"/>
      <c r="AH131" s="170"/>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L131" s="453">
        <f ca="1">IF(AND($D131="Serviço",AL$12&lt;&gt;0,$H131&gt;0,OR(AUTOEVENTO&lt;&gt;"manual",$M131&lt;&gt;$A$15)),
        IF(Import.TipoArredondamento&lt;&gt;"TransfereGOV",
              ROUND(OFFSET($P131,0,AL$13),15-13*ORÇAMENTO!$AF$7)/$H131*OFFSET(ORÇAMENTO!$X$15,ROW(AL131)-ROW(AL$15),0),
              ROUND(ROUND(OFFSET($P131,0,AL$13),15-13*ORÇAMENTO!$AF$7)*OFFSET(ORÇAMENTO!$W$15,ROW(AL131)-ROW(AL$15),0),15-13*ORÇAMENTO!$AF$11)),
         0)</f>
        <v>0</v>
      </c>
      <c r="AM131" s="453">
        <f ca="1">IF(AND($D131="Serviço",AM$12&lt;&gt;0,$H131&gt;0,OR(AUTOEVENTO&lt;&gt;"manual",$M131&lt;&gt;$A$15)),
        IF(Import.TipoArredondamento&lt;&gt;"TransfereGOV",
              ROUND(OFFSET($P131,0,AM$13),15-13*ORÇAMENTO!$AF$7)/$H131*OFFSET(ORÇAMENTO!$X$15,ROW(AM131)-ROW(AM$15),0),
              ROUND(ROUND(OFFSET($P131,0,AM$13),15-13*ORÇAMENTO!$AF$7)*OFFSET(ORÇAMENTO!$W$15,ROW(AM131)-ROW(AM$15),0),15-13*ORÇAMENTO!$AF$11)),
         0)</f>
        <v>0</v>
      </c>
      <c r="AN131" s="453">
        <f ca="1">IF(AND($D131="Serviço",AN$12&lt;&gt;0,$H131&gt;0,OR(AUTOEVENTO&lt;&gt;"manual",$M131&lt;&gt;$A$15)),
        IF(Import.TipoArredondamento&lt;&gt;"TransfereGOV",
              ROUND(OFFSET($P131,0,AN$13),15-13*ORÇAMENTO!$AF$7)/$H131*OFFSET(ORÇAMENTO!$X$15,ROW(AN131)-ROW(AN$15),0),
              ROUND(ROUND(OFFSET($P131,0,AN$13),15-13*ORÇAMENTO!$AF$7)*OFFSET(ORÇAMENTO!$W$15,ROW(AN131)-ROW(AN$15),0),15-13*ORÇAMENTO!$AF$11)),
         0)</f>
        <v>136.72999999999999</v>
      </c>
      <c r="AO131" s="453">
        <f ca="1">IF(AND($D131="Serviço",AO$12&lt;&gt;0,$H131&gt;0,OR(AUTOEVENTO&lt;&gt;"manual",$M131&lt;&gt;$A$15)),
        IF(Import.TipoArredondamento&lt;&gt;"TransfereGOV",
              ROUND(OFFSET($P131,0,AO$13),15-13*ORÇAMENTO!$AF$7)/$H131*OFFSET(ORÇAMENTO!$X$15,ROW(AO131)-ROW(AO$15),0),
              ROUND(ROUND(OFFSET($P131,0,AO$13),15-13*ORÇAMENTO!$AF$7)*OFFSET(ORÇAMENTO!$W$15,ROW(AO131)-ROW(AO$15),0),15-13*ORÇAMENTO!$AF$11)),
         0)</f>
        <v>0</v>
      </c>
      <c r="AP131" s="453">
        <f ca="1">IF(AND($D131="Serviço",AP$12&lt;&gt;0,$H131&gt;0,OR(AUTOEVENTO&lt;&gt;"manual",$M131&lt;&gt;$A$15)),
        IF(Import.TipoArredondamento&lt;&gt;"TransfereGOV",
              ROUND(OFFSET($P131,0,AP$13),15-13*ORÇAMENTO!$AF$7)/$H131*OFFSET(ORÇAMENTO!$X$15,ROW(AP131)-ROW(AP$15),0),
              ROUND(ROUND(OFFSET($P131,0,AP$13),15-13*ORÇAMENTO!$AF$7)*OFFSET(ORÇAMENTO!$W$15,ROW(AP131)-ROW(AP$15),0),15-13*ORÇAMENTO!$AF$11)),
         0)</f>
        <v>0</v>
      </c>
      <c r="AQ131" s="453">
        <f ca="1">IF(AND($D131="Serviço",AQ$12&lt;&gt;0,$H131&gt;0,OR(AUTOEVENTO&lt;&gt;"manual",$M131&lt;&gt;$A$15)),
        IF(Import.TipoArredondamento&lt;&gt;"TransfereGOV",
              ROUND(OFFSET($P131,0,AQ$13),15-13*ORÇAMENTO!$AF$7)/$H131*OFFSET(ORÇAMENTO!$X$15,ROW(AQ131)-ROW(AQ$15),0),
              ROUND(ROUND(OFFSET($P131,0,AQ$13),15-13*ORÇAMENTO!$AF$7)*OFFSET(ORÇAMENTO!$W$15,ROW(AQ131)-ROW(AQ$15),0),15-13*ORÇAMENTO!$AF$11)),
         0)</f>
        <v>0</v>
      </c>
      <c r="AR131" s="453">
        <f ca="1">IF(AND($D131="Serviço",AR$12&lt;&gt;0,$H131&gt;0,OR(AUTOEVENTO&lt;&gt;"manual",$M131&lt;&gt;$A$15)),
        IF(Import.TipoArredondamento&lt;&gt;"TransfereGOV",
              ROUND(OFFSET($P131,0,AR$13),15-13*ORÇAMENTO!$AF$7)/$H131*OFFSET(ORÇAMENTO!$X$15,ROW(AR131)-ROW(AR$15),0),
              ROUND(ROUND(OFFSET($P131,0,AR$13),15-13*ORÇAMENTO!$AF$7)*OFFSET(ORÇAMENTO!$W$15,ROW(AR131)-ROW(AR$15),0),15-13*ORÇAMENTO!$AF$11)),
         0)</f>
        <v>0</v>
      </c>
      <c r="AS131" s="453">
        <f ca="1">IF(AND($D131="Serviço",AS$12&lt;&gt;0,$H131&gt;0,OR(AUTOEVENTO&lt;&gt;"manual",$M131&lt;&gt;$A$15)),
        IF(Import.TipoArredondamento&lt;&gt;"TransfereGOV",
              ROUND(OFFSET($P131,0,AS$13),15-13*ORÇAMENTO!$AF$7)/$H131*OFFSET(ORÇAMENTO!$X$15,ROW(AS131)-ROW(AS$15),0),
              ROUND(ROUND(OFFSET($P131,0,AS$13),15-13*ORÇAMENTO!$AF$7)*OFFSET(ORÇAMENTO!$W$15,ROW(AS131)-ROW(AS$15),0),15-13*ORÇAMENTO!$AF$11)),
         0)</f>
        <v>0</v>
      </c>
      <c r="AT131" s="453">
        <f ca="1">IF(AND($D131="Serviço",AT$12&lt;&gt;0,$H131&gt;0,OR(AUTOEVENTO&lt;&gt;"manual",$M131&lt;&gt;$A$15)),
        IF(Import.TipoArredondamento&lt;&gt;"TransfereGOV",
              ROUND(OFFSET($P131,0,AT$13),15-13*ORÇAMENTO!$AF$7)/$H131*OFFSET(ORÇAMENTO!$X$15,ROW(AT131)-ROW(AT$15),0),
              ROUND(ROUND(OFFSET($P131,0,AT$13),15-13*ORÇAMENTO!$AF$7)*OFFSET(ORÇAMENTO!$W$15,ROW(AT131)-ROW(AT$15),0),15-13*ORÇAMENTO!$AF$11)),
         0)</f>
        <v>0</v>
      </c>
      <c r="AU131" s="453">
        <f ca="1">IF(AND($D131="Serviço",AU$12&lt;&gt;0,$H131&gt;0,OR(AUTOEVENTO&lt;&gt;"manual",$M131&lt;&gt;$A$15)),
        IF(Import.TipoArredondamento&lt;&gt;"TransfereGOV",
              ROUND(OFFSET($P131,0,AU$13),15-13*ORÇAMENTO!$AF$7)/$H131*OFFSET(ORÇAMENTO!$X$15,ROW(AU131)-ROW(AU$15),0),
              ROUND(ROUND(OFFSET($P131,0,AU$13),15-13*ORÇAMENTO!$AF$7)*OFFSET(ORÇAMENTO!$W$15,ROW(AU131)-ROW(AU$15),0),15-13*ORÇAMENTO!$AF$11)),
         0)</f>
        <v>0</v>
      </c>
      <c r="AV131" s="453">
        <f ca="1">IF(AND($D131="Serviço",AV$12&lt;&gt;0,$H131&gt;0,OR(AUTOEVENTO&lt;&gt;"manual",$M131&lt;&gt;$A$15)),
        IF(Import.TipoArredondamento&lt;&gt;"TransfereGOV",
              ROUND(OFFSET($P131,0,AV$13),15-13*ORÇAMENTO!$AF$7)/$H131*OFFSET(ORÇAMENTO!$X$15,ROW(AV131)-ROW(AV$15),0),
              ROUND(ROUND(OFFSET($P131,0,AV$13),15-13*ORÇAMENTO!$AF$7)*OFFSET(ORÇAMENTO!$W$15,ROW(AV131)-ROW(AV$15),0),15-13*ORÇAMENTO!$AF$11)),
         0)</f>
        <v>0</v>
      </c>
      <c r="AW131" s="453">
        <f ca="1">IF(AND($D131="Serviço",AW$12&lt;&gt;0,$H131&gt;0,OR(AUTOEVENTO&lt;&gt;"manual",$M131&lt;&gt;$A$15)),
        IF(Import.TipoArredondamento&lt;&gt;"TransfereGOV",
              ROUND(OFFSET($P131,0,AW$13),15-13*ORÇAMENTO!$AF$7)/$H131*OFFSET(ORÇAMENTO!$X$15,ROW(AW131)-ROW(AW$15),0),
              ROUND(ROUND(OFFSET($P131,0,AW$13),15-13*ORÇAMENTO!$AF$7)*OFFSET(ORÇAMENTO!$W$15,ROW(AW131)-ROW(AW$15),0),15-13*ORÇAMENTO!$AF$11)),
         0)</f>
        <v>0</v>
      </c>
      <c r="AX131" s="453">
        <f ca="1">IF(AND($D131="Serviço",AX$12&lt;&gt;0,$H131&gt;0,OR(AUTOEVENTO&lt;&gt;"manual",$M131&lt;&gt;$A$15)),
        IF(Import.TipoArredondamento&lt;&gt;"TransfereGOV",
              ROUND(OFFSET($P131,0,AX$13),15-13*ORÇAMENTO!$AF$7)/$H131*OFFSET(ORÇAMENTO!$X$15,ROW(AX131)-ROW(AX$15),0),
              ROUND(ROUND(OFFSET($P131,0,AX$13),15-13*ORÇAMENTO!$AF$7)*OFFSET(ORÇAMENTO!$W$15,ROW(AX131)-ROW(AX$15),0),15-13*ORÇAMENTO!$AF$11)),
         0)</f>
        <v>0</v>
      </c>
      <c r="AY131" s="453">
        <f ca="1">IF(AND($D131="Serviço",AY$12&lt;&gt;0,$H131&gt;0,OR(AUTOEVENTO&lt;&gt;"manual",$M131&lt;&gt;$A$15)),
        IF(Import.TipoArredondamento&lt;&gt;"TransfereGOV",
              ROUND(OFFSET($P131,0,AY$13),15-13*ORÇAMENTO!$AF$7)/$H131*OFFSET(ORÇAMENTO!$X$15,ROW(AY131)-ROW(AY$15),0),
              ROUND(ROUND(OFFSET($P131,0,AY$13),15-13*ORÇAMENTO!$AF$7)*OFFSET(ORÇAMENTO!$W$15,ROW(AY131)-ROW(AY$15),0),15-13*ORÇAMENTO!$AF$11)),
         0)</f>
        <v>0</v>
      </c>
      <c r="AZ131" s="453">
        <f ca="1">IF(AND($D131="Serviço",AZ$12&lt;&gt;0,$H131&gt;0,OR(AUTOEVENTO&lt;&gt;"manual",$M131&lt;&gt;$A$15)),
        IF(Import.TipoArredondamento&lt;&gt;"TransfereGOV",
              ROUND(OFFSET($P131,0,AZ$13),15-13*ORÇAMENTO!$AF$7)/$H131*OFFSET(ORÇAMENTO!$X$15,ROW(AZ131)-ROW(AZ$15),0),
              ROUND(ROUND(OFFSET($P131,0,AZ$13),15-13*ORÇAMENTO!$AF$7)*OFFSET(ORÇAMENTO!$W$15,ROW(AZ131)-ROW(AZ$15),0),15-13*ORÇAMENTO!$AF$11)),
         0)</f>
        <v>0</v>
      </c>
      <c r="BA131" s="453">
        <f ca="1">IF(AND($D131="Serviço",BA$12&lt;&gt;0,$H131&gt;0,OR(AUTOEVENTO&lt;&gt;"manual",$M131&lt;&gt;$A$15)),
        IF(Import.TipoArredondamento&lt;&gt;"TransfereGOV",
              ROUND(OFFSET($P131,0,BA$13),15-13*ORÇAMENTO!$AF$7)/$H131*OFFSET(ORÇAMENTO!$X$15,ROW(BA131)-ROW(BA$15),0),
              ROUND(ROUND(OFFSET($P131,0,BA$13),15-13*ORÇAMENTO!$AF$7)*OFFSET(ORÇAMENTO!$W$15,ROW(BA131)-ROW(BA$15),0),15-13*ORÇAMENTO!$AF$11)),
         0)</f>
        <v>0</v>
      </c>
      <c r="BC131" s="171">
        <f ca="1">IF(OR($D131&lt;&gt;"Serviço",AND(AUTOEVENTO="Manual",$M131=$A$15)),0,
         IF(OFFSET(CRONOPLE!$F$15,$M131-$A$15,BC$13)=0,10^12,OFFSET(CRONOPLE!$F$15,$M131-$A$15,BC$13)))</f>
        <v>1000000000000</v>
      </c>
      <c r="BD131" s="171">
        <f ca="1">IF(OR($D131&lt;&gt;"Serviço",AND(AUTOEVENTO="Manual",$M131=$A$15)),0,
         IF(OFFSET(CRONOPLE!$F$15,$M131-$A$15,BD$13)=0,10^12,OFFSET(CRONOPLE!$F$15,$M131-$A$15,BD$13)))</f>
        <v>1000000000000</v>
      </c>
      <c r="BE131" s="171">
        <f ca="1">IF(OR($D131&lt;&gt;"Serviço",AND(AUTOEVENTO="Manual",$M131=$A$15)),0,
         IF(OFFSET(CRONOPLE!$F$15,$M131-$A$15,BE$13)=0,10^12,OFFSET(CRONOPLE!$F$15,$M131-$A$15,BE$13)))</f>
        <v>1000000000000</v>
      </c>
      <c r="BF131" s="171">
        <f ca="1">IF(OR($D131&lt;&gt;"Serviço",AND(AUTOEVENTO="Manual",$M131=$A$15)),0,
         IF(OFFSET(CRONOPLE!$F$15,$M131-$A$15,BF$13)=0,10^12,OFFSET(CRONOPLE!$F$15,$M131-$A$15,BF$13)))</f>
        <v>1000000000000</v>
      </c>
      <c r="BG131" s="171">
        <f ca="1">IF(OR($D131&lt;&gt;"Serviço",AND(AUTOEVENTO="Manual",$M131=$A$15)),0,
         IF(OFFSET(CRONOPLE!$F$15,$M131-$A$15,BG$13)=0,10^12,OFFSET(CRONOPLE!$F$15,$M131-$A$15,BG$13)))</f>
        <v>3</v>
      </c>
      <c r="BH131" s="171">
        <f ca="1">IF(OR($D131&lt;&gt;"Serviço",AND(AUTOEVENTO="Manual",$M131=$A$15)),0,
         IF(OFFSET(CRONOPLE!$F$15,$M131-$A$15,BH$13)=0,10^12,OFFSET(CRONOPLE!$F$15,$M131-$A$15,BH$13)))</f>
        <v>1000000000000</v>
      </c>
      <c r="BI131" s="171">
        <f ca="1">IF(OR($D131&lt;&gt;"Serviço",AND(AUTOEVENTO="Manual",$M131=$A$15)),0,
         IF(OFFSET(CRONOPLE!$F$15,$M131-$A$15,BI$13)=0,10^12,OFFSET(CRONOPLE!$F$15,$M131-$A$15,BI$13)))</f>
        <v>1000000000000</v>
      </c>
      <c r="BJ131" s="171">
        <f ca="1">IF(OR($D131&lt;&gt;"Serviço",AND(AUTOEVENTO="Manual",$M131=$A$15)),0,
         IF(OFFSET(CRONOPLE!$F$15,$M131-$A$15,BJ$13)=0,10^12,OFFSET(CRONOPLE!$F$15,$M131-$A$15,BJ$13)))</f>
        <v>1000000000000</v>
      </c>
      <c r="BK131" s="171">
        <f ca="1">IF(OR($D131&lt;&gt;"Serviço",AND(AUTOEVENTO="Manual",$M131=$A$15)),0,
         IF(OFFSET(CRONOPLE!$F$15,$M131-$A$15,BK$13)=0,10^12,OFFSET(CRONOPLE!$F$15,$M131-$A$15,BK$13)))</f>
        <v>1000000000000</v>
      </c>
      <c r="BL131" s="171">
        <f ca="1">IF(OR($D131&lt;&gt;"Serviço",AND(AUTOEVENTO="Manual",$M131=$A$15)),0,
         IF(OFFSET(CRONOPLE!$F$15,$M131-$A$15,BL$13)=0,10^12,OFFSET(CRONOPLE!$F$15,$M131-$A$15,BL$13)))</f>
        <v>1000000000000</v>
      </c>
      <c r="BM131" s="171">
        <f ca="1">IF(OR($D131&lt;&gt;"Serviço",AND(AUTOEVENTO="Manual",$M131=$A$15)),0,
         IF(OFFSET(CRONOPLE!$F$15,$M131-$A$15,BM$13)=0,10^12,OFFSET(CRONOPLE!$F$15,$M131-$A$15,BM$13)))</f>
        <v>1000000000000</v>
      </c>
      <c r="BN131" s="171">
        <f ca="1">IF(OR($D131&lt;&gt;"Serviço",AND(AUTOEVENTO="Manual",$M131=$A$15)),0,
         IF(OFFSET(CRONOPLE!$F$15,$M131-$A$15,BN$13)=0,10^12,OFFSET(CRONOPLE!$F$15,$M131-$A$15,BN$13)))</f>
        <v>1000000000000</v>
      </c>
      <c r="BO131" s="171">
        <f ca="1">IF(OR($D131&lt;&gt;"Serviço",AND(AUTOEVENTO="Manual",$M131=$A$15)),0,
         IF(OFFSET(CRONOPLE!$F$15,$M131-$A$15,BO$13)=0,10^12,OFFSET(CRONOPLE!$F$15,$M131-$A$15,BO$13)))</f>
        <v>1000000000000</v>
      </c>
      <c r="BP131" s="171">
        <f ca="1">IF(OR($D131&lt;&gt;"Serviço",AND(AUTOEVENTO="Manual",$M131=$A$15)),0,
         IF(OFFSET(CRONOPLE!$F$15,$M131-$A$15,BP$13)=0,10^12,OFFSET(CRONOPLE!$F$15,$M131-$A$15,BP$13)))</f>
        <v>1000000000000</v>
      </c>
      <c r="BQ131" s="171">
        <f ca="1">IF(OR($D131&lt;&gt;"Serviço",AND(AUTOEVENTO="Manual",$M131=$A$15)),0,
         IF(OFFSET(CRONOPLE!$F$15,$M131-$A$15,BQ$13)=0,10^12,OFFSET(CRONOPLE!$F$15,$M131-$A$15,BQ$13)))</f>
        <v>1000000000000</v>
      </c>
      <c r="BR131" s="171">
        <f ca="1">IF(OR($D131&lt;&gt;"Serviço",AND(AUTOEVENTO="Manual",$M131=$A$15)),0,
         IF(OFFSET(CRONOPLE!$F$15,$M131-$A$15,BR$13)=0,10^12,OFFSET(CRONOPLE!$F$15,$M131-$A$15,BR$13)))</f>
        <v>1000000000000</v>
      </c>
      <c r="BS131" s="171">
        <f ca="1">IF(OR($D131&lt;&gt;"Serviço",AND(AUTOEVENTO="Manual",$M131=$A$15)),0,
         IF(OFFSET(CRONOPLE!$F$15,$M131-$A$15,BS$13)=0,10^12,OFFSET(CRONOPLE!$F$15,$M131-$A$15,BS$13)))</f>
        <v>1000000000000</v>
      </c>
      <c r="BT131" s="171">
        <f ca="1">IF(OR($D131&lt;&gt;"Serviço",AND(AUTOEVENTO="Manual",$M131=$A$15)),0,
         IF(OFFSET(CRONOPLE!$F$15,$M131-$A$15,BT$13)=0,10^12,OFFSET(CRONOPLE!$F$15,$M131-$A$15,BT$13)))</f>
        <v>1000000000000</v>
      </c>
      <c r="BV131" s="172">
        <f ca="1">IF(OR($D131&lt;&gt;"Serviço",AND(AUTOEVENTO="Manual",$M131=$A$15),$M131&gt;(ROW(PLE.lastrow)-ROW(PLE.firstrow))),0,
           IF(OFFSET(PLE!$G$15,$M131-$A$15,BV$13)="",10^12,OFFSET(PLE!$G$15,$M131-$A$15,BV$13)))</f>
        <v>1000000000000</v>
      </c>
      <c r="BW131" s="172">
        <f ca="1">IF(OR($D131&lt;&gt;"Serviço",AND(AUTOEVENTO="Manual",$M131=$A$15),$M131&gt;(ROW(PLE.lastrow)-ROW(PLE.firstrow))),0,
           IF(OFFSET(PLE!$G$15,$M131-$A$15,BW$13)="",10^12,OFFSET(PLE!$G$15,$M131-$A$15,BW$13)))</f>
        <v>1000000000000</v>
      </c>
      <c r="BX131" s="172">
        <f ca="1">IF(OR($D131&lt;&gt;"Serviço",AND(AUTOEVENTO="Manual",$M131=$A$15),$M131&gt;(ROW(PLE.lastrow)-ROW(PLE.firstrow))),0,
           IF(OFFSET(PLE!$G$15,$M131-$A$15,BX$13)="",10^12,OFFSET(PLE!$G$15,$M131-$A$15,BX$13)))</f>
        <v>1000000000000</v>
      </c>
      <c r="BY131" s="172">
        <f ca="1">IF(OR($D131&lt;&gt;"Serviço",AND(AUTOEVENTO="Manual",$M131=$A$15),$M131&gt;(ROW(PLE.lastrow)-ROW(PLE.firstrow))),0,
           IF(OFFSET(PLE!$G$15,$M131-$A$15,BY$13)="",10^12,OFFSET(PLE!$G$15,$M131-$A$15,BY$13)))</f>
        <v>1000000000000</v>
      </c>
      <c r="BZ131" s="172">
        <f ca="1">IF(OR($D131&lt;&gt;"Serviço",AND(AUTOEVENTO="Manual",$M131=$A$15),$M131&gt;(ROW(PLE.lastrow)-ROW(PLE.firstrow))),0,
           IF(OFFSET(PLE!$G$15,$M131-$A$15,BZ$13)="",10^12,OFFSET(PLE!$G$15,$M131-$A$15,BZ$13)))</f>
        <v>1000000000000</v>
      </c>
      <c r="CA131" s="172">
        <f ca="1">IF(OR($D131&lt;&gt;"Serviço",AND(AUTOEVENTO="Manual",$M131=$A$15),$M131&gt;(ROW(PLE.lastrow)-ROW(PLE.firstrow))),0,
           IF(OFFSET(PLE!$G$15,$M131-$A$15,CA$13)="",10^12,OFFSET(PLE!$G$15,$M131-$A$15,CA$13)))</f>
        <v>1000000000000</v>
      </c>
      <c r="CB131" s="172">
        <f ca="1">IF(OR($D131&lt;&gt;"Serviço",AND(AUTOEVENTO="Manual",$M131=$A$15),$M131&gt;(ROW(PLE.lastrow)-ROW(PLE.firstrow))),0,
           IF(OFFSET(PLE!$G$15,$M131-$A$15,CB$13)="",10^12,OFFSET(PLE!$G$15,$M131-$A$15,CB$13)))</f>
        <v>1000000000000</v>
      </c>
      <c r="CC131" s="172">
        <f ca="1">IF(OR($D131&lt;&gt;"Serviço",AND(AUTOEVENTO="Manual",$M131=$A$15),$M131&gt;(ROW(PLE.lastrow)-ROW(PLE.firstrow))),0,
           IF(OFFSET(PLE!$G$15,$M131-$A$15,CC$13)="",10^12,OFFSET(PLE!$G$15,$M131-$A$15,CC$13)))</f>
        <v>1000000000000</v>
      </c>
      <c r="CD131" s="172">
        <f ca="1">IF(OR($D131&lt;&gt;"Serviço",AND(AUTOEVENTO="Manual",$M131=$A$15),$M131&gt;(ROW(PLE.lastrow)-ROW(PLE.firstrow))),0,
           IF(OFFSET(PLE!$G$15,$M131-$A$15,CD$13)="",10^12,OFFSET(PLE!$G$15,$M131-$A$15,CD$13)))</f>
        <v>1000000000000</v>
      </c>
      <c r="CE131" s="172">
        <f ca="1">IF(OR($D131&lt;&gt;"Serviço",AND(AUTOEVENTO="Manual",$M131=$A$15),$M131&gt;(ROW(PLE.lastrow)-ROW(PLE.firstrow))),0,
           IF(OFFSET(PLE!$G$15,$M131-$A$15,CE$13)="",10^12,OFFSET(PLE!$G$15,$M131-$A$15,CE$13)))</f>
        <v>1000000000000</v>
      </c>
      <c r="CF131" s="172">
        <f ca="1">IF(OR($D131&lt;&gt;"Serviço",AND(AUTOEVENTO="Manual",$M131=$A$15),$M131&gt;(ROW(PLE.lastrow)-ROW(PLE.firstrow))),0,
           IF(OFFSET(PLE!$G$15,$M131-$A$15,CF$13)="",10^12,OFFSET(PLE!$G$15,$M131-$A$15,CF$13)))</f>
        <v>1000000000000</v>
      </c>
      <c r="CG131" s="172">
        <f ca="1">IF(OR($D131&lt;&gt;"Serviço",AND(AUTOEVENTO="Manual",$M131=$A$15),$M131&gt;(ROW(PLE.lastrow)-ROW(PLE.firstrow))),0,
           IF(OFFSET(PLE!$G$15,$M131-$A$15,CG$13)="",10^12,OFFSET(PLE!$G$15,$M131-$A$15,CG$13)))</f>
        <v>1000000000000</v>
      </c>
      <c r="CH131" s="172">
        <f ca="1">IF(OR($D131&lt;&gt;"Serviço",AND(AUTOEVENTO="Manual",$M131=$A$15),$M131&gt;(ROW(PLE.lastrow)-ROW(PLE.firstrow))),0,
           IF(OFFSET(PLE!$G$15,$M131-$A$15,CH$13)="",10^12,OFFSET(PLE!$G$15,$M131-$A$15,CH$13)))</f>
        <v>1000000000000</v>
      </c>
      <c r="CI131" s="172">
        <f ca="1">IF(OR($D131&lt;&gt;"Serviço",AND(AUTOEVENTO="Manual",$M131=$A$15),$M131&gt;(ROW(PLE.lastrow)-ROW(PLE.firstrow))),0,
           IF(OFFSET(PLE!$G$15,$M131-$A$15,CI$13)="",10^12,OFFSET(PLE!$G$15,$M131-$A$15,CI$13)))</f>
        <v>1000000000000</v>
      </c>
      <c r="CJ131" s="172">
        <f ca="1">IF(OR($D131&lt;&gt;"Serviço",AND(AUTOEVENTO="Manual",$M131=$A$15),$M131&gt;(ROW(PLE.lastrow)-ROW(PLE.firstrow))),0,
           IF(OFFSET(PLE!$G$15,$M131-$A$15,CJ$13)="",10^12,OFFSET(PLE!$G$15,$M131-$A$15,CJ$13)))</f>
        <v>1000000000000</v>
      </c>
      <c r="CK131" s="172">
        <f ca="1">IF(OR($D131&lt;&gt;"Serviço",AND(AUTOEVENTO="Manual",$M131=$A$15),$M131&gt;(ROW(PLE.lastrow)-ROW(PLE.firstrow))),0,
           IF(OFFSET(PLE!$G$15,$M131-$A$15,CK$13)="",10^12,OFFSET(PLE!$G$15,$M131-$A$15,CK$13)))</f>
        <v>1000000000000</v>
      </c>
      <c r="CL131" s="172">
        <f ca="1">IF(OR($D131&lt;&gt;"Serviço",AND(AUTOEVENTO="Manual",$M131=$A$15),$M131&gt;(ROW(PLE.lastrow)-ROW(PLE.firstrow))),0,
           IF(OFFSET(PLE!$G$15,$M131-$A$15,CL$13)="",10^12,OFFSET(PLE!$G$15,$M131-$A$15,CL$13)))</f>
        <v>1000000000000</v>
      </c>
      <c r="CM131" s="172">
        <f ca="1">IF(OR($D131&lt;&gt;"Serviço",AND(AUTOEVENTO="Manual",$M131=$A$15),$M131&gt;(ROW(PLE.lastrow)-ROW(PLE.firstrow))),0,
           IF(OFFSET(PLE!$G$15,$M131-$A$15,CM$13)="",10^12,OFFSET(PLE!$G$15,$M131-$A$15,CM$13)))</f>
        <v>1000000000000</v>
      </c>
    </row>
    <row r="132" spans="1:91" ht="13.2" x14ac:dyDescent="0.25">
      <c r="A132" s="7" t="str">
        <f t="shared" ca="1" si="11"/>
        <v>113</v>
      </c>
      <c r="B132" s="7" t="str">
        <f ca="1">OFFSET(ORÇAMENTO!C$15,ROW(B132)-ROW(B$15),0)</f>
        <v>S</v>
      </c>
      <c r="C132" s="7" t="str">
        <f ca="1">OFFSET(ORÇAMENTO!L$15,ROW(C132)-ROW(C$15),0)</f>
        <v>F</v>
      </c>
      <c r="D132" s="116" t="str">
        <f ca="1">OFFSET(ORÇAMENTO!N$15,ROW(D132)-ROW(D$15),0)</f>
        <v>Serviço</v>
      </c>
      <c r="E132" s="117" t="str">
        <f ca="1">OFFSET(ORÇAMENTO!O$15,ROW(E132)-ROW(E$15),0)</f>
        <v>3.5.4.</v>
      </c>
      <c r="F132" s="163" t="str">
        <f ca="1">OFFSET(ORÇAMENTO!R$15,ROW(F132)-ROW(F$15),0)</f>
        <v xml:space="preserve">ENSAIO BANDEJA DO LIGANTE DE PINTURA </v>
      </c>
      <c r="G132" s="164" t="str">
        <f ca="1">IF($D132&lt;&gt;"Serviço","",OFFSET(ORÇAMENTO!S$15,ROW(G132)-ROW(G$15),0))</f>
        <v>UN</v>
      </c>
      <c r="H132" s="122" cm="1">
        <f t="array" aca="1" ref="H132" ca="1">IF($D132&lt;&gt;"Serviço",0,IF(ACOMPANHAMENTO="BM",ROUND(OFFSET(ORÇAMENTO!AJ$15,ROW(H132)-ROW(H$15),0),15-13*ORÇAMENTO!$AF$7),SUMPRODUCT(($Q$1:$AI$1=1)*ROUND($Q132:$AI132,15-13*ORÇAMENTO!$AF$7))))</f>
        <v>1</v>
      </c>
      <c r="I132" s="468"/>
      <c r="J132" s="651" t="e" cm="1">
        <f t="array" aca="1" ref="J132" ca="1">IF(OR(B132&lt;&gt;"S",CÁLCULO.FrentesPreenchidas=0),"",IF(AND(ACOMPANHAMENTO="PLE",AUTOEVENTO="Manual",OR(H132&gt;0,ORÇAMENTO!AC132="QUANT."),OR(K132="",M132=0,N132="")),"►E",IF(AND(ACOMPANHAMENTO="PLE",ORÇAMENTO!AC132="QUANT."),"►Q",IF(AND(ACOMPANHAMENTO="PLE",H132&lt;&gt;SUMPRODUCT(($Q$1:$AI$1=1)*ROUND(Q132:AI132,15))),"►S",IF(AND(COUNTIF($P$11:$AI$11,"▼")=0,H132&gt;0,I132=""),"◄M","")))))</f>
        <v>#NAME?</v>
      </c>
      <c r="K132" s="652"/>
      <c r="L132" s="165" t="s">
        <v>764</v>
      </c>
      <c r="M132" s="166">
        <f ca="1">IF($D132&lt;&gt;"Serviço","",
          IF(AUTOEVENTO="manual",$A132,
                IF(ISERROR(MATCH($A132,$A$15:OFFSET($A132,-1,0),0)),MAX($M$15:OFFSET(M132,-1,0))+1,
                      INDEX($M$15:OFFSET(M132,-1,0),MATCH($A132,$A$15:OFFSET($A132,-1,0),0)))))</f>
        <v>18</v>
      </c>
      <c r="N132" s="167" t="str">
        <f ca="1">IF($D132&lt;&gt;"Serviço","",
         IF(AUTOEVENTO="Manual",
                IF($A132=0,"&lt;-- defina o número do agrupador",
                       OFFSET(EVENTOS!$D$15,$A132-$A$15,0)),
                OFFSET($F$15,$A132,0)))</f>
        <v>ENSAIOS</v>
      </c>
      <c r="O132" s="168"/>
      <c r="Q132" s="168"/>
      <c r="R132" s="169"/>
      <c r="S132" s="169"/>
      <c r="T132" s="169"/>
      <c r="U132" s="169">
        <v>1</v>
      </c>
      <c r="V132" s="169"/>
      <c r="W132" s="169"/>
      <c r="X132" s="169"/>
      <c r="Y132" s="169"/>
      <c r="Z132" s="170"/>
      <c r="AA132" s="169"/>
      <c r="AB132" s="169"/>
      <c r="AC132" s="169"/>
      <c r="AD132" s="169"/>
      <c r="AE132" s="169"/>
      <c r="AF132" s="169"/>
      <c r="AG132" s="169"/>
      <c r="AH132" s="170"/>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L132" s="453">
        <f ca="1">IF(AND($D132="Serviço",AL$12&lt;&gt;0,$H132&gt;0,OR(AUTOEVENTO&lt;&gt;"manual",$M132&lt;&gt;$A$15)),
        IF(Import.TipoArredondamento&lt;&gt;"TransfereGOV",
              ROUND(OFFSET($P132,0,AL$13),15-13*ORÇAMENTO!$AF$7)/$H132*OFFSET(ORÇAMENTO!$X$15,ROW(AL132)-ROW(AL$15),0),
              ROUND(ROUND(OFFSET($P132,0,AL$13),15-13*ORÇAMENTO!$AF$7)*OFFSET(ORÇAMENTO!$W$15,ROW(AL132)-ROW(AL$15),0),15-13*ORÇAMENTO!$AF$11)),
         0)</f>
        <v>0</v>
      </c>
      <c r="AM132" s="453">
        <f ca="1">IF(AND($D132="Serviço",AM$12&lt;&gt;0,$H132&gt;0,OR(AUTOEVENTO&lt;&gt;"manual",$M132&lt;&gt;$A$15)),
        IF(Import.TipoArredondamento&lt;&gt;"TransfereGOV",
              ROUND(OFFSET($P132,0,AM$13),15-13*ORÇAMENTO!$AF$7)/$H132*OFFSET(ORÇAMENTO!$X$15,ROW(AM132)-ROW(AM$15),0),
              ROUND(ROUND(OFFSET($P132,0,AM$13),15-13*ORÇAMENTO!$AF$7)*OFFSET(ORÇAMENTO!$W$15,ROW(AM132)-ROW(AM$15),0),15-13*ORÇAMENTO!$AF$11)),
         0)</f>
        <v>0</v>
      </c>
      <c r="AN132" s="453">
        <f ca="1">IF(AND($D132="Serviço",AN$12&lt;&gt;0,$H132&gt;0,OR(AUTOEVENTO&lt;&gt;"manual",$M132&lt;&gt;$A$15)),
        IF(Import.TipoArredondamento&lt;&gt;"TransfereGOV",
              ROUND(OFFSET($P132,0,AN$13),15-13*ORÇAMENTO!$AF$7)/$H132*OFFSET(ORÇAMENTO!$X$15,ROW(AN132)-ROW(AN$15),0),
              ROUND(ROUND(OFFSET($P132,0,AN$13),15-13*ORÇAMENTO!$AF$7)*OFFSET(ORÇAMENTO!$W$15,ROW(AN132)-ROW(AN$15),0),15-13*ORÇAMENTO!$AF$11)),
         0)</f>
        <v>212.78</v>
      </c>
      <c r="AO132" s="453">
        <f ca="1">IF(AND($D132="Serviço",AO$12&lt;&gt;0,$H132&gt;0,OR(AUTOEVENTO&lt;&gt;"manual",$M132&lt;&gt;$A$15)),
        IF(Import.TipoArredondamento&lt;&gt;"TransfereGOV",
              ROUND(OFFSET($P132,0,AO$13),15-13*ORÇAMENTO!$AF$7)/$H132*OFFSET(ORÇAMENTO!$X$15,ROW(AO132)-ROW(AO$15),0),
              ROUND(ROUND(OFFSET($P132,0,AO$13),15-13*ORÇAMENTO!$AF$7)*OFFSET(ORÇAMENTO!$W$15,ROW(AO132)-ROW(AO$15),0),15-13*ORÇAMENTO!$AF$11)),
         0)</f>
        <v>0</v>
      </c>
      <c r="AP132" s="453">
        <f ca="1">IF(AND($D132="Serviço",AP$12&lt;&gt;0,$H132&gt;0,OR(AUTOEVENTO&lt;&gt;"manual",$M132&lt;&gt;$A$15)),
        IF(Import.TipoArredondamento&lt;&gt;"TransfereGOV",
              ROUND(OFFSET($P132,0,AP$13),15-13*ORÇAMENTO!$AF$7)/$H132*OFFSET(ORÇAMENTO!$X$15,ROW(AP132)-ROW(AP$15),0),
              ROUND(ROUND(OFFSET($P132,0,AP$13),15-13*ORÇAMENTO!$AF$7)*OFFSET(ORÇAMENTO!$W$15,ROW(AP132)-ROW(AP$15),0),15-13*ORÇAMENTO!$AF$11)),
         0)</f>
        <v>0</v>
      </c>
      <c r="AQ132" s="453">
        <f ca="1">IF(AND($D132="Serviço",AQ$12&lt;&gt;0,$H132&gt;0,OR(AUTOEVENTO&lt;&gt;"manual",$M132&lt;&gt;$A$15)),
        IF(Import.TipoArredondamento&lt;&gt;"TransfereGOV",
              ROUND(OFFSET($P132,0,AQ$13),15-13*ORÇAMENTO!$AF$7)/$H132*OFFSET(ORÇAMENTO!$X$15,ROW(AQ132)-ROW(AQ$15),0),
              ROUND(ROUND(OFFSET($P132,0,AQ$13),15-13*ORÇAMENTO!$AF$7)*OFFSET(ORÇAMENTO!$W$15,ROW(AQ132)-ROW(AQ$15),0),15-13*ORÇAMENTO!$AF$11)),
         0)</f>
        <v>0</v>
      </c>
      <c r="AR132" s="453">
        <f ca="1">IF(AND($D132="Serviço",AR$12&lt;&gt;0,$H132&gt;0,OR(AUTOEVENTO&lt;&gt;"manual",$M132&lt;&gt;$A$15)),
        IF(Import.TipoArredondamento&lt;&gt;"TransfereGOV",
              ROUND(OFFSET($P132,0,AR$13),15-13*ORÇAMENTO!$AF$7)/$H132*OFFSET(ORÇAMENTO!$X$15,ROW(AR132)-ROW(AR$15),0),
              ROUND(ROUND(OFFSET($P132,0,AR$13),15-13*ORÇAMENTO!$AF$7)*OFFSET(ORÇAMENTO!$W$15,ROW(AR132)-ROW(AR$15),0),15-13*ORÇAMENTO!$AF$11)),
         0)</f>
        <v>0</v>
      </c>
      <c r="AS132" s="453">
        <f ca="1">IF(AND($D132="Serviço",AS$12&lt;&gt;0,$H132&gt;0,OR(AUTOEVENTO&lt;&gt;"manual",$M132&lt;&gt;$A$15)),
        IF(Import.TipoArredondamento&lt;&gt;"TransfereGOV",
              ROUND(OFFSET($P132,0,AS$13),15-13*ORÇAMENTO!$AF$7)/$H132*OFFSET(ORÇAMENTO!$X$15,ROW(AS132)-ROW(AS$15),0),
              ROUND(ROUND(OFFSET($P132,0,AS$13),15-13*ORÇAMENTO!$AF$7)*OFFSET(ORÇAMENTO!$W$15,ROW(AS132)-ROW(AS$15),0),15-13*ORÇAMENTO!$AF$11)),
         0)</f>
        <v>0</v>
      </c>
      <c r="AT132" s="453">
        <f ca="1">IF(AND($D132="Serviço",AT$12&lt;&gt;0,$H132&gt;0,OR(AUTOEVENTO&lt;&gt;"manual",$M132&lt;&gt;$A$15)),
        IF(Import.TipoArredondamento&lt;&gt;"TransfereGOV",
              ROUND(OFFSET($P132,0,AT$13),15-13*ORÇAMENTO!$AF$7)/$H132*OFFSET(ORÇAMENTO!$X$15,ROW(AT132)-ROW(AT$15),0),
              ROUND(ROUND(OFFSET($P132,0,AT$13),15-13*ORÇAMENTO!$AF$7)*OFFSET(ORÇAMENTO!$W$15,ROW(AT132)-ROW(AT$15),0),15-13*ORÇAMENTO!$AF$11)),
         0)</f>
        <v>0</v>
      </c>
      <c r="AU132" s="453">
        <f ca="1">IF(AND($D132="Serviço",AU$12&lt;&gt;0,$H132&gt;0,OR(AUTOEVENTO&lt;&gt;"manual",$M132&lt;&gt;$A$15)),
        IF(Import.TipoArredondamento&lt;&gt;"TransfereGOV",
              ROUND(OFFSET($P132,0,AU$13),15-13*ORÇAMENTO!$AF$7)/$H132*OFFSET(ORÇAMENTO!$X$15,ROW(AU132)-ROW(AU$15),0),
              ROUND(ROUND(OFFSET($P132,0,AU$13),15-13*ORÇAMENTO!$AF$7)*OFFSET(ORÇAMENTO!$W$15,ROW(AU132)-ROW(AU$15),0),15-13*ORÇAMENTO!$AF$11)),
         0)</f>
        <v>0</v>
      </c>
      <c r="AV132" s="453">
        <f ca="1">IF(AND($D132="Serviço",AV$12&lt;&gt;0,$H132&gt;0,OR(AUTOEVENTO&lt;&gt;"manual",$M132&lt;&gt;$A$15)),
        IF(Import.TipoArredondamento&lt;&gt;"TransfereGOV",
              ROUND(OFFSET($P132,0,AV$13),15-13*ORÇAMENTO!$AF$7)/$H132*OFFSET(ORÇAMENTO!$X$15,ROW(AV132)-ROW(AV$15),0),
              ROUND(ROUND(OFFSET($P132,0,AV$13),15-13*ORÇAMENTO!$AF$7)*OFFSET(ORÇAMENTO!$W$15,ROW(AV132)-ROW(AV$15),0),15-13*ORÇAMENTO!$AF$11)),
         0)</f>
        <v>0</v>
      </c>
      <c r="AW132" s="453">
        <f ca="1">IF(AND($D132="Serviço",AW$12&lt;&gt;0,$H132&gt;0,OR(AUTOEVENTO&lt;&gt;"manual",$M132&lt;&gt;$A$15)),
        IF(Import.TipoArredondamento&lt;&gt;"TransfereGOV",
              ROUND(OFFSET($P132,0,AW$13),15-13*ORÇAMENTO!$AF$7)/$H132*OFFSET(ORÇAMENTO!$X$15,ROW(AW132)-ROW(AW$15),0),
              ROUND(ROUND(OFFSET($P132,0,AW$13),15-13*ORÇAMENTO!$AF$7)*OFFSET(ORÇAMENTO!$W$15,ROW(AW132)-ROW(AW$15),0),15-13*ORÇAMENTO!$AF$11)),
         0)</f>
        <v>0</v>
      </c>
      <c r="AX132" s="453">
        <f ca="1">IF(AND($D132="Serviço",AX$12&lt;&gt;0,$H132&gt;0,OR(AUTOEVENTO&lt;&gt;"manual",$M132&lt;&gt;$A$15)),
        IF(Import.TipoArredondamento&lt;&gt;"TransfereGOV",
              ROUND(OFFSET($P132,0,AX$13),15-13*ORÇAMENTO!$AF$7)/$H132*OFFSET(ORÇAMENTO!$X$15,ROW(AX132)-ROW(AX$15),0),
              ROUND(ROUND(OFFSET($P132,0,AX$13),15-13*ORÇAMENTO!$AF$7)*OFFSET(ORÇAMENTO!$W$15,ROW(AX132)-ROW(AX$15),0),15-13*ORÇAMENTO!$AF$11)),
         0)</f>
        <v>0</v>
      </c>
      <c r="AY132" s="453">
        <f ca="1">IF(AND($D132="Serviço",AY$12&lt;&gt;0,$H132&gt;0,OR(AUTOEVENTO&lt;&gt;"manual",$M132&lt;&gt;$A$15)),
        IF(Import.TipoArredondamento&lt;&gt;"TransfereGOV",
              ROUND(OFFSET($P132,0,AY$13),15-13*ORÇAMENTO!$AF$7)/$H132*OFFSET(ORÇAMENTO!$X$15,ROW(AY132)-ROW(AY$15),0),
              ROUND(ROUND(OFFSET($P132,0,AY$13),15-13*ORÇAMENTO!$AF$7)*OFFSET(ORÇAMENTO!$W$15,ROW(AY132)-ROW(AY$15),0),15-13*ORÇAMENTO!$AF$11)),
         0)</f>
        <v>0</v>
      </c>
      <c r="AZ132" s="453">
        <f ca="1">IF(AND($D132="Serviço",AZ$12&lt;&gt;0,$H132&gt;0,OR(AUTOEVENTO&lt;&gt;"manual",$M132&lt;&gt;$A$15)),
        IF(Import.TipoArredondamento&lt;&gt;"TransfereGOV",
              ROUND(OFFSET($P132,0,AZ$13),15-13*ORÇAMENTO!$AF$7)/$H132*OFFSET(ORÇAMENTO!$X$15,ROW(AZ132)-ROW(AZ$15),0),
              ROUND(ROUND(OFFSET($P132,0,AZ$13),15-13*ORÇAMENTO!$AF$7)*OFFSET(ORÇAMENTO!$W$15,ROW(AZ132)-ROW(AZ$15),0),15-13*ORÇAMENTO!$AF$11)),
         0)</f>
        <v>0</v>
      </c>
      <c r="BA132" s="453">
        <f ca="1">IF(AND($D132="Serviço",BA$12&lt;&gt;0,$H132&gt;0,OR(AUTOEVENTO&lt;&gt;"manual",$M132&lt;&gt;$A$15)),
        IF(Import.TipoArredondamento&lt;&gt;"TransfereGOV",
              ROUND(OFFSET($P132,0,BA$13),15-13*ORÇAMENTO!$AF$7)/$H132*OFFSET(ORÇAMENTO!$X$15,ROW(BA132)-ROW(BA$15),0),
              ROUND(ROUND(OFFSET($P132,0,BA$13),15-13*ORÇAMENTO!$AF$7)*OFFSET(ORÇAMENTO!$W$15,ROW(BA132)-ROW(BA$15),0),15-13*ORÇAMENTO!$AF$11)),
         0)</f>
        <v>0</v>
      </c>
      <c r="BC132" s="171">
        <f ca="1">IF(OR($D132&lt;&gt;"Serviço",AND(AUTOEVENTO="Manual",$M132=$A$15)),0,
         IF(OFFSET(CRONOPLE!$F$15,$M132-$A$15,BC$13)=0,10^12,OFFSET(CRONOPLE!$F$15,$M132-$A$15,BC$13)))</f>
        <v>1000000000000</v>
      </c>
      <c r="BD132" s="171">
        <f ca="1">IF(OR($D132&lt;&gt;"Serviço",AND(AUTOEVENTO="Manual",$M132=$A$15)),0,
         IF(OFFSET(CRONOPLE!$F$15,$M132-$A$15,BD$13)=0,10^12,OFFSET(CRONOPLE!$F$15,$M132-$A$15,BD$13)))</f>
        <v>1000000000000</v>
      </c>
      <c r="BE132" s="171">
        <f ca="1">IF(OR($D132&lt;&gt;"Serviço",AND(AUTOEVENTO="Manual",$M132=$A$15)),0,
         IF(OFFSET(CRONOPLE!$F$15,$M132-$A$15,BE$13)=0,10^12,OFFSET(CRONOPLE!$F$15,$M132-$A$15,BE$13)))</f>
        <v>1000000000000</v>
      </c>
      <c r="BF132" s="171">
        <f ca="1">IF(OR($D132&lt;&gt;"Serviço",AND(AUTOEVENTO="Manual",$M132=$A$15)),0,
         IF(OFFSET(CRONOPLE!$F$15,$M132-$A$15,BF$13)=0,10^12,OFFSET(CRONOPLE!$F$15,$M132-$A$15,BF$13)))</f>
        <v>1000000000000</v>
      </c>
      <c r="BG132" s="171">
        <f ca="1">IF(OR($D132&lt;&gt;"Serviço",AND(AUTOEVENTO="Manual",$M132=$A$15)),0,
         IF(OFFSET(CRONOPLE!$F$15,$M132-$A$15,BG$13)=0,10^12,OFFSET(CRONOPLE!$F$15,$M132-$A$15,BG$13)))</f>
        <v>3</v>
      </c>
      <c r="BH132" s="171">
        <f ca="1">IF(OR($D132&lt;&gt;"Serviço",AND(AUTOEVENTO="Manual",$M132=$A$15)),0,
         IF(OFFSET(CRONOPLE!$F$15,$M132-$A$15,BH$13)=0,10^12,OFFSET(CRONOPLE!$F$15,$M132-$A$15,BH$13)))</f>
        <v>1000000000000</v>
      </c>
      <c r="BI132" s="171">
        <f ca="1">IF(OR($D132&lt;&gt;"Serviço",AND(AUTOEVENTO="Manual",$M132=$A$15)),0,
         IF(OFFSET(CRONOPLE!$F$15,$M132-$A$15,BI$13)=0,10^12,OFFSET(CRONOPLE!$F$15,$M132-$A$15,BI$13)))</f>
        <v>1000000000000</v>
      </c>
      <c r="BJ132" s="171">
        <f ca="1">IF(OR($D132&lt;&gt;"Serviço",AND(AUTOEVENTO="Manual",$M132=$A$15)),0,
         IF(OFFSET(CRONOPLE!$F$15,$M132-$A$15,BJ$13)=0,10^12,OFFSET(CRONOPLE!$F$15,$M132-$A$15,BJ$13)))</f>
        <v>1000000000000</v>
      </c>
      <c r="BK132" s="171">
        <f ca="1">IF(OR($D132&lt;&gt;"Serviço",AND(AUTOEVENTO="Manual",$M132=$A$15)),0,
         IF(OFFSET(CRONOPLE!$F$15,$M132-$A$15,BK$13)=0,10^12,OFFSET(CRONOPLE!$F$15,$M132-$A$15,BK$13)))</f>
        <v>1000000000000</v>
      </c>
      <c r="BL132" s="171">
        <f ca="1">IF(OR($D132&lt;&gt;"Serviço",AND(AUTOEVENTO="Manual",$M132=$A$15)),0,
         IF(OFFSET(CRONOPLE!$F$15,$M132-$A$15,BL$13)=0,10^12,OFFSET(CRONOPLE!$F$15,$M132-$A$15,BL$13)))</f>
        <v>1000000000000</v>
      </c>
      <c r="BM132" s="171">
        <f ca="1">IF(OR($D132&lt;&gt;"Serviço",AND(AUTOEVENTO="Manual",$M132=$A$15)),0,
         IF(OFFSET(CRONOPLE!$F$15,$M132-$A$15,BM$13)=0,10^12,OFFSET(CRONOPLE!$F$15,$M132-$A$15,BM$13)))</f>
        <v>1000000000000</v>
      </c>
      <c r="BN132" s="171">
        <f ca="1">IF(OR($D132&lt;&gt;"Serviço",AND(AUTOEVENTO="Manual",$M132=$A$15)),0,
         IF(OFFSET(CRONOPLE!$F$15,$M132-$A$15,BN$13)=0,10^12,OFFSET(CRONOPLE!$F$15,$M132-$A$15,BN$13)))</f>
        <v>1000000000000</v>
      </c>
      <c r="BO132" s="171">
        <f ca="1">IF(OR($D132&lt;&gt;"Serviço",AND(AUTOEVENTO="Manual",$M132=$A$15)),0,
         IF(OFFSET(CRONOPLE!$F$15,$M132-$A$15,BO$13)=0,10^12,OFFSET(CRONOPLE!$F$15,$M132-$A$15,BO$13)))</f>
        <v>1000000000000</v>
      </c>
      <c r="BP132" s="171">
        <f ca="1">IF(OR($D132&lt;&gt;"Serviço",AND(AUTOEVENTO="Manual",$M132=$A$15)),0,
         IF(OFFSET(CRONOPLE!$F$15,$M132-$A$15,BP$13)=0,10^12,OFFSET(CRONOPLE!$F$15,$M132-$A$15,BP$13)))</f>
        <v>1000000000000</v>
      </c>
      <c r="BQ132" s="171">
        <f ca="1">IF(OR($D132&lt;&gt;"Serviço",AND(AUTOEVENTO="Manual",$M132=$A$15)),0,
         IF(OFFSET(CRONOPLE!$F$15,$M132-$A$15,BQ$13)=0,10^12,OFFSET(CRONOPLE!$F$15,$M132-$A$15,BQ$13)))</f>
        <v>1000000000000</v>
      </c>
      <c r="BR132" s="171">
        <f ca="1">IF(OR($D132&lt;&gt;"Serviço",AND(AUTOEVENTO="Manual",$M132=$A$15)),0,
         IF(OFFSET(CRONOPLE!$F$15,$M132-$A$15,BR$13)=0,10^12,OFFSET(CRONOPLE!$F$15,$M132-$A$15,BR$13)))</f>
        <v>1000000000000</v>
      </c>
      <c r="BS132" s="171">
        <f ca="1">IF(OR($D132&lt;&gt;"Serviço",AND(AUTOEVENTO="Manual",$M132=$A$15)),0,
         IF(OFFSET(CRONOPLE!$F$15,$M132-$A$15,BS$13)=0,10^12,OFFSET(CRONOPLE!$F$15,$M132-$A$15,BS$13)))</f>
        <v>1000000000000</v>
      </c>
      <c r="BT132" s="171">
        <f ca="1">IF(OR($D132&lt;&gt;"Serviço",AND(AUTOEVENTO="Manual",$M132=$A$15)),0,
         IF(OFFSET(CRONOPLE!$F$15,$M132-$A$15,BT$13)=0,10^12,OFFSET(CRONOPLE!$F$15,$M132-$A$15,BT$13)))</f>
        <v>1000000000000</v>
      </c>
      <c r="BV132" s="172">
        <f ca="1">IF(OR($D132&lt;&gt;"Serviço",AND(AUTOEVENTO="Manual",$M132=$A$15),$M132&gt;(ROW(PLE.lastrow)-ROW(PLE.firstrow))),0,
           IF(OFFSET(PLE!$G$15,$M132-$A$15,BV$13)="",10^12,OFFSET(PLE!$G$15,$M132-$A$15,BV$13)))</f>
        <v>1000000000000</v>
      </c>
      <c r="BW132" s="172">
        <f ca="1">IF(OR($D132&lt;&gt;"Serviço",AND(AUTOEVENTO="Manual",$M132=$A$15),$M132&gt;(ROW(PLE.lastrow)-ROW(PLE.firstrow))),0,
           IF(OFFSET(PLE!$G$15,$M132-$A$15,BW$13)="",10^12,OFFSET(PLE!$G$15,$M132-$A$15,BW$13)))</f>
        <v>1000000000000</v>
      </c>
      <c r="BX132" s="172">
        <f ca="1">IF(OR($D132&lt;&gt;"Serviço",AND(AUTOEVENTO="Manual",$M132=$A$15),$M132&gt;(ROW(PLE.lastrow)-ROW(PLE.firstrow))),0,
           IF(OFFSET(PLE!$G$15,$M132-$A$15,BX$13)="",10^12,OFFSET(PLE!$G$15,$M132-$A$15,BX$13)))</f>
        <v>1000000000000</v>
      </c>
      <c r="BY132" s="172">
        <f ca="1">IF(OR($D132&lt;&gt;"Serviço",AND(AUTOEVENTO="Manual",$M132=$A$15),$M132&gt;(ROW(PLE.lastrow)-ROW(PLE.firstrow))),0,
           IF(OFFSET(PLE!$G$15,$M132-$A$15,BY$13)="",10^12,OFFSET(PLE!$G$15,$M132-$A$15,BY$13)))</f>
        <v>1000000000000</v>
      </c>
      <c r="BZ132" s="172">
        <f ca="1">IF(OR($D132&lt;&gt;"Serviço",AND(AUTOEVENTO="Manual",$M132=$A$15),$M132&gt;(ROW(PLE.lastrow)-ROW(PLE.firstrow))),0,
           IF(OFFSET(PLE!$G$15,$M132-$A$15,BZ$13)="",10^12,OFFSET(PLE!$G$15,$M132-$A$15,BZ$13)))</f>
        <v>1000000000000</v>
      </c>
      <c r="CA132" s="172">
        <f ca="1">IF(OR($D132&lt;&gt;"Serviço",AND(AUTOEVENTO="Manual",$M132=$A$15),$M132&gt;(ROW(PLE.lastrow)-ROW(PLE.firstrow))),0,
           IF(OFFSET(PLE!$G$15,$M132-$A$15,CA$13)="",10^12,OFFSET(PLE!$G$15,$M132-$A$15,CA$13)))</f>
        <v>1000000000000</v>
      </c>
      <c r="CB132" s="172">
        <f ca="1">IF(OR($D132&lt;&gt;"Serviço",AND(AUTOEVENTO="Manual",$M132=$A$15),$M132&gt;(ROW(PLE.lastrow)-ROW(PLE.firstrow))),0,
           IF(OFFSET(PLE!$G$15,$M132-$A$15,CB$13)="",10^12,OFFSET(PLE!$G$15,$M132-$A$15,CB$13)))</f>
        <v>1000000000000</v>
      </c>
      <c r="CC132" s="172">
        <f ca="1">IF(OR($D132&lt;&gt;"Serviço",AND(AUTOEVENTO="Manual",$M132=$A$15),$M132&gt;(ROW(PLE.lastrow)-ROW(PLE.firstrow))),0,
           IF(OFFSET(PLE!$G$15,$M132-$A$15,CC$13)="",10^12,OFFSET(PLE!$G$15,$M132-$A$15,CC$13)))</f>
        <v>1000000000000</v>
      </c>
      <c r="CD132" s="172">
        <f ca="1">IF(OR($D132&lt;&gt;"Serviço",AND(AUTOEVENTO="Manual",$M132=$A$15),$M132&gt;(ROW(PLE.lastrow)-ROW(PLE.firstrow))),0,
           IF(OFFSET(PLE!$G$15,$M132-$A$15,CD$13)="",10^12,OFFSET(PLE!$G$15,$M132-$A$15,CD$13)))</f>
        <v>1000000000000</v>
      </c>
      <c r="CE132" s="172">
        <f ca="1">IF(OR($D132&lt;&gt;"Serviço",AND(AUTOEVENTO="Manual",$M132=$A$15),$M132&gt;(ROW(PLE.lastrow)-ROW(PLE.firstrow))),0,
           IF(OFFSET(PLE!$G$15,$M132-$A$15,CE$13)="",10^12,OFFSET(PLE!$G$15,$M132-$A$15,CE$13)))</f>
        <v>1000000000000</v>
      </c>
      <c r="CF132" s="172">
        <f ca="1">IF(OR($D132&lt;&gt;"Serviço",AND(AUTOEVENTO="Manual",$M132=$A$15),$M132&gt;(ROW(PLE.lastrow)-ROW(PLE.firstrow))),0,
           IF(OFFSET(PLE!$G$15,$M132-$A$15,CF$13)="",10^12,OFFSET(PLE!$G$15,$M132-$A$15,CF$13)))</f>
        <v>1000000000000</v>
      </c>
      <c r="CG132" s="172">
        <f ca="1">IF(OR($D132&lt;&gt;"Serviço",AND(AUTOEVENTO="Manual",$M132=$A$15),$M132&gt;(ROW(PLE.lastrow)-ROW(PLE.firstrow))),0,
           IF(OFFSET(PLE!$G$15,$M132-$A$15,CG$13)="",10^12,OFFSET(PLE!$G$15,$M132-$A$15,CG$13)))</f>
        <v>1000000000000</v>
      </c>
      <c r="CH132" s="172">
        <f ca="1">IF(OR($D132&lt;&gt;"Serviço",AND(AUTOEVENTO="Manual",$M132=$A$15),$M132&gt;(ROW(PLE.lastrow)-ROW(PLE.firstrow))),0,
           IF(OFFSET(PLE!$G$15,$M132-$A$15,CH$13)="",10^12,OFFSET(PLE!$G$15,$M132-$A$15,CH$13)))</f>
        <v>1000000000000</v>
      </c>
      <c r="CI132" s="172">
        <f ca="1">IF(OR($D132&lt;&gt;"Serviço",AND(AUTOEVENTO="Manual",$M132=$A$15),$M132&gt;(ROW(PLE.lastrow)-ROW(PLE.firstrow))),0,
           IF(OFFSET(PLE!$G$15,$M132-$A$15,CI$13)="",10^12,OFFSET(PLE!$G$15,$M132-$A$15,CI$13)))</f>
        <v>1000000000000</v>
      </c>
      <c r="CJ132" s="172">
        <f ca="1">IF(OR($D132&lt;&gt;"Serviço",AND(AUTOEVENTO="Manual",$M132=$A$15),$M132&gt;(ROW(PLE.lastrow)-ROW(PLE.firstrow))),0,
           IF(OFFSET(PLE!$G$15,$M132-$A$15,CJ$13)="",10^12,OFFSET(PLE!$G$15,$M132-$A$15,CJ$13)))</f>
        <v>1000000000000</v>
      </c>
      <c r="CK132" s="172">
        <f ca="1">IF(OR($D132&lt;&gt;"Serviço",AND(AUTOEVENTO="Manual",$M132=$A$15),$M132&gt;(ROW(PLE.lastrow)-ROW(PLE.firstrow))),0,
           IF(OFFSET(PLE!$G$15,$M132-$A$15,CK$13)="",10^12,OFFSET(PLE!$G$15,$M132-$A$15,CK$13)))</f>
        <v>1000000000000</v>
      </c>
      <c r="CL132" s="172">
        <f ca="1">IF(OR($D132&lt;&gt;"Serviço",AND(AUTOEVENTO="Manual",$M132=$A$15),$M132&gt;(ROW(PLE.lastrow)-ROW(PLE.firstrow))),0,
           IF(OFFSET(PLE!$G$15,$M132-$A$15,CL$13)="",10^12,OFFSET(PLE!$G$15,$M132-$A$15,CL$13)))</f>
        <v>1000000000000</v>
      </c>
      <c r="CM132" s="172">
        <f ca="1">IF(OR($D132&lt;&gt;"Serviço",AND(AUTOEVENTO="Manual",$M132=$A$15),$M132&gt;(ROW(PLE.lastrow)-ROW(PLE.firstrow))),0,
           IF(OFFSET(PLE!$G$15,$M132-$A$15,CM$13)="",10^12,OFFSET(PLE!$G$15,$M132-$A$15,CM$13)))</f>
        <v>1000000000000</v>
      </c>
    </row>
    <row r="133" spans="1:91" ht="13.2" x14ac:dyDescent="0.25">
      <c r="A133" s="7" t="str">
        <f t="shared" ca="1" si="11"/>
        <v>118.</v>
      </c>
      <c r="B133" s="7">
        <f ca="1">OFFSET(ORÇAMENTO!C$15,ROW(B133)-ROW(B$15),0)</f>
        <v>1</v>
      </c>
      <c r="C133" s="7" t="str">
        <f ca="1">OFFSET(ORÇAMENTO!L$15,ROW(C133)-ROW(C$15),0)</f>
        <v>F</v>
      </c>
      <c r="D133" s="116" t="str">
        <f ca="1">OFFSET(ORÇAMENTO!N$15,ROW(D133)-ROW(D$15),0)</f>
        <v>Meta</v>
      </c>
      <c r="E133" s="117" t="str">
        <f ca="1">OFFSET(ORÇAMENTO!O$15,ROW(E133)-ROW(E$15),0)</f>
        <v>4.</v>
      </c>
      <c r="F133" s="163" t="str">
        <f ca="1">OFFSET(ORÇAMENTO!R$15,ROW(F133)-ROW(F$15),0)</f>
        <v>DISTRITO IND. MÁRIO ZANDONÁ (Trecho 5)</v>
      </c>
      <c r="G133" s="164" t="str">
        <f ca="1">IF($D133&lt;&gt;"Serviço","",OFFSET(ORÇAMENTO!S$15,ROW(G133)-ROW(G$15),0))</f>
        <v/>
      </c>
      <c r="H133" s="122" cm="1">
        <f t="array" aca="1" ref="H133" ca="1">IF($D133&lt;&gt;"Serviço",0,IF(ACOMPANHAMENTO="BM",ROUND(OFFSET(ORÇAMENTO!AJ$15,ROW(H133)-ROW(H$15),0),15-13*ORÇAMENTO!$AF$7),SUMPRODUCT(($Q$1:$AI$1=1)*ROUND($Q133:$AI133,15-13*ORÇAMENTO!$AF$7))))</f>
        <v>0</v>
      </c>
      <c r="I133" s="468"/>
      <c r="J133" s="651" t="str" cm="1">
        <f t="array" aca="1" ref="J133" ca="1">IF(OR(B133&lt;&gt;"S",CÁLCULO.FrentesPreenchidas=0),"",IF(AND(ACOMPANHAMENTO="PLE",AUTOEVENTO="Manual",OR(H133&gt;0,ORÇAMENTO!AC133="QUANT."),OR(K133="",M133=0,N133="")),"►E",IF(AND(ACOMPANHAMENTO="PLE",ORÇAMENTO!AC133="QUANT."),"►Q",IF(AND(ACOMPANHAMENTO="PLE",H133&lt;&gt;SUMPRODUCT(($Q$1:$AI$1=1)*ROUND(Q133:AI133,15))),"►S",IF(AND(COUNTIF($P$11:$AI$11,"▼")=0,H133&gt;0,I133=""),"◄M","")))))</f>
        <v/>
      </c>
      <c r="K133" s="652"/>
      <c r="L133" s="165" t="s">
        <v>764</v>
      </c>
      <c r="M133" s="166" t="str">
        <f ca="1">IF($D133&lt;&gt;"Serviço","",
          IF(AUTOEVENTO="manual",$A133,
                IF(ISERROR(MATCH($A133,$A$15:OFFSET($A133,-1,0),0)),MAX($M$15:OFFSET(M133,-1,0))+1,
                      INDEX($M$15:OFFSET(M133,-1,0),MATCH($A133,$A$15:OFFSET($A133,-1,0),0)))))</f>
        <v/>
      </c>
      <c r="N133" s="167" t="str">
        <f ca="1">IF($D133&lt;&gt;"Serviço","",
         IF(AUTOEVENTO="Manual",
                IF($A133=0,"&lt;-- defina o número do agrupador",
                       OFFSET(EVENTOS!$D$15,$A133-$A$15,0)),
                OFFSET($F$15,$A133,0)))</f>
        <v/>
      </c>
      <c r="O133" s="168"/>
      <c r="Q133" s="168"/>
      <c r="R133" s="169"/>
      <c r="S133" s="169"/>
      <c r="T133" s="169"/>
      <c r="U133" s="169"/>
      <c r="V133" s="169"/>
      <c r="W133" s="169"/>
      <c r="X133" s="169"/>
      <c r="Y133" s="169"/>
      <c r="Z133" s="170"/>
      <c r="AA133" s="169"/>
      <c r="AB133" s="169"/>
      <c r="AC133" s="169"/>
      <c r="AD133" s="169"/>
      <c r="AE133" s="169"/>
      <c r="AF133" s="169"/>
      <c r="AG133" s="169"/>
      <c r="AH133" s="170"/>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L133" s="453">
        <f ca="1">IF(AND($D133="Serviço",AL$12&lt;&gt;0,$H133&gt;0,OR(AUTOEVENTO&lt;&gt;"manual",$M133&lt;&gt;$A$15)),
        IF(Import.TipoArredondamento&lt;&gt;"TransfereGOV",
              ROUND(OFFSET($P133,0,AL$13),15-13*ORÇAMENTO!$AF$7)/$H133*OFFSET(ORÇAMENTO!$X$15,ROW(AL133)-ROW(AL$15),0),
              ROUND(ROUND(OFFSET($P133,0,AL$13),15-13*ORÇAMENTO!$AF$7)*OFFSET(ORÇAMENTO!$W$15,ROW(AL133)-ROW(AL$15),0),15-13*ORÇAMENTO!$AF$11)),
         0)</f>
        <v>0</v>
      </c>
      <c r="AM133" s="453">
        <f ca="1">IF(AND($D133="Serviço",AM$12&lt;&gt;0,$H133&gt;0,OR(AUTOEVENTO&lt;&gt;"manual",$M133&lt;&gt;$A$15)),
        IF(Import.TipoArredondamento&lt;&gt;"TransfereGOV",
              ROUND(OFFSET($P133,0,AM$13),15-13*ORÇAMENTO!$AF$7)/$H133*OFFSET(ORÇAMENTO!$X$15,ROW(AM133)-ROW(AM$15),0),
              ROUND(ROUND(OFFSET($P133,0,AM$13),15-13*ORÇAMENTO!$AF$7)*OFFSET(ORÇAMENTO!$W$15,ROW(AM133)-ROW(AM$15),0),15-13*ORÇAMENTO!$AF$11)),
         0)</f>
        <v>0</v>
      </c>
      <c r="AN133" s="453">
        <f ca="1">IF(AND($D133="Serviço",AN$12&lt;&gt;0,$H133&gt;0,OR(AUTOEVENTO&lt;&gt;"manual",$M133&lt;&gt;$A$15)),
        IF(Import.TipoArredondamento&lt;&gt;"TransfereGOV",
              ROUND(OFFSET($P133,0,AN$13),15-13*ORÇAMENTO!$AF$7)/$H133*OFFSET(ORÇAMENTO!$X$15,ROW(AN133)-ROW(AN$15),0),
              ROUND(ROUND(OFFSET($P133,0,AN$13),15-13*ORÇAMENTO!$AF$7)*OFFSET(ORÇAMENTO!$W$15,ROW(AN133)-ROW(AN$15),0),15-13*ORÇAMENTO!$AF$11)),
         0)</f>
        <v>0</v>
      </c>
      <c r="AO133" s="453">
        <f ca="1">IF(AND($D133="Serviço",AO$12&lt;&gt;0,$H133&gt;0,OR(AUTOEVENTO&lt;&gt;"manual",$M133&lt;&gt;$A$15)),
        IF(Import.TipoArredondamento&lt;&gt;"TransfereGOV",
              ROUND(OFFSET($P133,0,AO$13),15-13*ORÇAMENTO!$AF$7)/$H133*OFFSET(ORÇAMENTO!$X$15,ROW(AO133)-ROW(AO$15),0),
              ROUND(ROUND(OFFSET($P133,0,AO$13),15-13*ORÇAMENTO!$AF$7)*OFFSET(ORÇAMENTO!$W$15,ROW(AO133)-ROW(AO$15),0),15-13*ORÇAMENTO!$AF$11)),
         0)</f>
        <v>0</v>
      </c>
      <c r="AP133" s="453">
        <f ca="1">IF(AND($D133="Serviço",AP$12&lt;&gt;0,$H133&gt;0,OR(AUTOEVENTO&lt;&gt;"manual",$M133&lt;&gt;$A$15)),
        IF(Import.TipoArredondamento&lt;&gt;"TransfereGOV",
              ROUND(OFFSET($P133,0,AP$13),15-13*ORÇAMENTO!$AF$7)/$H133*OFFSET(ORÇAMENTO!$X$15,ROW(AP133)-ROW(AP$15),0),
              ROUND(ROUND(OFFSET($P133,0,AP$13),15-13*ORÇAMENTO!$AF$7)*OFFSET(ORÇAMENTO!$W$15,ROW(AP133)-ROW(AP$15),0),15-13*ORÇAMENTO!$AF$11)),
         0)</f>
        <v>0</v>
      </c>
      <c r="AQ133" s="453">
        <f ca="1">IF(AND($D133="Serviço",AQ$12&lt;&gt;0,$H133&gt;0,OR(AUTOEVENTO&lt;&gt;"manual",$M133&lt;&gt;$A$15)),
        IF(Import.TipoArredondamento&lt;&gt;"TransfereGOV",
              ROUND(OFFSET($P133,0,AQ$13),15-13*ORÇAMENTO!$AF$7)/$H133*OFFSET(ORÇAMENTO!$X$15,ROW(AQ133)-ROW(AQ$15),0),
              ROUND(ROUND(OFFSET($P133,0,AQ$13),15-13*ORÇAMENTO!$AF$7)*OFFSET(ORÇAMENTO!$W$15,ROW(AQ133)-ROW(AQ$15),0),15-13*ORÇAMENTO!$AF$11)),
         0)</f>
        <v>0</v>
      </c>
      <c r="AR133" s="453">
        <f ca="1">IF(AND($D133="Serviço",AR$12&lt;&gt;0,$H133&gt;0,OR(AUTOEVENTO&lt;&gt;"manual",$M133&lt;&gt;$A$15)),
        IF(Import.TipoArredondamento&lt;&gt;"TransfereGOV",
              ROUND(OFFSET($P133,0,AR$13),15-13*ORÇAMENTO!$AF$7)/$H133*OFFSET(ORÇAMENTO!$X$15,ROW(AR133)-ROW(AR$15),0),
              ROUND(ROUND(OFFSET($P133,0,AR$13),15-13*ORÇAMENTO!$AF$7)*OFFSET(ORÇAMENTO!$W$15,ROW(AR133)-ROW(AR$15),0),15-13*ORÇAMENTO!$AF$11)),
         0)</f>
        <v>0</v>
      </c>
      <c r="AS133" s="453">
        <f ca="1">IF(AND($D133="Serviço",AS$12&lt;&gt;0,$H133&gt;0,OR(AUTOEVENTO&lt;&gt;"manual",$M133&lt;&gt;$A$15)),
        IF(Import.TipoArredondamento&lt;&gt;"TransfereGOV",
              ROUND(OFFSET($P133,0,AS$13),15-13*ORÇAMENTO!$AF$7)/$H133*OFFSET(ORÇAMENTO!$X$15,ROW(AS133)-ROW(AS$15),0),
              ROUND(ROUND(OFFSET($P133,0,AS$13),15-13*ORÇAMENTO!$AF$7)*OFFSET(ORÇAMENTO!$W$15,ROW(AS133)-ROW(AS$15),0),15-13*ORÇAMENTO!$AF$11)),
         0)</f>
        <v>0</v>
      </c>
      <c r="AT133" s="453">
        <f ca="1">IF(AND($D133="Serviço",AT$12&lt;&gt;0,$H133&gt;0,OR(AUTOEVENTO&lt;&gt;"manual",$M133&lt;&gt;$A$15)),
        IF(Import.TipoArredondamento&lt;&gt;"TransfereGOV",
              ROUND(OFFSET($P133,0,AT$13),15-13*ORÇAMENTO!$AF$7)/$H133*OFFSET(ORÇAMENTO!$X$15,ROW(AT133)-ROW(AT$15),0),
              ROUND(ROUND(OFFSET($P133,0,AT$13),15-13*ORÇAMENTO!$AF$7)*OFFSET(ORÇAMENTO!$W$15,ROW(AT133)-ROW(AT$15),0),15-13*ORÇAMENTO!$AF$11)),
         0)</f>
        <v>0</v>
      </c>
      <c r="AU133" s="453">
        <f ca="1">IF(AND($D133="Serviço",AU$12&lt;&gt;0,$H133&gt;0,OR(AUTOEVENTO&lt;&gt;"manual",$M133&lt;&gt;$A$15)),
        IF(Import.TipoArredondamento&lt;&gt;"TransfereGOV",
              ROUND(OFFSET($P133,0,AU$13),15-13*ORÇAMENTO!$AF$7)/$H133*OFFSET(ORÇAMENTO!$X$15,ROW(AU133)-ROW(AU$15),0),
              ROUND(ROUND(OFFSET($P133,0,AU$13),15-13*ORÇAMENTO!$AF$7)*OFFSET(ORÇAMENTO!$W$15,ROW(AU133)-ROW(AU$15),0),15-13*ORÇAMENTO!$AF$11)),
         0)</f>
        <v>0</v>
      </c>
      <c r="AV133" s="453">
        <f ca="1">IF(AND($D133="Serviço",AV$12&lt;&gt;0,$H133&gt;0,OR(AUTOEVENTO&lt;&gt;"manual",$M133&lt;&gt;$A$15)),
        IF(Import.TipoArredondamento&lt;&gt;"TransfereGOV",
              ROUND(OFFSET($P133,0,AV$13),15-13*ORÇAMENTO!$AF$7)/$H133*OFFSET(ORÇAMENTO!$X$15,ROW(AV133)-ROW(AV$15),0),
              ROUND(ROUND(OFFSET($P133,0,AV$13),15-13*ORÇAMENTO!$AF$7)*OFFSET(ORÇAMENTO!$W$15,ROW(AV133)-ROW(AV$15),0),15-13*ORÇAMENTO!$AF$11)),
         0)</f>
        <v>0</v>
      </c>
      <c r="AW133" s="453">
        <f ca="1">IF(AND($D133="Serviço",AW$12&lt;&gt;0,$H133&gt;0,OR(AUTOEVENTO&lt;&gt;"manual",$M133&lt;&gt;$A$15)),
        IF(Import.TipoArredondamento&lt;&gt;"TransfereGOV",
              ROUND(OFFSET($P133,0,AW$13),15-13*ORÇAMENTO!$AF$7)/$H133*OFFSET(ORÇAMENTO!$X$15,ROW(AW133)-ROW(AW$15),0),
              ROUND(ROUND(OFFSET($P133,0,AW$13),15-13*ORÇAMENTO!$AF$7)*OFFSET(ORÇAMENTO!$W$15,ROW(AW133)-ROW(AW$15),0),15-13*ORÇAMENTO!$AF$11)),
         0)</f>
        <v>0</v>
      </c>
      <c r="AX133" s="453">
        <f ca="1">IF(AND($D133="Serviço",AX$12&lt;&gt;0,$H133&gt;0,OR(AUTOEVENTO&lt;&gt;"manual",$M133&lt;&gt;$A$15)),
        IF(Import.TipoArredondamento&lt;&gt;"TransfereGOV",
              ROUND(OFFSET($P133,0,AX$13),15-13*ORÇAMENTO!$AF$7)/$H133*OFFSET(ORÇAMENTO!$X$15,ROW(AX133)-ROW(AX$15),0),
              ROUND(ROUND(OFFSET($P133,0,AX$13),15-13*ORÇAMENTO!$AF$7)*OFFSET(ORÇAMENTO!$W$15,ROW(AX133)-ROW(AX$15),0),15-13*ORÇAMENTO!$AF$11)),
         0)</f>
        <v>0</v>
      </c>
      <c r="AY133" s="453">
        <f ca="1">IF(AND($D133="Serviço",AY$12&lt;&gt;0,$H133&gt;0,OR(AUTOEVENTO&lt;&gt;"manual",$M133&lt;&gt;$A$15)),
        IF(Import.TipoArredondamento&lt;&gt;"TransfereGOV",
              ROUND(OFFSET($P133,0,AY$13),15-13*ORÇAMENTO!$AF$7)/$H133*OFFSET(ORÇAMENTO!$X$15,ROW(AY133)-ROW(AY$15),0),
              ROUND(ROUND(OFFSET($P133,0,AY$13),15-13*ORÇAMENTO!$AF$7)*OFFSET(ORÇAMENTO!$W$15,ROW(AY133)-ROW(AY$15),0),15-13*ORÇAMENTO!$AF$11)),
         0)</f>
        <v>0</v>
      </c>
      <c r="AZ133" s="453">
        <f ca="1">IF(AND($D133="Serviço",AZ$12&lt;&gt;0,$H133&gt;0,OR(AUTOEVENTO&lt;&gt;"manual",$M133&lt;&gt;$A$15)),
        IF(Import.TipoArredondamento&lt;&gt;"TransfereGOV",
              ROUND(OFFSET($P133,0,AZ$13),15-13*ORÇAMENTO!$AF$7)/$H133*OFFSET(ORÇAMENTO!$X$15,ROW(AZ133)-ROW(AZ$15),0),
              ROUND(ROUND(OFFSET($P133,0,AZ$13),15-13*ORÇAMENTO!$AF$7)*OFFSET(ORÇAMENTO!$W$15,ROW(AZ133)-ROW(AZ$15),0),15-13*ORÇAMENTO!$AF$11)),
         0)</f>
        <v>0</v>
      </c>
      <c r="BA133" s="453">
        <f ca="1">IF(AND($D133="Serviço",BA$12&lt;&gt;0,$H133&gt;0,OR(AUTOEVENTO&lt;&gt;"manual",$M133&lt;&gt;$A$15)),
        IF(Import.TipoArredondamento&lt;&gt;"TransfereGOV",
              ROUND(OFFSET($P133,0,BA$13),15-13*ORÇAMENTO!$AF$7)/$H133*OFFSET(ORÇAMENTO!$X$15,ROW(BA133)-ROW(BA$15),0),
              ROUND(ROUND(OFFSET($P133,0,BA$13),15-13*ORÇAMENTO!$AF$7)*OFFSET(ORÇAMENTO!$W$15,ROW(BA133)-ROW(BA$15),0),15-13*ORÇAMENTO!$AF$11)),
         0)</f>
        <v>0</v>
      </c>
      <c r="BC133" s="171">
        <f ca="1">IF(OR($D133&lt;&gt;"Serviço",AND(AUTOEVENTO="Manual",$M133=$A$15)),0,
         IF(OFFSET(CRONOPLE!$F$15,$M133-$A$15,BC$13)=0,10^12,OFFSET(CRONOPLE!$F$15,$M133-$A$15,BC$13)))</f>
        <v>0</v>
      </c>
      <c r="BD133" s="171">
        <f ca="1">IF(OR($D133&lt;&gt;"Serviço",AND(AUTOEVENTO="Manual",$M133=$A$15)),0,
         IF(OFFSET(CRONOPLE!$F$15,$M133-$A$15,BD$13)=0,10^12,OFFSET(CRONOPLE!$F$15,$M133-$A$15,BD$13)))</f>
        <v>0</v>
      </c>
      <c r="BE133" s="171">
        <f ca="1">IF(OR($D133&lt;&gt;"Serviço",AND(AUTOEVENTO="Manual",$M133=$A$15)),0,
         IF(OFFSET(CRONOPLE!$F$15,$M133-$A$15,BE$13)=0,10^12,OFFSET(CRONOPLE!$F$15,$M133-$A$15,BE$13)))</f>
        <v>0</v>
      </c>
      <c r="BF133" s="171">
        <f ca="1">IF(OR($D133&lt;&gt;"Serviço",AND(AUTOEVENTO="Manual",$M133=$A$15)),0,
         IF(OFFSET(CRONOPLE!$F$15,$M133-$A$15,BF$13)=0,10^12,OFFSET(CRONOPLE!$F$15,$M133-$A$15,BF$13)))</f>
        <v>0</v>
      </c>
      <c r="BG133" s="171">
        <f ca="1">IF(OR($D133&lt;&gt;"Serviço",AND(AUTOEVENTO="Manual",$M133=$A$15)),0,
         IF(OFFSET(CRONOPLE!$F$15,$M133-$A$15,BG$13)=0,10^12,OFFSET(CRONOPLE!$F$15,$M133-$A$15,BG$13)))</f>
        <v>0</v>
      </c>
      <c r="BH133" s="171">
        <f ca="1">IF(OR($D133&lt;&gt;"Serviço",AND(AUTOEVENTO="Manual",$M133=$A$15)),0,
         IF(OFFSET(CRONOPLE!$F$15,$M133-$A$15,BH$13)=0,10^12,OFFSET(CRONOPLE!$F$15,$M133-$A$15,BH$13)))</f>
        <v>0</v>
      </c>
      <c r="BI133" s="171">
        <f ca="1">IF(OR($D133&lt;&gt;"Serviço",AND(AUTOEVENTO="Manual",$M133=$A$15)),0,
         IF(OFFSET(CRONOPLE!$F$15,$M133-$A$15,BI$13)=0,10^12,OFFSET(CRONOPLE!$F$15,$M133-$A$15,BI$13)))</f>
        <v>0</v>
      </c>
      <c r="BJ133" s="171">
        <f ca="1">IF(OR($D133&lt;&gt;"Serviço",AND(AUTOEVENTO="Manual",$M133=$A$15)),0,
         IF(OFFSET(CRONOPLE!$F$15,$M133-$A$15,BJ$13)=0,10^12,OFFSET(CRONOPLE!$F$15,$M133-$A$15,BJ$13)))</f>
        <v>0</v>
      </c>
      <c r="BK133" s="171">
        <f ca="1">IF(OR($D133&lt;&gt;"Serviço",AND(AUTOEVENTO="Manual",$M133=$A$15)),0,
         IF(OFFSET(CRONOPLE!$F$15,$M133-$A$15,BK$13)=0,10^12,OFFSET(CRONOPLE!$F$15,$M133-$A$15,BK$13)))</f>
        <v>0</v>
      </c>
      <c r="BL133" s="171">
        <f ca="1">IF(OR($D133&lt;&gt;"Serviço",AND(AUTOEVENTO="Manual",$M133=$A$15)),0,
         IF(OFFSET(CRONOPLE!$F$15,$M133-$A$15,BL$13)=0,10^12,OFFSET(CRONOPLE!$F$15,$M133-$A$15,BL$13)))</f>
        <v>0</v>
      </c>
      <c r="BM133" s="171">
        <f ca="1">IF(OR($D133&lt;&gt;"Serviço",AND(AUTOEVENTO="Manual",$M133=$A$15)),0,
         IF(OFFSET(CRONOPLE!$F$15,$M133-$A$15,BM$13)=0,10^12,OFFSET(CRONOPLE!$F$15,$M133-$A$15,BM$13)))</f>
        <v>0</v>
      </c>
      <c r="BN133" s="171">
        <f ca="1">IF(OR($D133&lt;&gt;"Serviço",AND(AUTOEVENTO="Manual",$M133=$A$15)),0,
         IF(OFFSET(CRONOPLE!$F$15,$M133-$A$15,BN$13)=0,10^12,OFFSET(CRONOPLE!$F$15,$M133-$A$15,BN$13)))</f>
        <v>0</v>
      </c>
      <c r="BO133" s="171">
        <f ca="1">IF(OR($D133&lt;&gt;"Serviço",AND(AUTOEVENTO="Manual",$M133=$A$15)),0,
         IF(OFFSET(CRONOPLE!$F$15,$M133-$A$15,BO$13)=0,10^12,OFFSET(CRONOPLE!$F$15,$M133-$A$15,BO$13)))</f>
        <v>0</v>
      </c>
      <c r="BP133" s="171">
        <f ca="1">IF(OR($D133&lt;&gt;"Serviço",AND(AUTOEVENTO="Manual",$M133=$A$15)),0,
         IF(OFFSET(CRONOPLE!$F$15,$M133-$A$15,BP$13)=0,10^12,OFFSET(CRONOPLE!$F$15,$M133-$A$15,BP$13)))</f>
        <v>0</v>
      </c>
      <c r="BQ133" s="171">
        <f ca="1">IF(OR($D133&lt;&gt;"Serviço",AND(AUTOEVENTO="Manual",$M133=$A$15)),0,
         IF(OFFSET(CRONOPLE!$F$15,$M133-$A$15,BQ$13)=0,10^12,OFFSET(CRONOPLE!$F$15,$M133-$A$15,BQ$13)))</f>
        <v>0</v>
      </c>
      <c r="BR133" s="171">
        <f ca="1">IF(OR($D133&lt;&gt;"Serviço",AND(AUTOEVENTO="Manual",$M133=$A$15)),0,
         IF(OFFSET(CRONOPLE!$F$15,$M133-$A$15,BR$13)=0,10^12,OFFSET(CRONOPLE!$F$15,$M133-$A$15,BR$13)))</f>
        <v>0</v>
      </c>
      <c r="BS133" s="171">
        <f ca="1">IF(OR($D133&lt;&gt;"Serviço",AND(AUTOEVENTO="Manual",$M133=$A$15)),0,
         IF(OFFSET(CRONOPLE!$F$15,$M133-$A$15,BS$13)=0,10^12,OFFSET(CRONOPLE!$F$15,$M133-$A$15,BS$13)))</f>
        <v>0</v>
      </c>
      <c r="BT133" s="171">
        <f ca="1">IF(OR($D133&lt;&gt;"Serviço",AND(AUTOEVENTO="Manual",$M133=$A$15)),0,
         IF(OFFSET(CRONOPLE!$F$15,$M133-$A$15,BT$13)=0,10^12,OFFSET(CRONOPLE!$F$15,$M133-$A$15,BT$13)))</f>
        <v>0</v>
      </c>
      <c r="BV133" s="172">
        <f ca="1">IF(OR($D133&lt;&gt;"Serviço",AND(AUTOEVENTO="Manual",$M133=$A$15),$M133&gt;(ROW(PLE.lastrow)-ROW(PLE.firstrow))),0,
           IF(OFFSET(PLE!$G$15,$M133-$A$15,BV$13)="",10^12,OFFSET(PLE!$G$15,$M133-$A$15,BV$13)))</f>
        <v>0</v>
      </c>
      <c r="BW133" s="172">
        <f ca="1">IF(OR($D133&lt;&gt;"Serviço",AND(AUTOEVENTO="Manual",$M133=$A$15),$M133&gt;(ROW(PLE.lastrow)-ROW(PLE.firstrow))),0,
           IF(OFFSET(PLE!$G$15,$M133-$A$15,BW$13)="",10^12,OFFSET(PLE!$G$15,$M133-$A$15,BW$13)))</f>
        <v>0</v>
      </c>
      <c r="BX133" s="172">
        <f ca="1">IF(OR($D133&lt;&gt;"Serviço",AND(AUTOEVENTO="Manual",$M133=$A$15),$M133&gt;(ROW(PLE.lastrow)-ROW(PLE.firstrow))),0,
           IF(OFFSET(PLE!$G$15,$M133-$A$15,BX$13)="",10^12,OFFSET(PLE!$G$15,$M133-$A$15,BX$13)))</f>
        <v>0</v>
      </c>
      <c r="BY133" s="172">
        <f ca="1">IF(OR($D133&lt;&gt;"Serviço",AND(AUTOEVENTO="Manual",$M133=$A$15),$M133&gt;(ROW(PLE.lastrow)-ROW(PLE.firstrow))),0,
           IF(OFFSET(PLE!$G$15,$M133-$A$15,BY$13)="",10^12,OFFSET(PLE!$G$15,$M133-$A$15,BY$13)))</f>
        <v>0</v>
      </c>
      <c r="BZ133" s="172">
        <f ca="1">IF(OR($D133&lt;&gt;"Serviço",AND(AUTOEVENTO="Manual",$M133=$A$15),$M133&gt;(ROW(PLE.lastrow)-ROW(PLE.firstrow))),0,
           IF(OFFSET(PLE!$G$15,$M133-$A$15,BZ$13)="",10^12,OFFSET(PLE!$G$15,$M133-$A$15,BZ$13)))</f>
        <v>0</v>
      </c>
      <c r="CA133" s="172">
        <f ca="1">IF(OR($D133&lt;&gt;"Serviço",AND(AUTOEVENTO="Manual",$M133=$A$15),$M133&gt;(ROW(PLE.lastrow)-ROW(PLE.firstrow))),0,
           IF(OFFSET(PLE!$G$15,$M133-$A$15,CA$13)="",10^12,OFFSET(PLE!$G$15,$M133-$A$15,CA$13)))</f>
        <v>0</v>
      </c>
      <c r="CB133" s="172">
        <f ca="1">IF(OR($D133&lt;&gt;"Serviço",AND(AUTOEVENTO="Manual",$M133=$A$15),$M133&gt;(ROW(PLE.lastrow)-ROW(PLE.firstrow))),0,
           IF(OFFSET(PLE!$G$15,$M133-$A$15,CB$13)="",10^12,OFFSET(PLE!$G$15,$M133-$A$15,CB$13)))</f>
        <v>0</v>
      </c>
      <c r="CC133" s="172">
        <f ca="1">IF(OR($D133&lt;&gt;"Serviço",AND(AUTOEVENTO="Manual",$M133=$A$15),$M133&gt;(ROW(PLE.lastrow)-ROW(PLE.firstrow))),0,
           IF(OFFSET(PLE!$G$15,$M133-$A$15,CC$13)="",10^12,OFFSET(PLE!$G$15,$M133-$A$15,CC$13)))</f>
        <v>0</v>
      </c>
      <c r="CD133" s="172">
        <f ca="1">IF(OR($D133&lt;&gt;"Serviço",AND(AUTOEVENTO="Manual",$M133=$A$15),$M133&gt;(ROW(PLE.lastrow)-ROW(PLE.firstrow))),0,
           IF(OFFSET(PLE!$G$15,$M133-$A$15,CD$13)="",10^12,OFFSET(PLE!$G$15,$M133-$A$15,CD$13)))</f>
        <v>0</v>
      </c>
      <c r="CE133" s="172">
        <f ca="1">IF(OR($D133&lt;&gt;"Serviço",AND(AUTOEVENTO="Manual",$M133=$A$15),$M133&gt;(ROW(PLE.lastrow)-ROW(PLE.firstrow))),0,
           IF(OFFSET(PLE!$G$15,$M133-$A$15,CE$13)="",10^12,OFFSET(PLE!$G$15,$M133-$A$15,CE$13)))</f>
        <v>0</v>
      </c>
      <c r="CF133" s="172">
        <f ca="1">IF(OR($D133&lt;&gt;"Serviço",AND(AUTOEVENTO="Manual",$M133=$A$15),$M133&gt;(ROW(PLE.lastrow)-ROW(PLE.firstrow))),0,
           IF(OFFSET(PLE!$G$15,$M133-$A$15,CF$13)="",10^12,OFFSET(PLE!$G$15,$M133-$A$15,CF$13)))</f>
        <v>0</v>
      </c>
      <c r="CG133" s="172">
        <f ca="1">IF(OR($D133&lt;&gt;"Serviço",AND(AUTOEVENTO="Manual",$M133=$A$15),$M133&gt;(ROW(PLE.lastrow)-ROW(PLE.firstrow))),0,
           IF(OFFSET(PLE!$G$15,$M133-$A$15,CG$13)="",10^12,OFFSET(PLE!$G$15,$M133-$A$15,CG$13)))</f>
        <v>0</v>
      </c>
      <c r="CH133" s="172">
        <f ca="1">IF(OR($D133&lt;&gt;"Serviço",AND(AUTOEVENTO="Manual",$M133=$A$15),$M133&gt;(ROW(PLE.lastrow)-ROW(PLE.firstrow))),0,
           IF(OFFSET(PLE!$G$15,$M133-$A$15,CH$13)="",10^12,OFFSET(PLE!$G$15,$M133-$A$15,CH$13)))</f>
        <v>0</v>
      </c>
      <c r="CI133" s="172">
        <f ca="1">IF(OR($D133&lt;&gt;"Serviço",AND(AUTOEVENTO="Manual",$M133=$A$15),$M133&gt;(ROW(PLE.lastrow)-ROW(PLE.firstrow))),0,
           IF(OFFSET(PLE!$G$15,$M133-$A$15,CI$13)="",10^12,OFFSET(PLE!$G$15,$M133-$A$15,CI$13)))</f>
        <v>0</v>
      </c>
      <c r="CJ133" s="172">
        <f ca="1">IF(OR($D133&lt;&gt;"Serviço",AND(AUTOEVENTO="Manual",$M133=$A$15),$M133&gt;(ROW(PLE.lastrow)-ROW(PLE.firstrow))),0,
           IF(OFFSET(PLE!$G$15,$M133-$A$15,CJ$13)="",10^12,OFFSET(PLE!$G$15,$M133-$A$15,CJ$13)))</f>
        <v>0</v>
      </c>
      <c r="CK133" s="172">
        <f ca="1">IF(OR($D133&lt;&gt;"Serviço",AND(AUTOEVENTO="Manual",$M133=$A$15),$M133&gt;(ROW(PLE.lastrow)-ROW(PLE.firstrow))),0,
           IF(OFFSET(PLE!$G$15,$M133-$A$15,CK$13)="",10^12,OFFSET(PLE!$G$15,$M133-$A$15,CK$13)))</f>
        <v>0</v>
      </c>
      <c r="CL133" s="172">
        <f ca="1">IF(OR($D133&lt;&gt;"Serviço",AND(AUTOEVENTO="Manual",$M133=$A$15),$M133&gt;(ROW(PLE.lastrow)-ROW(PLE.firstrow))),0,
           IF(OFFSET(PLE!$G$15,$M133-$A$15,CL$13)="",10^12,OFFSET(PLE!$G$15,$M133-$A$15,CL$13)))</f>
        <v>0</v>
      </c>
      <c r="CM133" s="172">
        <f ca="1">IF(OR($D133&lt;&gt;"Serviço",AND(AUTOEVENTO="Manual",$M133=$A$15),$M133&gt;(ROW(PLE.lastrow)-ROW(PLE.firstrow))),0,
           IF(OFFSET(PLE!$G$15,$M133-$A$15,CM$13)="",10^12,OFFSET(PLE!$G$15,$M133-$A$15,CM$13)))</f>
        <v>0</v>
      </c>
    </row>
    <row r="134" spans="1:91" ht="13.2" x14ac:dyDescent="0.25">
      <c r="A134" s="7" t="str">
        <f t="shared" ca="1" si="11"/>
        <v>119.</v>
      </c>
      <c r="B134" s="7">
        <f ca="1">OFFSET(ORÇAMENTO!C$15,ROW(B134)-ROW(B$15),0)</f>
        <v>2</v>
      </c>
      <c r="C134" s="7" t="str">
        <f ca="1">OFFSET(ORÇAMENTO!L$15,ROW(C134)-ROW(C$15),0)</f>
        <v>F</v>
      </c>
      <c r="D134" s="116" t="str">
        <f ca="1">OFFSET(ORÇAMENTO!N$15,ROW(D134)-ROW(D$15),0)</f>
        <v>Nível 2</v>
      </c>
      <c r="E134" s="117" t="str">
        <f ca="1">OFFSET(ORÇAMENTO!O$15,ROW(E134)-ROW(E$15),0)</f>
        <v>4.1.</v>
      </c>
      <c r="F134" s="163" t="str">
        <f ca="1">OFFSET(ORÇAMENTO!R$15,ROW(F134)-ROW(F$15),0)</f>
        <v>DRENAGEM</v>
      </c>
      <c r="G134" s="164" t="str">
        <f ca="1">IF($D134&lt;&gt;"Serviço","",OFFSET(ORÇAMENTO!S$15,ROW(G134)-ROW(G$15),0))</f>
        <v/>
      </c>
      <c r="H134" s="122" cm="1">
        <f t="array" aca="1" ref="H134" ca="1">IF($D134&lt;&gt;"Serviço",0,IF(ACOMPANHAMENTO="BM",ROUND(OFFSET(ORÇAMENTO!AJ$15,ROW(H134)-ROW(H$15),0),15-13*ORÇAMENTO!$AF$7),SUMPRODUCT(($Q$1:$AI$1=1)*ROUND($Q134:$AI134,15-13*ORÇAMENTO!$AF$7))))</f>
        <v>0</v>
      </c>
      <c r="I134" s="468"/>
      <c r="J134" s="651" t="str" cm="1">
        <f t="array" aca="1" ref="J134" ca="1">IF(OR(B134&lt;&gt;"S",CÁLCULO.FrentesPreenchidas=0),"",IF(AND(ACOMPANHAMENTO="PLE",AUTOEVENTO="Manual",OR(H134&gt;0,ORÇAMENTO!AC134="QUANT."),OR(K134="",M134=0,N134="")),"►E",IF(AND(ACOMPANHAMENTO="PLE",ORÇAMENTO!AC134="QUANT."),"►Q",IF(AND(ACOMPANHAMENTO="PLE",H134&lt;&gt;SUMPRODUCT(($Q$1:$AI$1=1)*ROUND(Q134:AI134,15))),"►S",IF(AND(COUNTIF($P$11:$AI$11,"▼")=0,H134&gt;0,I134=""),"◄M","")))))</f>
        <v/>
      </c>
      <c r="K134" s="652"/>
      <c r="L134" s="165" t="s">
        <v>764</v>
      </c>
      <c r="M134" s="166" t="str">
        <f ca="1">IF($D134&lt;&gt;"Serviço","",
          IF(AUTOEVENTO="manual",$A134,
                IF(ISERROR(MATCH($A134,$A$15:OFFSET($A134,-1,0),0)),MAX($M$15:OFFSET(M134,-1,0))+1,
                      INDEX($M$15:OFFSET(M134,-1,0),MATCH($A134,$A$15:OFFSET($A134,-1,0),0)))))</f>
        <v/>
      </c>
      <c r="N134" s="167" t="str">
        <f ca="1">IF($D134&lt;&gt;"Serviço","",
         IF(AUTOEVENTO="Manual",
                IF($A134=0,"&lt;-- defina o número do agrupador",
                       OFFSET(EVENTOS!$D$15,$A134-$A$15,0)),
                OFFSET($F$15,$A134,0)))</f>
        <v/>
      </c>
      <c r="O134" s="168"/>
      <c r="Q134" s="168"/>
      <c r="R134" s="169"/>
      <c r="S134" s="169"/>
      <c r="T134" s="169"/>
      <c r="U134" s="169"/>
      <c r="V134" s="169"/>
      <c r="W134" s="169"/>
      <c r="X134" s="169"/>
      <c r="Y134" s="169"/>
      <c r="Z134" s="170"/>
      <c r="AA134" s="169"/>
      <c r="AB134" s="169"/>
      <c r="AC134" s="169"/>
      <c r="AD134" s="169"/>
      <c r="AE134" s="169"/>
      <c r="AF134" s="169"/>
      <c r="AG134" s="169"/>
      <c r="AH134" s="170"/>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L134" s="453">
        <f ca="1">IF(AND($D134="Serviço",AL$12&lt;&gt;0,$H134&gt;0,OR(AUTOEVENTO&lt;&gt;"manual",$M134&lt;&gt;$A$15)),
        IF(Import.TipoArredondamento&lt;&gt;"TransfereGOV",
              ROUND(OFFSET($P134,0,AL$13),15-13*ORÇAMENTO!$AF$7)/$H134*OFFSET(ORÇAMENTO!$X$15,ROW(AL134)-ROW(AL$15),0),
              ROUND(ROUND(OFFSET($P134,0,AL$13),15-13*ORÇAMENTO!$AF$7)*OFFSET(ORÇAMENTO!$W$15,ROW(AL134)-ROW(AL$15),0),15-13*ORÇAMENTO!$AF$11)),
         0)</f>
        <v>0</v>
      </c>
      <c r="AM134" s="453">
        <f ca="1">IF(AND($D134="Serviço",AM$12&lt;&gt;0,$H134&gt;0,OR(AUTOEVENTO&lt;&gt;"manual",$M134&lt;&gt;$A$15)),
        IF(Import.TipoArredondamento&lt;&gt;"TransfereGOV",
              ROUND(OFFSET($P134,0,AM$13),15-13*ORÇAMENTO!$AF$7)/$H134*OFFSET(ORÇAMENTO!$X$15,ROW(AM134)-ROW(AM$15),0),
              ROUND(ROUND(OFFSET($P134,0,AM$13),15-13*ORÇAMENTO!$AF$7)*OFFSET(ORÇAMENTO!$W$15,ROW(AM134)-ROW(AM$15),0),15-13*ORÇAMENTO!$AF$11)),
         0)</f>
        <v>0</v>
      </c>
      <c r="AN134" s="453">
        <f ca="1">IF(AND($D134="Serviço",AN$12&lt;&gt;0,$H134&gt;0,OR(AUTOEVENTO&lt;&gt;"manual",$M134&lt;&gt;$A$15)),
        IF(Import.TipoArredondamento&lt;&gt;"TransfereGOV",
              ROUND(OFFSET($P134,0,AN$13),15-13*ORÇAMENTO!$AF$7)/$H134*OFFSET(ORÇAMENTO!$X$15,ROW(AN134)-ROW(AN$15),0),
              ROUND(ROUND(OFFSET($P134,0,AN$13),15-13*ORÇAMENTO!$AF$7)*OFFSET(ORÇAMENTO!$W$15,ROW(AN134)-ROW(AN$15),0),15-13*ORÇAMENTO!$AF$11)),
         0)</f>
        <v>0</v>
      </c>
      <c r="AO134" s="453">
        <f ca="1">IF(AND($D134="Serviço",AO$12&lt;&gt;0,$H134&gt;0,OR(AUTOEVENTO&lt;&gt;"manual",$M134&lt;&gt;$A$15)),
        IF(Import.TipoArredondamento&lt;&gt;"TransfereGOV",
              ROUND(OFFSET($P134,0,AO$13),15-13*ORÇAMENTO!$AF$7)/$H134*OFFSET(ORÇAMENTO!$X$15,ROW(AO134)-ROW(AO$15),0),
              ROUND(ROUND(OFFSET($P134,0,AO$13),15-13*ORÇAMENTO!$AF$7)*OFFSET(ORÇAMENTO!$W$15,ROW(AO134)-ROW(AO$15),0),15-13*ORÇAMENTO!$AF$11)),
         0)</f>
        <v>0</v>
      </c>
      <c r="AP134" s="453">
        <f ca="1">IF(AND($D134="Serviço",AP$12&lt;&gt;0,$H134&gt;0,OR(AUTOEVENTO&lt;&gt;"manual",$M134&lt;&gt;$A$15)),
        IF(Import.TipoArredondamento&lt;&gt;"TransfereGOV",
              ROUND(OFFSET($P134,0,AP$13),15-13*ORÇAMENTO!$AF$7)/$H134*OFFSET(ORÇAMENTO!$X$15,ROW(AP134)-ROW(AP$15),0),
              ROUND(ROUND(OFFSET($P134,0,AP$13),15-13*ORÇAMENTO!$AF$7)*OFFSET(ORÇAMENTO!$W$15,ROW(AP134)-ROW(AP$15),0),15-13*ORÇAMENTO!$AF$11)),
         0)</f>
        <v>0</v>
      </c>
      <c r="AQ134" s="453">
        <f ca="1">IF(AND($D134="Serviço",AQ$12&lt;&gt;0,$H134&gt;0,OR(AUTOEVENTO&lt;&gt;"manual",$M134&lt;&gt;$A$15)),
        IF(Import.TipoArredondamento&lt;&gt;"TransfereGOV",
              ROUND(OFFSET($P134,0,AQ$13),15-13*ORÇAMENTO!$AF$7)/$H134*OFFSET(ORÇAMENTO!$X$15,ROW(AQ134)-ROW(AQ$15),0),
              ROUND(ROUND(OFFSET($P134,0,AQ$13),15-13*ORÇAMENTO!$AF$7)*OFFSET(ORÇAMENTO!$W$15,ROW(AQ134)-ROW(AQ$15),0),15-13*ORÇAMENTO!$AF$11)),
         0)</f>
        <v>0</v>
      </c>
      <c r="AR134" s="453">
        <f ca="1">IF(AND($D134="Serviço",AR$12&lt;&gt;0,$H134&gt;0,OR(AUTOEVENTO&lt;&gt;"manual",$M134&lt;&gt;$A$15)),
        IF(Import.TipoArredondamento&lt;&gt;"TransfereGOV",
              ROUND(OFFSET($P134,0,AR$13),15-13*ORÇAMENTO!$AF$7)/$H134*OFFSET(ORÇAMENTO!$X$15,ROW(AR134)-ROW(AR$15),0),
              ROUND(ROUND(OFFSET($P134,0,AR$13),15-13*ORÇAMENTO!$AF$7)*OFFSET(ORÇAMENTO!$W$15,ROW(AR134)-ROW(AR$15),0),15-13*ORÇAMENTO!$AF$11)),
         0)</f>
        <v>0</v>
      </c>
      <c r="AS134" s="453">
        <f ca="1">IF(AND($D134="Serviço",AS$12&lt;&gt;0,$H134&gt;0,OR(AUTOEVENTO&lt;&gt;"manual",$M134&lt;&gt;$A$15)),
        IF(Import.TipoArredondamento&lt;&gt;"TransfereGOV",
              ROUND(OFFSET($P134,0,AS$13),15-13*ORÇAMENTO!$AF$7)/$H134*OFFSET(ORÇAMENTO!$X$15,ROW(AS134)-ROW(AS$15),0),
              ROUND(ROUND(OFFSET($P134,0,AS$13),15-13*ORÇAMENTO!$AF$7)*OFFSET(ORÇAMENTO!$W$15,ROW(AS134)-ROW(AS$15),0),15-13*ORÇAMENTO!$AF$11)),
         0)</f>
        <v>0</v>
      </c>
      <c r="AT134" s="453">
        <f ca="1">IF(AND($D134="Serviço",AT$12&lt;&gt;0,$H134&gt;0,OR(AUTOEVENTO&lt;&gt;"manual",$M134&lt;&gt;$A$15)),
        IF(Import.TipoArredondamento&lt;&gt;"TransfereGOV",
              ROUND(OFFSET($P134,0,AT$13),15-13*ORÇAMENTO!$AF$7)/$H134*OFFSET(ORÇAMENTO!$X$15,ROW(AT134)-ROW(AT$15),0),
              ROUND(ROUND(OFFSET($P134,0,AT$13),15-13*ORÇAMENTO!$AF$7)*OFFSET(ORÇAMENTO!$W$15,ROW(AT134)-ROW(AT$15),0),15-13*ORÇAMENTO!$AF$11)),
         0)</f>
        <v>0</v>
      </c>
      <c r="AU134" s="453">
        <f ca="1">IF(AND($D134="Serviço",AU$12&lt;&gt;0,$H134&gt;0,OR(AUTOEVENTO&lt;&gt;"manual",$M134&lt;&gt;$A$15)),
        IF(Import.TipoArredondamento&lt;&gt;"TransfereGOV",
              ROUND(OFFSET($P134,0,AU$13),15-13*ORÇAMENTO!$AF$7)/$H134*OFFSET(ORÇAMENTO!$X$15,ROW(AU134)-ROW(AU$15),0),
              ROUND(ROUND(OFFSET($P134,0,AU$13),15-13*ORÇAMENTO!$AF$7)*OFFSET(ORÇAMENTO!$W$15,ROW(AU134)-ROW(AU$15),0),15-13*ORÇAMENTO!$AF$11)),
         0)</f>
        <v>0</v>
      </c>
      <c r="AV134" s="453">
        <f ca="1">IF(AND($D134="Serviço",AV$12&lt;&gt;0,$H134&gt;0,OR(AUTOEVENTO&lt;&gt;"manual",$M134&lt;&gt;$A$15)),
        IF(Import.TipoArredondamento&lt;&gt;"TransfereGOV",
              ROUND(OFFSET($P134,0,AV$13),15-13*ORÇAMENTO!$AF$7)/$H134*OFFSET(ORÇAMENTO!$X$15,ROW(AV134)-ROW(AV$15),0),
              ROUND(ROUND(OFFSET($P134,0,AV$13),15-13*ORÇAMENTO!$AF$7)*OFFSET(ORÇAMENTO!$W$15,ROW(AV134)-ROW(AV$15),0),15-13*ORÇAMENTO!$AF$11)),
         0)</f>
        <v>0</v>
      </c>
      <c r="AW134" s="453">
        <f ca="1">IF(AND($D134="Serviço",AW$12&lt;&gt;0,$H134&gt;0,OR(AUTOEVENTO&lt;&gt;"manual",$M134&lt;&gt;$A$15)),
        IF(Import.TipoArredondamento&lt;&gt;"TransfereGOV",
              ROUND(OFFSET($P134,0,AW$13),15-13*ORÇAMENTO!$AF$7)/$H134*OFFSET(ORÇAMENTO!$X$15,ROW(AW134)-ROW(AW$15),0),
              ROUND(ROUND(OFFSET($P134,0,AW$13),15-13*ORÇAMENTO!$AF$7)*OFFSET(ORÇAMENTO!$W$15,ROW(AW134)-ROW(AW$15),0),15-13*ORÇAMENTO!$AF$11)),
         0)</f>
        <v>0</v>
      </c>
      <c r="AX134" s="453">
        <f ca="1">IF(AND($D134="Serviço",AX$12&lt;&gt;0,$H134&gt;0,OR(AUTOEVENTO&lt;&gt;"manual",$M134&lt;&gt;$A$15)),
        IF(Import.TipoArredondamento&lt;&gt;"TransfereGOV",
              ROUND(OFFSET($P134,0,AX$13),15-13*ORÇAMENTO!$AF$7)/$H134*OFFSET(ORÇAMENTO!$X$15,ROW(AX134)-ROW(AX$15),0),
              ROUND(ROUND(OFFSET($P134,0,AX$13),15-13*ORÇAMENTO!$AF$7)*OFFSET(ORÇAMENTO!$W$15,ROW(AX134)-ROW(AX$15),0),15-13*ORÇAMENTO!$AF$11)),
         0)</f>
        <v>0</v>
      </c>
      <c r="AY134" s="453">
        <f ca="1">IF(AND($D134="Serviço",AY$12&lt;&gt;0,$H134&gt;0,OR(AUTOEVENTO&lt;&gt;"manual",$M134&lt;&gt;$A$15)),
        IF(Import.TipoArredondamento&lt;&gt;"TransfereGOV",
              ROUND(OFFSET($P134,0,AY$13),15-13*ORÇAMENTO!$AF$7)/$H134*OFFSET(ORÇAMENTO!$X$15,ROW(AY134)-ROW(AY$15),0),
              ROUND(ROUND(OFFSET($P134,0,AY$13),15-13*ORÇAMENTO!$AF$7)*OFFSET(ORÇAMENTO!$W$15,ROW(AY134)-ROW(AY$15),0),15-13*ORÇAMENTO!$AF$11)),
         0)</f>
        <v>0</v>
      </c>
      <c r="AZ134" s="453">
        <f ca="1">IF(AND($D134="Serviço",AZ$12&lt;&gt;0,$H134&gt;0,OR(AUTOEVENTO&lt;&gt;"manual",$M134&lt;&gt;$A$15)),
        IF(Import.TipoArredondamento&lt;&gt;"TransfereGOV",
              ROUND(OFFSET($P134,0,AZ$13),15-13*ORÇAMENTO!$AF$7)/$H134*OFFSET(ORÇAMENTO!$X$15,ROW(AZ134)-ROW(AZ$15),0),
              ROUND(ROUND(OFFSET($P134,0,AZ$13),15-13*ORÇAMENTO!$AF$7)*OFFSET(ORÇAMENTO!$W$15,ROW(AZ134)-ROW(AZ$15),0),15-13*ORÇAMENTO!$AF$11)),
         0)</f>
        <v>0</v>
      </c>
      <c r="BA134" s="453">
        <f ca="1">IF(AND($D134="Serviço",BA$12&lt;&gt;0,$H134&gt;0,OR(AUTOEVENTO&lt;&gt;"manual",$M134&lt;&gt;$A$15)),
        IF(Import.TipoArredondamento&lt;&gt;"TransfereGOV",
              ROUND(OFFSET($P134,0,BA$13),15-13*ORÇAMENTO!$AF$7)/$H134*OFFSET(ORÇAMENTO!$X$15,ROW(BA134)-ROW(BA$15),0),
              ROUND(ROUND(OFFSET($P134,0,BA$13),15-13*ORÇAMENTO!$AF$7)*OFFSET(ORÇAMENTO!$W$15,ROW(BA134)-ROW(BA$15),0),15-13*ORÇAMENTO!$AF$11)),
         0)</f>
        <v>0</v>
      </c>
      <c r="BC134" s="171">
        <f ca="1">IF(OR($D134&lt;&gt;"Serviço",AND(AUTOEVENTO="Manual",$M134=$A$15)),0,
         IF(OFFSET(CRONOPLE!$F$15,$M134-$A$15,BC$13)=0,10^12,OFFSET(CRONOPLE!$F$15,$M134-$A$15,BC$13)))</f>
        <v>0</v>
      </c>
      <c r="BD134" s="171">
        <f ca="1">IF(OR($D134&lt;&gt;"Serviço",AND(AUTOEVENTO="Manual",$M134=$A$15)),0,
         IF(OFFSET(CRONOPLE!$F$15,$M134-$A$15,BD$13)=0,10^12,OFFSET(CRONOPLE!$F$15,$M134-$A$15,BD$13)))</f>
        <v>0</v>
      </c>
      <c r="BE134" s="171">
        <f ca="1">IF(OR($D134&lt;&gt;"Serviço",AND(AUTOEVENTO="Manual",$M134=$A$15)),0,
         IF(OFFSET(CRONOPLE!$F$15,$M134-$A$15,BE$13)=0,10^12,OFFSET(CRONOPLE!$F$15,$M134-$A$15,BE$13)))</f>
        <v>0</v>
      </c>
      <c r="BF134" s="171">
        <f ca="1">IF(OR($D134&lt;&gt;"Serviço",AND(AUTOEVENTO="Manual",$M134=$A$15)),0,
         IF(OFFSET(CRONOPLE!$F$15,$M134-$A$15,BF$13)=0,10^12,OFFSET(CRONOPLE!$F$15,$M134-$A$15,BF$13)))</f>
        <v>0</v>
      </c>
      <c r="BG134" s="171">
        <f ca="1">IF(OR($D134&lt;&gt;"Serviço",AND(AUTOEVENTO="Manual",$M134=$A$15)),0,
         IF(OFFSET(CRONOPLE!$F$15,$M134-$A$15,BG$13)=0,10^12,OFFSET(CRONOPLE!$F$15,$M134-$A$15,BG$13)))</f>
        <v>0</v>
      </c>
      <c r="BH134" s="171">
        <f ca="1">IF(OR($D134&lt;&gt;"Serviço",AND(AUTOEVENTO="Manual",$M134=$A$15)),0,
         IF(OFFSET(CRONOPLE!$F$15,$M134-$A$15,BH$13)=0,10^12,OFFSET(CRONOPLE!$F$15,$M134-$A$15,BH$13)))</f>
        <v>0</v>
      </c>
      <c r="BI134" s="171">
        <f ca="1">IF(OR($D134&lt;&gt;"Serviço",AND(AUTOEVENTO="Manual",$M134=$A$15)),0,
         IF(OFFSET(CRONOPLE!$F$15,$M134-$A$15,BI$13)=0,10^12,OFFSET(CRONOPLE!$F$15,$M134-$A$15,BI$13)))</f>
        <v>0</v>
      </c>
      <c r="BJ134" s="171">
        <f ca="1">IF(OR($D134&lt;&gt;"Serviço",AND(AUTOEVENTO="Manual",$M134=$A$15)),0,
         IF(OFFSET(CRONOPLE!$F$15,$M134-$A$15,BJ$13)=0,10^12,OFFSET(CRONOPLE!$F$15,$M134-$A$15,BJ$13)))</f>
        <v>0</v>
      </c>
      <c r="BK134" s="171">
        <f ca="1">IF(OR($D134&lt;&gt;"Serviço",AND(AUTOEVENTO="Manual",$M134=$A$15)),0,
         IF(OFFSET(CRONOPLE!$F$15,$M134-$A$15,BK$13)=0,10^12,OFFSET(CRONOPLE!$F$15,$M134-$A$15,BK$13)))</f>
        <v>0</v>
      </c>
      <c r="BL134" s="171">
        <f ca="1">IF(OR($D134&lt;&gt;"Serviço",AND(AUTOEVENTO="Manual",$M134=$A$15)),0,
         IF(OFFSET(CRONOPLE!$F$15,$M134-$A$15,BL$13)=0,10^12,OFFSET(CRONOPLE!$F$15,$M134-$A$15,BL$13)))</f>
        <v>0</v>
      </c>
      <c r="BM134" s="171">
        <f ca="1">IF(OR($D134&lt;&gt;"Serviço",AND(AUTOEVENTO="Manual",$M134=$A$15)),0,
         IF(OFFSET(CRONOPLE!$F$15,$M134-$A$15,BM$13)=0,10^12,OFFSET(CRONOPLE!$F$15,$M134-$A$15,BM$13)))</f>
        <v>0</v>
      </c>
      <c r="BN134" s="171">
        <f ca="1">IF(OR($D134&lt;&gt;"Serviço",AND(AUTOEVENTO="Manual",$M134=$A$15)),0,
         IF(OFFSET(CRONOPLE!$F$15,$M134-$A$15,BN$13)=0,10^12,OFFSET(CRONOPLE!$F$15,$M134-$A$15,BN$13)))</f>
        <v>0</v>
      </c>
      <c r="BO134" s="171">
        <f ca="1">IF(OR($D134&lt;&gt;"Serviço",AND(AUTOEVENTO="Manual",$M134=$A$15)),0,
         IF(OFFSET(CRONOPLE!$F$15,$M134-$A$15,BO$13)=0,10^12,OFFSET(CRONOPLE!$F$15,$M134-$A$15,BO$13)))</f>
        <v>0</v>
      </c>
      <c r="BP134" s="171">
        <f ca="1">IF(OR($D134&lt;&gt;"Serviço",AND(AUTOEVENTO="Manual",$M134=$A$15)),0,
         IF(OFFSET(CRONOPLE!$F$15,$M134-$A$15,BP$13)=0,10^12,OFFSET(CRONOPLE!$F$15,$M134-$A$15,BP$13)))</f>
        <v>0</v>
      </c>
      <c r="BQ134" s="171">
        <f ca="1">IF(OR($D134&lt;&gt;"Serviço",AND(AUTOEVENTO="Manual",$M134=$A$15)),0,
         IF(OFFSET(CRONOPLE!$F$15,$M134-$A$15,BQ$13)=0,10^12,OFFSET(CRONOPLE!$F$15,$M134-$A$15,BQ$13)))</f>
        <v>0</v>
      </c>
      <c r="BR134" s="171">
        <f ca="1">IF(OR($D134&lt;&gt;"Serviço",AND(AUTOEVENTO="Manual",$M134=$A$15)),0,
         IF(OFFSET(CRONOPLE!$F$15,$M134-$A$15,BR$13)=0,10^12,OFFSET(CRONOPLE!$F$15,$M134-$A$15,BR$13)))</f>
        <v>0</v>
      </c>
      <c r="BS134" s="171">
        <f ca="1">IF(OR($D134&lt;&gt;"Serviço",AND(AUTOEVENTO="Manual",$M134=$A$15)),0,
         IF(OFFSET(CRONOPLE!$F$15,$M134-$A$15,BS$13)=0,10^12,OFFSET(CRONOPLE!$F$15,$M134-$A$15,BS$13)))</f>
        <v>0</v>
      </c>
      <c r="BT134" s="171">
        <f ca="1">IF(OR($D134&lt;&gt;"Serviço",AND(AUTOEVENTO="Manual",$M134=$A$15)),0,
         IF(OFFSET(CRONOPLE!$F$15,$M134-$A$15,BT$13)=0,10^12,OFFSET(CRONOPLE!$F$15,$M134-$A$15,BT$13)))</f>
        <v>0</v>
      </c>
      <c r="BV134" s="172">
        <f ca="1">IF(OR($D134&lt;&gt;"Serviço",AND(AUTOEVENTO="Manual",$M134=$A$15),$M134&gt;(ROW(PLE.lastrow)-ROW(PLE.firstrow))),0,
           IF(OFFSET(PLE!$G$15,$M134-$A$15,BV$13)="",10^12,OFFSET(PLE!$G$15,$M134-$A$15,BV$13)))</f>
        <v>0</v>
      </c>
      <c r="BW134" s="172">
        <f ca="1">IF(OR($D134&lt;&gt;"Serviço",AND(AUTOEVENTO="Manual",$M134=$A$15),$M134&gt;(ROW(PLE.lastrow)-ROW(PLE.firstrow))),0,
           IF(OFFSET(PLE!$G$15,$M134-$A$15,BW$13)="",10^12,OFFSET(PLE!$G$15,$M134-$A$15,BW$13)))</f>
        <v>0</v>
      </c>
      <c r="BX134" s="172">
        <f ca="1">IF(OR($D134&lt;&gt;"Serviço",AND(AUTOEVENTO="Manual",$M134=$A$15),$M134&gt;(ROW(PLE.lastrow)-ROW(PLE.firstrow))),0,
           IF(OFFSET(PLE!$G$15,$M134-$A$15,BX$13)="",10^12,OFFSET(PLE!$G$15,$M134-$A$15,BX$13)))</f>
        <v>0</v>
      </c>
      <c r="BY134" s="172">
        <f ca="1">IF(OR($D134&lt;&gt;"Serviço",AND(AUTOEVENTO="Manual",$M134=$A$15),$M134&gt;(ROW(PLE.lastrow)-ROW(PLE.firstrow))),0,
           IF(OFFSET(PLE!$G$15,$M134-$A$15,BY$13)="",10^12,OFFSET(PLE!$G$15,$M134-$A$15,BY$13)))</f>
        <v>0</v>
      </c>
      <c r="BZ134" s="172">
        <f ca="1">IF(OR($D134&lt;&gt;"Serviço",AND(AUTOEVENTO="Manual",$M134=$A$15),$M134&gt;(ROW(PLE.lastrow)-ROW(PLE.firstrow))),0,
           IF(OFFSET(PLE!$G$15,$M134-$A$15,BZ$13)="",10^12,OFFSET(PLE!$G$15,$M134-$A$15,BZ$13)))</f>
        <v>0</v>
      </c>
      <c r="CA134" s="172">
        <f ca="1">IF(OR($D134&lt;&gt;"Serviço",AND(AUTOEVENTO="Manual",$M134=$A$15),$M134&gt;(ROW(PLE.lastrow)-ROW(PLE.firstrow))),0,
           IF(OFFSET(PLE!$G$15,$M134-$A$15,CA$13)="",10^12,OFFSET(PLE!$G$15,$M134-$A$15,CA$13)))</f>
        <v>0</v>
      </c>
      <c r="CB134" s="172">
        <f ca="1">IF(OR($D134&lt;&gt;"Serviço",AND(AUTOEVENTO="Manual",$M134=$A$15),$M134&gt;(ROW(PLE.lastrow)-ROW(PLE.firstrow))),0,
           IF(OFFSET(PLE!$G$15,$M134-$A$15,CB$13)="",10^12,OFFSET(PLE!$G$15,$M134-$A$15,CB$13)))</f>
        <v>0</v>
      </c>
      <c r="CC134" s="172">
        <f ca="1">IF(OR($D134&lt;&gt;"Serviço",AND(AUTOEVENTO="Manual",$M134=$A$15),$M134&gt;(ROW(PLE.lastrow)-ROW(PLE.firstrow))),0,
           IF(OFFSET(PLE!$G$15,$M134-$A$15,CC$13)="",10^12,OFFSET(PLE!$G$15,$M134-$A$15,CC$13)))</f>
        <v>0</v>
      </c>
      <c r="CD134" s="172">
        <f ca="1">IF(OR($D134&lt;&gt;"Serviço",AND(AUTOEVENTO="Manual",$M134=$A$15),$M134&gt;(ROW(PLE.lastrow)-ROW(PLE.firstrow))),0,
           IF(OFFSET(PLE!$G$15,$M134-$A$15,CD$13)="",10^12,OFFSET(PLE!$G$15,$M134-$A$15,CD$13)))</f>
        <v>0</v>
      </c>
      <c r="CE134" s="172">
        <f ca="1">IF(OR($D134&lt;&gt;"Serviço",AND(AUTOEVENTO="Manual",$M134=$A$15),$M134&gt;(ROW(PLE.lastrow)-ROW(PLE.firstrow))),0,
           IF(OFFSET(PLE!$G$15,$M134-$A$15,CE$13)="",10^12,OFFSET(PLE!$G$15,$M134-$A$15,CE$13)))</f>
        <v>0</v>
      </c>
      <c r="CF134" s="172">
        <f ca="1">IF(OR($D134&lt;&gt;"Serviço",AND(AUTOEVENTO="Manual",$M134=$A$15),$M134&gt;(ROW(PLE.lastrow)-ROW(PLE.firstrow))),0,
           IF(OFFSET(PLE!$G$15,$M134-$A$15,CF$13)="",10^12,OFFSET(PLE!$G$15,$M134-$A$15,CF$13)))</f>
        <v>0</v>
      </c>
      <c r="CG134" s="172">
        <f ca="1">IF(OR($D134&lt;&gt;"Serviço",AND(AUTOEVENTO="Manual",$M134=$A$15),$M134&gt;(ROW(PLE.lastrow)-ROW(PLE.firstrow))),0,
           IF(OFFSET(PLE!$G$15,$M134-$A$15,CG$13)="",10^12,OFFSET(PLE!$G$15,$M134-$A$15,CG$13)))</f>
        <v>0</v>
      </c>
      <c r="CH134" s="172">
        <f ca="1">IF(OR($D134&lt;&gt;"Serviço",AND(AUTOEVENTO="Manual",$M134=$A$15),$M134&gt;(ROW(PLE.lastrow)-ROW(PLE.firstrow))),0,
           IF(OFFSET(PLE!$G$15,$M134-$A$15,CH$13)="",10^12,OFFSET(PLE!$G$15,$M134-$A$15,CH$13)))</f>
        <v>0</v>
      </c>
      <c r="CI134" s="172">
        <f ca="1">IF(OR($D134&lt;&gt;"Serviço",AND(AUTOEVENTO="Manual",$M134=$A$15),$M134&gt;(ROW(PLE.lastrow)-ROW(PLE.firstrow))),0,
           IF(OFFSET(PLE!$G$15,$M134-$A$15,CI$13)="",10^12,OFFSET(PLE!$G$15,$M134-$A$15,CI$13)))</f>
        <v>0</v>
      </c>
      <c r="CJ134" s="172">
        <f ca="1">IF(OR($D134&lt;&gt;"Serviço",AND(AUTOEVENTO="Manual",$M134=$A$15),$M134&gt;(ROW(PLE.lastrow)-ROW(PLE.firstrow))),0,
           IF(OFFSET(PLE!$G$15,$M134-$A$15,CJ$13)="",10^12,OFFSET(PLE!$G$15,$M134-$A$15,CJ$13)))</f>
        <v>0</v>
      </c>
      <c r="CK134" s="172">
        <f ca="1">IF(OR($D134&lt;&gt;"Serviço",AND(AUTOEVENTO="Manual",$M134=$A$15),$M134&gt;(ROW(PLE.lastrow)-ROW(PLE.firstrow))),0,
           IF(OFFSET(PLE!$G$15,$M134-$A$15,CK$13)="",10^12,OFFSET(PLE!$G$15,$M134-$A$15,CK$13)))</f>
        <v>0</v>
      </c>
      <c r="CL134" s="172">
        <f ca="1">IF(OR($D134&lt;&gt;"Serviço",AND(AUTOEVENTO="Manual",$M134=$A$15),$M134&gt;(ROW(PLE.lastrow)-ROW(PLE.firstrow))),0,
           IF(OFFSET(PLE!$G$15,$M134-$A$15,CL$13)="",10^12,OFFSET(PLE!$G$15,$M134-$A$15,CL$13)))</f>
        <v>0</v>
      </c>
      <c r="CM134" s="172">
        <f ca="1">IF(OR($D134&lt;&gt;"Serviço",AND(AUTOEVENTO="Manual",$M134=$A$15),$M134&gt;(ROW(PLE.lastrow)-ROW(PLE.firstrow))),0,
           IF(OFFSET(PLE!$G$15,$M134-$A$15,CM$13)="",10^12,OFFSET(PLE!$G$15,$M134-$A$15,CM$13)))</f>
        <v>0</v>
      </c>
    </row>
    <row r="135" spans="1:91" ht="13.2" x14ac:dyDescent="0.25">
      <c r="A135" s="7" t="str">
        <f t="shared" ca="1" si="11"/>
        <v>119</v>
      </c>
      <c r="B135" s="7" t="str">
        <f ca="1">OFFSET(ORÇAMENTO!C$15,ROW(B135)-ROW(B$15),0)</f>
        <v>S</v>
      </c>
      <c r="C135" s="7" t="str">
        <f ca="1">OFFSET(ORÇAMENTO!L$15,ROW(C135)-ROW(C$15),0)</f>
        <v>F</v>
      </c>
      <c r="D135" s="116" t="str">
        <f ca="1">OFFSET(ORÇAMENTO!N$15,ROW(D135)-ROW(D$15),0)</f>
        <v>Serviço</v>
      </c>
      <c r="E135" s="117" t="str">
        <f ca="1">OFFSET(ORÇAMENTO!O$15,ROW(E135)-ROW(E$15),0)</f>
        <v>4.1.1.</v>
      </c>
      <c r="F135" s="163" t="str">
        <f ca="1">OFFSET(ORÇAMENTO!R$15,ROW(F135)-ROW(F$15),0)</f>
        <v>Escavação mecânica com retroescavadeira em material de 1ª categoria</v>
      </c>
      <c r="G135" s="164" t="str">
        <f ca="1">IF($D135&lt;&gt;"Serviço","",OFFSET(ORÇAMENTO!S$15,ROW(G135)-ROW(G$15),0))</f>
        <v>m³</v>
      </c>
      <c r="H135" s="122" cm="1">
        <f t="array" aca="1" ref="H135" ca="1">IF($D135&lt;&gt;"Serviço",0,IF(ACOMPANHAMENTO="BM",ROUND(OFFSET(ORÇAMENTO!AJ$15,ROW(H135)-ROW(H$15),0),15-13*ORÇAMENTO!$AF$7),SUMPRODUCT(($Q$1:$AI$1=1)*ROUND($Q135:$AI135,15-13*ORÇAMENTO!$AF$7))))</f>
        <v>62.72</v>
      </c>
      <c r="I135" s="468"/>
      <c r="J135" s="651" t="e" cm="1">
        <f t="array" aca="1" ref="J135" ca="1">IF(OR(B135&lt;&gt;"S",CÁLCULO.FrentesPreenchidas=0),"",IF(AND(ACOMPANHAMENTO="PLE",AUTOEVENTO="Manual",OR(H135&gt;0,ORÇAMENTO!AC135="QUANT."),OR(K135="",M135=0,N135="")),"►E",IF(AND(ACOMPANHAMENTO="PLE",ORÇAMENTO!AC135="QUANT."),"►Q",IF(AND(ACOMPANHAMENTO="PLE",H135&lt;&gt;SUMPRODUCT(($Q$1:$AI$1=1)*ROUND(Q135:AI135,15))),"►S",IF(AND(COUNTIF($P$11:$AI$11,"▼")=0,H135&gt;0,I135=""),"◄M","")))))</f>
        <v>#NAME?</v>
      </c>
      <c r="K135" s="652"/>
      <c r="L135" s="165" t="s">
        <v>764</v>
      </c>
      <c r="M135" s="166">
        <f ca="1">IF($D135&lt;&gt;"Serviço","",
          IF(AUTOEVENTO="manual",$A135,
                IF(ISERROR(MATCH($A135,$A$15:OFFSET($A135,-1,0),0)),MAX($M$15:OFFSET(M135,-1,0))+1,
                      INDEX($M$15:OFFSET(M135,-1,0),MATCH($A135,$A$15:OFFSET($A135,-1,0),0)))))</f>
        <v>19</v>
      </c>
      <c r="N135" s="167" t="str">
        <f ca="1">IF($D135&lt;&gt;"Serviço","",
         IF(AUTOEVENTO="Manual",
                IF($A135=0,"&lt;-- defina o número do agrupador",
                       OFFSET(EVENTOS!$D$15,$A135-$A$15,0)),
                OFFSET($F$15,$A135,0)))</f>
        <v>DRENAGEM</v>
      </c>
      <c r="O135" s="168"/>
      <c r="Q135" s="168"/>
      <c r="R135" s="169"/>
      <c r="S135" s="169"/>
      <c r="T135" s="169"/>
      <c r="U135" s="169"/>
      <c r="V135" s="169">
        <f>V136*0.8*0.8</f>
        <v>62.720000000000006</v>
      </c>
      <c r="W135" s="169"/>
      <c r="X135" s="169"/>
      <c r="Y135" s="169"/>
      <c r="Z135" s="170"/>
      <c r="AA135" s="169"/>
      <c r="AB135" s="169"/>
      <c r="AC135" s="169"/>
      <c r="AD135" s="169"/>
      <c r="AE135" s="169"/>
      <c r="AF135" s="169"/>
      <c r="AG135" s="169"/>
      <c r="AH135" s="170"/>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L135" s="453">
        <f ca="1">IF(AND($D135="Serviço",AL$12&lt;&gt;0,$H135&gt;0,OR(AUTOEVENTO&lt;&gt;"manual",$M135&lt;&gt;$A$15)),
        IF(Import.TipoArredondamento&lt;&gt;"TransfereGOV",
              ROUND(OFFSET($P135,0,AL$13),15-13*ORÇAMENTO!$AF$7)/$H135*OFFSET(ORÇAMENTO!$X$15,ROW(AL135)-ROW(AL$15),0),
              ROUND(ROUND(OFFSET($P135,0,AL$13),15-13*ORÇAMENTO!$AF$7)*OFFSET(ORÇAMENTO!$W$15,ROW(AL135)-ROW(AL$15),0),15-13*ORÇAMENTO!$AF$11)),
         0)</f>
        <v>0</v>
      </c>
      <c r="AM135" s="453">
        <f ca="1">IF(AND($D135="Serviço",AM$12&lt;&gt;0,$H135&gt;0,OR(AUTOEVENTO&lt;&gt;"manual",$M135&lt;&gt;$A$15)),
        IF(Import.TipoArredondamento&lt;&gt;"TransfereGOV",
              ROUND(OFFSET($P135,0,AM$13),15-13*ORÇAMENTO!$AF$7)/$H135*OFFSET(ORÇAMENTO!$X$15,ROW(AM135)-ROW(AM$15),0),
              ROUND(ROUND(OFFSET($P135,0,AM$13),15-13*ORÇAMENTO!$AF$7)*OFFSET(ORÇAMENTO!$W$15,ROW(AM135)-ROW(AM$15),0),15-13*ORÇAMENTO!$AF$11)),
         0)</f>
        <v>0</v>
      </c>
      <c r="AN135" s="453">
        <f ca="1">IF(AND($D135="Serviço",AN$12&lt;&gt;0,$H135&gt;0,OR(AUTOEVENTO&lt;&gt;"manual",$M135&lt;&gt;$A$15)),
        IF(Import.TipoArredondamento&lt;&gt;"TransfereGOV",
              ROUND(OFFSET($P135,0,AN$13),15-13*ORÇAMENTO!$AF$7)/$H135*OFFSET(ORÇAMENTO!$X$15,ROW(AN135)-ROW(AN$15),0),
              ROUND(ROUND(OFFSET($P135,0,AN$13),15-13*ORÇAMENTO!$AF$7)*OFFSET(ORÇAMENTO!$W$15,ROW(AN135)-ROW(AN$15),0),15-13*ORÇAMENTO!$AF$11)),
         0)</f>
        <v>0</v>
      </c>
      <c r="AO135" s="453">
        <f ca="1">IF(AND($D135="Serviço",AO$12&lt;&gt;0,$H135&gt;0,OR(AUTOEVENTO&lt;&gt;"manual",$M135&lt;&gt;$A$15)),
        IF(Import.TipoArredondamento&lt;&gt;"TransfereGOV",
              ROUND(OFFSET($P135,0,AO$13),15-13*ORÇAMENTO!$AF$7)/$H135*OFFSET(ORÇAMENTO!$X$15,ROW(AO135)-ROW(AO$15),0),
              ROUND(ROUND(OFFSET($P135,0,AO$13),15-13*ORÇAMENTO!$AF$7)*OFFSET(ORÇAMENTO!$W$15,ROW(AO135)-ROW(AO$15),0),15-13*ORÇAMENTO!$AF$11)),
         0)</f>
        <v>568.24</v>
      </c>
      <c r="AP135" s="453">
        <f ca="1">IF(AND($D135="Serviço",AP$12&lt;&gt;0,$H135&gt;0,OR(AUTOEVENTO&lt;&gt;"manual",$M135&lt;&gt;$A$15)),
        IF(Import.TipoArredondamento&lt;&gt;"TransfereGOV",
              ROUND(OFFSET($P135,0,AP$13),15-13*ORÇAMENTO!$AF$7)/$H135*OFFSET(ORÇAMENTO!$X$15,ROW(AP135)-ROW(AP$15),0),
              ROUND(ROUND(OFFSET($P135,0,AP$13),15-13*ORÇAMENTO!$AF$7)*OFFSET(ORÇAMENTO!$W$15,ROW(AP135)-ROW(AP$15),0),15-13*ORÇAMENTO!$AF$11)),
         0)</f>
        <v>0</v>
      </c>
      <c r="AQ135" s="453">
        <f ca="1">IF(AND($D135="Serviço",AQ$12&lt;&gt;0,$H135&gt;0,OR(AUTOEVENTO&lt;&gt;"manual",$M135&lt;&gt;$A$15)),
        IF(Import.TipoArredondamento&lt;&gt;"TransfereGOV",
              ROUND(OFFSET($P135,0,AQ$13),15-13*ORÇAMENTO!$AF$7)/$H135*OFFSET(ORÇAMENTO!$X$15,ROW(AQ135)-ROW(AQ$15),0),
              ROUND(ROUND(OFFSET($P135,0,AQ$13),15-13*ORÇAMENTO!$AF$7)*OFFSET(ORÇAMENTO!$W$15,ROW(AQ135)-ROW(AQ$15),0),15-13*ORÇAMENTO!$AF$11)),
         0)</f>
        <v>0</v>
      </c>
      <c r="AR135" s="453">
        <f ca="1">IF(AND($D135="Serviço",AR$12&lt;&gt;0,$H135&gt;0,OR(AUTOEVENTO&lt;&gt;"manual",$M135&lt;&gt;$A$15)),
        IF(Import.TipoArredondamento&lt;&gt;"TransfereGOV",
              ROUND(OFFSET($P135,0,AR$13),15-13*ORÇAMENTO!$AF$7)/$H135*OFFSET(ORÇAMENTO!$X$15,ROW(AR135)-ROW(AR$15),0),
              ROUND(ROUND(OFFSET($P135,0,AR$13),15-13*ORÇAMENTO!$AF$7)*OFFSET(ORÇAMENTO!$W$15,ROW(AR135)-ROW(AR$15),0),15-13*ORÇAMENTO!$AF$11)),
         0)</f>
        <v>0</v>
      </c>
      <c r="AS135" s="453">
        <f ca="1">IF(AND($D135="Serviço",AS$12&lt;&gt;0,$H135&gt;0,OR(AUTOEVENTO&lt;&gt;"manual",$M135&lt;&gt;$A$15)),
        IF(Import.TipoArredondamento&lt;&gt;"TransfereGOV",
              ROUND(OFFSET($P135,0,AS$13),15-13*ORÇAMENTO!$AF$7)/$H135*OFFSET(ORÇAMENTO!$X$15,ROW(AS135)-ROW(AS$15),0),
              ROUND(ROUND(OFFSET($P135,0,AS$13),15-13*ORÇAMENTO!$AF$7)*OFFSET(ORÇAMENTO!$W$15,ROW(AS135)-ROW(AS$15),0),15-13*ORÇAMENTO!$AF$11)),
         0)</f>
        <v>0</v>
      </c>
      <c r="AT135" s="453">
        <f ca="1">IF(AND($D135="Serviço",AT$12&lt;&gt;0,$H135&gt;0,OR(AUTOEVENTO&lt;&gt;"manual",$M135&lt;&gt;$A$15)),
        IF(Import.TipoArredondamento&lt;&gt;"TransfereGOV",
              ROUND(OFFSET($P135,0,AT$13),15-13*ORÇAMENTO!$AF$7)/$H135*OFFSET(ORÇAMENTO!$X$15,ROW(AT135)-ROW(AT$15),0),
              ROUND(ROUND(OFFSET($P135,0,AT$13),15-13*ORÇAMENTO!$AF$7)*OFFSET(ORÇAMENTO!$W$15,ROW(AT135)-ROW(AT$15),0),15-13*ORÇAMENTO!$AF$11)),
         0)</f>
        <v>0</v>
      </c>
      <c r="AU135" s="453">
        <f ca="1">IF(AND($D135="Serviço",AU$12&lt;&gt;0,$H135&gt;0,OR(AUTOEVENTO&lt;&gt;"manual",$M135&lt;&gt;$A$15)),
        IF(Import.TipoArredondamento&lt;&gt;"TransfereGOV",
              ROUND(OFFSET($P135,0,AU$13),15-13*ORÇAMENTO!$AF$7)/$H135*OFFSET(ORÇAMENTO!$X$15,ROW(AU135)-ROW(AU$15),0),
              ROUND(ROUND(OFFSET($P135,0,AU$13),15-13*ORÇAMENTO!$AF$7)*OFFSET(ORÇAMENTO!$W$15,ROW(AU135)-ROW(AU$15),0),15-13*ORÇAMENTO!$AF$11)),
         0)</f>
        <v>0</v>
      </c>
      <c r="AV135" s="453">
        <f ca="1">IF(AND($D135="Serviço",AV$12&lt;&gt;0,$H135&gt;0,OR(AUTOEVENTO&lt;&gt;"manual",$M135&lt;&gt;$A$15)),
        IF(Import.TipoArredondamento&lt;&gt;"TransfereGOV",
              ROUND(OFFSET($P135,0,AV$13),15-13*ORÇAMENTO!$AF$7)/$H135*OFFSET(ORÇAMENTO!$X$15,ROW(AV135)-ROW(AV$15),0),
              ROUND(ROUND(OFFSET($P135,0,AV$13),15-13*ORÇAMENTO!$AF$7)*OFFSET(ORÇAMENTO!$W$15,ROW(AV135)-ROW(AV$15),0),15-13*ORÇAMENTO!$AF$11)),
         0)</f>
        <v>0</v>
      </c>
      <c r="AW135" s="453">
        <f ca="1">IF(AND($D135="Serviço",AW$12&lt;&gt;0,$H135&gt;0,OR(AUTOEVENTO&lt;&gt;"manual",$M135&lt;&gt;$A$15)),
        IF(Import.TipoArredondamento&lt;&gt;"TransfereGOV",
              ROUND(OFFSET($P135,0,AW$13),15-13*ORÇAMENTO!$AF$7)/$H135*OFFSET(ORÇAMENTO!$X$15,ROW(AW135)-ROW(AW$15),0),
              ROUND(ROUND(OFFSET($P135,0,AW$13),15-13*ORÇAMENTO!$AF$7)*OFFSET(ORÇAMENTO!$W$15,ROW(AW135)-ROW(AW$15),0),15-13*ORÇAMENTO!$AF$11)),
         0)</f>
        <v>0</v>
      </c>
      <c r="AX135" s="453">
        <f ca="1">IF(AND($D135="Serviço",AX$12&lt;&gt;0,$H135&gt;0,OR(AUTOEVENTO&lt;&gt;"manual",$M135&lt;&gt;$A$15)),
        IF(Import.TipoArredondamento&lt;&gt;"TransfereGOV",
              ROUND(OFFSET($P135,0,AX$13),15-13*ORÇAMENTO!$AF$7)/$H135*OFFSET(ORÇAMENTO!$X$15,ROW(AX135)-ROW(AX$15),0),
              ROUND(ROUND(OFFSET($P135,0,AX$13),15-13*ORÇAMENTO!$AF$7)*OFFSET(ORÇAMENTO!$W$15,ROW(AX135)-ROW(AX$15),0),15-13*ORÇAMENTO!$AF$11)),
         0)</f>
        <v>0</v>
      </c>
      <c r="AY135" s="453">
        <f ca="1">IF(AND($D135="Serviço",AY$12&lt;&gt;0,$H135&gt;0,OR(AUTOEVENTO&lt;&gt;"manual",$M135&lt;&gt;$A$15)),
        IF(Import.TipoArredondamento&lt;&gt;"TransfereGOV",
              ROUND(OFFSET($P135,0,AY$13),15-13*ORÇAMENTO!$AF$7)/$H135*OFFSET(ORÇAMENTO!$X$15,ROW(AY135)-ROW(AY$15),0),
              ROUND(ROUND(OFFSET($P135,0,AY$13),15-13*ORÇAMENTO!$AF$7)*OFFSET(ORÇAMENTO!$W$15,ROW(AY135)-ROW(AY$15),0),15-13*ORÇAMENTO!$AF$11)),
         0)</f>
        <v>0</v>
      </c>
      <c r="AZ135" s="453">
        <f ca="1">IF(AND($D135="Serviço",AZ$12&lt;&gt;0,$H135&gt;0,OR(AUTOEVENTO&lt;&gt;"manual",$M135&lt;&gt;$A$15)),
        IF(Import.TipoArredondamento&lt;&gt;"TransfereGOV",
              ROUND(OFFSET($P135,0,AZ$13),15-13*ORÇAMENTO!$AF$7)/$H135*OFFSET(ORÇAMENTO!$X$15,ROW(AZ135)-ROW(AZ$15),0),
              ROUND(ROUND(OFFSET($P135,0,AZ$13),15-13*ORÇAMENTO!$AF$7)*OFFSET(ORÇAMENTO!$W$15,ROW(AZ135)-ROW(AZ$15),0),15-13*ORÇAMENTO!$AF$11)),
         0)</f>
        <v>0</v>
      </c>
      <c r="BA135" s="453">
        <f ca="1">IF(AND($D135="Serviço",BA$12&lt;&gt;0,$H135&gt;0,OR(AUTOEVENTO&lt;&gt;"manual",$M135&lt;&gt;$A$15)),
        IF(Import.TipoArredondamento&lt;&gt;"TransfereGOV",
              ROUND(OFFSET($P135,0,BA$13),15-13*ORÇAMENTO!$AF$7)/$H135*OFFSET(ORÇAMENTO!$X$15,ROW(BA135)-ROW(BA$15),0),
              ROUND(ROUND(OFFSET($P135,0,BA$13),15-13*ORÇAMENTO!$AF$7)*OFFSET(ORÇAMENTO!$W$15,ROW(BA135)-ROW(BA$15),0),15-13*ORÇAMENTO!$AF$11)),
         0)</f>
        <v>0</v>
      </c>
      <c r="BC135" s="171">
        <f ca="1">IF(OR($D135&lt;&gt;"Serviço",AND(AUTOEVENTO="Manual",$M135=$A$15)),0,
         IF(OFFSET(CRONOPLE!$F$15,$M135-$A$15,BC$13)=0,10^12,OFFSET(CRONOPLE!$F$15,$M135-$A$15,BC$13)))</f>
        <v>1000000000000</v>
      </c>
      <c r="BD135" s="171">
        <f ca="1">IF(OR($D135&lt;&gt;"Serviço",AND(AUTOEVENTO="Manual",$M135=$A$15)),0,
         IF(OFFSET(CRONOPLE!$F$15,$M135-$A$15,BD$13)=0,10^12,OFFSET(CRONOPLE!$F$15,$M135-$A$15,BD$13)))</f>
        <v>1000000000000</v>
      </c>
      <c r="BE135" s="171">
        <f ca="1">IF(OR($D135&lt;&gt;"Serviço",AND(AUTOEVENTO="Manual",$M135=$A$15)),0,
         IF(OFFSET(CRONOPLE!$F$15,$M135-$A$15,BE$13)=0,10^12,OFFSET(CRONOPLE!$F$15,$M135-$A$15,BE$13)))</f>
        <v>1000000000000</v>
      </c>
      <c r="BF135" s="171">
        <f ca="1">IF(OR($D135&lt;&gt;"Serviço",AND(AUTOEVENTO="Manual",$M135=$A$15)),0,
         IF(OFFSET(CRONOPLE!$F$15,$M135-$A$15,BF$13)=0,10^12,OFFSET(CRONOPLE!$F$15,$M135-$A$15,BF$13)))</f>
        <v>1000000000000</v>
      </c>
      <c r="BG135" s="171">
        <f ca="1">IF(OR($D135&lt;&gt;"Serviço",AND(AUTOEVENTO="Manual",$M135=$A$15)),0,
         IF(OFFSET(CRONOPLE!$F$15,$M135-$A$15,BG$13)=0,10^12,OFFSET(CRONOPLE!$F$15,$M135-$A$15,BG$13)))</f>
        <v>1000000000000</v>
      </c>
      <c r="BH135" s="171">
        <f ca="1">IF(OR($D135&lt;&gt;"Serviço",AND(AUTOEVENTO="Manual",$M135=$A$15)),0,
         IF(OFFSET(CRONOPLE!$F$15,$M135-$A$15,BH$13)=0,10^12,OFFSET(CRONOPLE!$F$15,$M135-$A$15,BH$13)))</f>
        <v>5</v>
      </c>
      <c r="BI135" s="171">
        <f ca="1">IF(OR($D135&lt;&gt;"Serviço",AND(AUTOEVENTO="Manual",$M135=$A$15)),0,
         IF(OFFSET(CRONOPLE!$F$15,$M135-$A$15,BI$13)=0,10^12,OFFSET(CRONOPLE!$F$15,$M135-$A$15,BI$13)))</f>
        <v>1000000000000</v>
      </c>
      <c r="BJ135" s="171">
        <f ca="1">IF(OR($D135&lt;&gt;"Serviço",AND(AUTOEVENTO="Manual",$M135=$A$15)),0,
         IF(OFFSET(CRONOPLE!$F$15,$M135-$A$15,BJ$13)=0,10^12,OFFSET(CRONOPLE!$F$15,$M135-$A$15,BJ$13)))</f>
        <v>1000000000000</v>
      </c>
      <c r="BK135" s="171">
        <f ca="1">IF(OR($D135&lt;&gt;"Serviço",AND(AUTOEVENTO="Manual",$M135=$A$15)),0,
         IF(OFFSET(CRONOPLE!$F$15,$M135-$A$15,BK$13)=0,10^12,OFFSET(CRONOPLE!$F$15,$M135-$A$15,BK$13)))</f>
        <v>1000000000000</v>
      </c>
      <c r="BL135" s="171">
        <f ca="1">IF(OR($D135&lt;&gt;"Serviço",AND(AUTOEVENTO="Manual",$M135=$A$15)),0,
         IF(OFFSET(CRONOPLE!$F$15,$M135-$A$15,BL$13)=0,10^12,OFFSET(CRONOPLE!$F$15,$M135-$A$15,BL$13)))</f>
        <v>1000000000000</v>
      </c>
      <c r="BM135" s="171">
        <f ca="1">IF(OR($D135&lt;&gt;"Serviço",AND(AUTOEVENTO="Manual",$M135=$A$15)),0,
         IF(OFFSET(CRONOPLE!$F$15,$M135-$A$15,BM$13)=0,10^12,OFFSET(CRONOPLE!$F$15,$M135-$A$15,BM$13)))</f>
        <v>1000000000000</v>
      </c>
      <c r="BN135" s="171">
        <f ca="1">IF(OR($D135&lt;&gt;"Serviço",AND(AUTOEVENTO="Manual",$M135=$A$15)),0,
         IF(OFFSET(CRONOPLE!$F$15,$M135-$A$15,BN$13)=0,10^12,OFFSET(CRONOPLE!$F$15,$M135-$A$15,BN$13)))</f>
        <v>1000000000000</v>
      </c>
      <c r="BO135" s="171">
        <f ca="1">IF(OR($D135&lt;&gt;"Serviço",AND(AUTOEVENTO="Manual",$M135=$A$15)),0,
         IF(OFFSET(CRONOPLE!$F$15,$M135-$A$15,BO$13)=0,10^12,OFFSET(CRONOPLE!$F$15,$M135-$A$15,BO$13)))</f>
        <v>1000000000000</v>
      </c>
      <c r="BP135" s="171">
        <f ca="1">IF(OR($D135&lt;&gt;"Serviço",AND(AUTOEVENTO="Manual",$M135=$A$15)),0,
         IF(OFFSET(CRONOPLE!$F$15,$M135-$A$15,BP$13)=0,10^12,OFFSET(CRONOPLE!$F$15,$M135-$A$15,BP$13)))</f>
        <v>1000000000000</v>
      </c>
      <c r="BQ135" s="171">
        <f ca="1">IF(OR($D135&lt;&gt;"Serviço",AND(AUTOEVENTO="Manual",$M135=$A$15)),0,
         IF(OFFSET(CRONOPLE!$F$15,$M135-$A$15,BQ$13)=0,10^12,OFFSET(CRONOPLE!$F$15,$M135-$A$15,BQ$13)))</f>
        <v>1000000000000</v>
      </c>
      <c r="BR135" s="171">
        <f ca="1">IF(OR($D135&lt;&gt;"Serviço",AND(AUTOEVENTO="Manual",$M135=$A$15)),0,
         IF(OFFSET(CRONOPLE!$F$15,$M135-$A$15,BR$13)=0,10^12,OFFSET(CRONOPLE!$F$15,$M135-$A$15,BR$13)))</f>
        <v>1000000000000</v>
      </c>
      <c r="BS135" s="171">
        <f ca="1">IF(OR($D135&lt;&gt;"Serviço",AND(AUTOEVENTO="Manual",$M135=$A$15)),0,
         IF(OFFSET(CRONOPLE!$F$15,$M135-$A$15,BS$13)=0,10^12,OFFSET(CRONOPLE!$F$15,$M135-$A$15,BS$13)))</f>
        <v>1000000000000</v>
      </c>
      <c r="BT135" s="171">
        <f ca="1">IF(OR($D135&lt;&gt;"Serviço",AND(AUTOEVENTO="Manual",$M135=$A$15)),0,
         IF(OFFSET(CRONOPLE!$F$15,$M135-$A$15,BT$13)=0,10^12,OFFSET(CRONOPLE!$F$15,$M135-$A$15,BT$13)))</f>
        <v>1000000000000</v>
      </c>
      <c r="BV135" s="172">
        <f ca="1">IF(OR($D135&lt;&gt;"Serviço",AND(AUTOEVENTO="Manual",$M135=$A$15),$M135&gt;(ROW(PLE.lastrow)-ROW(PLE.firstrow))),0,
           IF(OFFSET(PLE!$G$15,$M135-$A$15,BV$13)="",10^12,OFFSET(PLE!$G$15,$M135-$A$15,BV$13)))</f>
        <v>1000000000000</v>
      </c>
      <c r="BW135" s="172">
        <f ca="1">IF(OR($D135&lt;&gt;"Serviço",AND(AUTOEVENTO="Manual",$M135=$A$15),$M135&gt;(ROW(PLE.lastrow)-ROW(PLE.firstrow))),0,
           IF(OFFSET(PLE!$G$15,$M135-$A$15,BW$13)="",10^12,OFFSET(PLE!$G$15,$M135-$A$15,BW$13)))</f>
        <v>1000000000000</v>
      </c>
      <c r="BX135" s="172">
        <f ca="1">IF(OR($D135&lt;&gt;"Serviço",AND(AUTOEVENTO="Manual",$M135=$A$15),$M135&gt;(ROW(PLE.lastrow)-ROW(PLE.firstrow))),0,
           IF(OFFSET(PLE!$G$15,$M135-$A$15,BX$13)="",10^12,OFFSET(PLE!$G$15,$M135-$A$15,BX$13)))</f>
        <v>1000000000000</v>
      </c>
      <c r="BY135" s="172">
        <f ca="1">IF(OR($D135&lt;&gt;"Serviço",AND(AUTOEVENTO="Manual",$M135=$A$15),$M135&gt;(ROW(PLE.lastrow)-ROW(PLE.firstrow))),0,
           IF(OFFSET(PLE!$G$15,$M135-$A$15,BY$13)="",10^12,OFFSET(PLE!$G$15,$M135-$A$15,BY$13)))</f>
        <v>1000000000000</v>
      </c>
      <c r="BZ135" s="172">
        <f ca="1">IF(OR($D135&lt;&gt;"Serviço",AND(AUTOEVENTO="Manual",$M135=$A$15),$M135&gt;(ROW(PLE.lastrow)-ROW(PLE.firstrow))),0,
           IF(OFFSET(PLE!$G$15,$M135-$A$15,BZ$13)="",10^12,OFFSET(PLE!$G$15,$M135-$A$15,BZ$13)))</f>
        <v>1000000000000</v>
      </c>
      <c r="CA135" s="172">
        <f ca="1">IF(OR($D135&lt;&gt;"Serviço",AND(AUTOEVENTO="Manual",$M135=$A$15),$M135&gt;(ROW(PLE.lastrow)-ROW(PLE.firstrow))),0,
           IF(OFFSET(PLE!$G$15,$M135-$A$15,CA$13)="",10^12,OFFSET(PLE!$G$15,$M135-$A$15,CA$13)))</f>
        <v>1000000000000</v>
      </c>
      <c r="CB135" s="172">
        <f ca="1">IF(OR($D135&lt;&gt;"Serviço",AND(AUTOEVENTO="Manual",$M135=$A$15),$M135&gt;(ROW(PLE.lastrow)-ROW(PLE.firstrow))),0,
           IF(OFFSET(PLE!$G$15,$M135-$A$15,CB$13)="",10^12,OFFSET(PLE!$G$15,$M135-$A$15,CB$13)))</f>
        <v>1000000000000</v>
      </c>
      <c r="CC135" s="172">
        <f ca="1">IF(OR($D135&lt;&gt;"Serviço",AND(AUTOEVENTO="Manual",$M135=$A$15),$M135&gt;(ROW(PLE.lastrow)-ROW(PLE.firstrow))),0,
           IF(OFFSET(PLE!$G$15,$M135-$A$15,CC$13)="",10^12,OFFSET(PLE!$G$15,$M135-$A$15,CC$13)))</f>
        <v>1000000000000</v>
      </c>
      <c r="CD135" s="172">
        <f ca="1">IF(OR($D135&lt;&gt;"Serviço",AND(AUTOEVENTO="Manual",$M135=$A$15),$M135&gt;(ROW(PLE.lastrow)-ROW(PLE.firstrow))),0,
           IF(OFFSET(PLE!$G$15,$M135-$A$15,CD$13)="",10^12,OFFSET(PLE!$G$15,$M135-$A$15,CD$13)))</f>
        <v>1000000000000</v>
      </c>
      <c r="CE135" s="172">
        <f ca="1">IF(OR($D135&lt;&gt;"Serviço",AND(AUTOEVENTO="Manual",$M135=$A$15),$M135&gt;(ROW(PLE.lastrow)-ROW(PLE.firstrow))),0,
           IF(OFFSET(PLE!$G$15,$M135-$A$15,CE$13)="",10^12,OFFSET(PLE!$G$15,$M135-$A$15,CE$13)))</f>
        <v>1000000000000</v>
      </c>
      <c r="CF135" s="172">
        <f ca="1">IF(OR($D135&lt;&gt;"Serviço",AND(AUTOEVENTO="Manual",$M135=$A$15),$M135&gt;(ROW(PLE.lastrow)-ROW(PLE.firstrow))),0,
           IF(OFFSET(PLE!$G$15,$M135-$A$15,CF$13)="",10^12,OFFSET(PLE!$G$15,$M135-$A$15,CF$13)))</f>
        <v>1000000000000</v>
      </c>
      <c r="CG135" s="172">
        <f ca="1">IF(OR($D135&lt;&gt;"Serviço",AND(AUTOEVENTO="Manual",$M135=$A$15),$M135&gt;(ROW(PLE.lastrow)-ROW(PLE.firstrow))),0,
           IF(OFFSET(PLE!$G$15,$M135-$A$15,CG$13)="",10^12,OFFSET(PLE!$G$15,$M135-$A$15,CG$13)))</f>
        <v>1000000000000</v>
      </c>
      <c r="CH135" s="172">
        <f ca="1">IF(OR($D135&lt;&gt;"Serviço",AND(AUTOEVENTO="Manual",$M135=$A$15),$M135&gt;(ROW(PLE.lastrow)-ROW(PLE.firstrow))),0,
           IF(OFFSET(PLE!$G$15,$M135-$A$15,CH$13)="",10^12,OFFSET(PLE!$G$15,$M135-$A$15,CH$13)))</f>
        <v>1000000000000</v>
      </c>
      <c r="CI135" s="172">
        <f ca="1">IF(OR($D135&lt;&gt;"Serviço",AND(AUTOEVENTO="Manual",$M135=$A$15),$M135&gt;(ROW(PLE.lastrow)-ROW(PLE.firstrow))),0,
           IF(OFFSET(PLE!$G$15,$M135-$A$15,CI$13)="",10^12,OFFSET(PLE!$G$15,$M135-$A$15,CI$13)))</f>
        <v>1000000000000</v>
      </c>
      <c r="CJ135" s="172">
        <f ca="1">IF(OR($D135&lt;&gt;"Serviço",AND(AUTOEVENTO="Manual",$M135=$A$15),$M135&gt;(ROW(PLE.lastrow)-ROW(PLE.firstrow))),0,
           IF(OFFSET(PLE!$G$15,$M135-$A$15,CJ$13)="",10^12,OFFSET(PLE!$G$15,$M135-$A$15,CJ$13)))</f>
        <v>1000000000000</v>
      </c>
      <c r="CK135" s="172">
        <f ca="1">IF(OR($D135&lt;&gt;"Serviço",AND(AUTOEVENTO="Manual",$M135=$A$15),$M135&gt;(ROW(PLE.lastrow)-ROW(PLE.firstrow))),0,
           IF(OFFSET(PLE!$G$15,$M135-$A$15,CK$13)="",10^12,OFFSET(PLE!$G$15,$M135-$A$15,CK$13)))</f>
        <v>1000000000000</v>
      </c>
      <c r="CL135" s="172">
        <f ca="1">IF(OR($D135&lt;&gt;"Serviço",AND(AUTOEVENTO="Manual",$M135=$A$15),$M135&gt;(ROW(PLE.lastrow)-ROW(PLE.firstrow))),0,
           IF(OFFSET(PLE!$G$15,$M135-$A$15,CL$13)="",10^12,OFFSET(PLE!$G$15,$M135-$A$15,CL$13)))</f>
        <v>1000000000000</v>
      </c>
      <c r="CM135" s="172">
        <f ca="1">IF(OR($D135&lt;&gt;"Serviço",AND(AUTOEVENTO="Manual",$M135=$A$15),$M135&gt;(ROW(PLE.lastrow)-ROW(PLE.firstrow))),0,
           IF(OFFSET(PLE!$G$15,$M135-$A$15,CM$13)="",10^12,OFFSET(PLE!$G$15,$M135-$A$15,CM$13)))</f>
        <v>1000000000000</v>
      </c>
    </row>
    <row r="136" spans="1:91" ht="26.4" x14ac:dyDescent="0.25">
      <c r="A136" s="7" t="str">
        <f t="shared" ca="1" si="11"/>
        <v>119</v>
      </c>
      <c r="B136" s="7" t="str">
        <f ca="1">OFFSET(ORÇAMENTO!C$15,ROW(B136)-ROW(B$15),0)</f>
        <v>S</v>
      </c>
      <c r="C136" s="7" t="str">
        <f ca="1">OFFSET(ORÇAMENTO!L$15,ROW(C136)-ROW(C$15),0)</f>
        <v>F</v>
      </c>
      <c r="D136" s="116" t="str">
        <f ca="1">OFFSET(ORÇAMENTO!N$15,ROW(D136)-ROW(D$15),0)</f>
        <v>Serviço</v>
      </c>
      <c r="E136" s="117" t="str">
        <f ca="1">OFFSET(ORÇAMENTO!O$15,ROW(E136)-ROW(E$15),0)</f>
        <v>4.1.2.</v>
      </c>
      <c r="F136" s="163" t="str">
        <f ca="1">OFFSET(ORÇAMENTO!R$15,ROW(F136)-ROW(F$15),0)</f>
        <v>Tubo de concreto PA1 comercial para drenagem - D = 0,40 m - fornecimento e instalação</v>
      </c>
      <c r="G136" s="164" t="str">
        <f ca="1">IF($D136&lt;&gt;"Serviço","",OFFSET(ORÇAMENTO!S$15,ROW(G136)-ROW(G$15),0))</f>
        <v>M</v>
      </c>
      <c r="H136" s="122" cm="1">
        <f t="array" aca="1" ref="H136" ca="1">IF($D136&lt;&gt;"Serviço",0,IF(ACOMPANHAMENTO="BM",ROUND(OFFSET(ORÇAMENTO!AJ$15,ROW(H136)-ROW(H$15),0),15-13*ORÇAMENTO!$AF$7),SUMPRODUCT(($Q$1:$AI$1=1)*ROUND($Q136:$AI136,15-13*ORÇAMENTO!$AF$7))))</f>
        <v>98</v>
      </c>
      <c r="I136" s="468"/>
      <c r="J136" s="651" t="e" cm="1">
        <f t="array" aca="1" ref="J136" ca="1">IF(OR(B136&lt;&gt;"S",CÁLCULO.FrentesPreenchidas=0),"",IF(AND(ACOMPANHAMENTO="PLE",AUTOEVENTO="Manual",OR(H136&gt;0,ORÇAMENTO!AC136="QUANT."),OR(K136="",M136=0,N136="")),"►E",IF(AND(ACOMPANHAMENTO="PLE",ORÇAMENTO!AC136="QUANT."),"►Q",IF(AND(ACOMPANHAMENTO="PLE",H136&lt;&gt;SUMPRODUCT(($Q$1:$AI$1=1)*ROUND(Q136:AI136,15))),"►S",IF(AND(COUNTIF($P$11:$AI$11,"▼")=0,H136&gt;0,I136=""),"◄M","")))))</f>
        <v>#NAME?</v>
      </c>
      <c r="K136" s="652"/>
      <c r="L136" s="165" t="s">
        <v>764</v>
      </c>
      <c r="M136" s="166">
        <f ca="1">IF($D136&lt;&gt;"Serviço","",
          IF(AUTOEVENTO="manual",$A136,
                IF(ISERROR(MATCH($A136,$A$15:OFFSET($A136,-1,0),0)),MAX($M$15:OFFSET(M136,-1,0))+1,
                      INDEX($M$15:OFFSET(M136,-1,0),MATCH($A136,$A$15:OFFSET($A136,-1,0),0)))))</f>
        <v>19</v>
      </c>
      <c r="N136" s="167" t="str">
        <f ca="1">IF($D136&lt;&gt;"Serviço","",
         IF(AUTOEVENTO="Manual",
                IF($A136=0,"&lt;-- defina o número do agrupador",
                       OFFSET(EVENTOS!$D$15,$A136-$A$15,0)),
                OFFSET($F$15,$A136,0)))</f>
        <v>DRENAGEM</v>
      </c>
      <c r="O136" s="168"/>
      <c r="Q136" s="168"/>
      <c r="R136" s="169"/>
      <c r="S136" s="169"/>
      <c r="T136" s="169"/>
      <c r="U136" s="169"/>
      <c r="V136" s="169">
        <v>98</v>
      </c>
      <c r="W136" s="169"/>
      <c r="X136" s="169"/>
      <c r="Y136" s="169"/>
      <c r="Z136" s="170"/>
      <c r="AA136" s="169"/>
      <c r="AB136" s="169"/>
      <c r="AC136" s="169"/>
      <c r="AD136" s="169"/>
      <c r="AE136" s="169"/>
      <c r="AF136" s="169"/>
      <c r="AG136" s="169"/>
      <c r="AH136" s="170"/>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L136" s="453">
        <f ca="1">IF(AND($D136="Serviço",AL$12&lt;&gt;0,$H136&gt;0,OR(AUTOEVENTO&lt;&gt;"manual",$M136&lt;&gt;$A$15)),
        IF(Import.TipoArredondamento&lt;&gt;"TransfereGOV",
              ROUND(OFFSET($P136,0,AL$13),15-13*ORÇAMENTO!$AF$7)/$H136*OFFSET(ORÇAMENTO!$X$15,ROW(AL136)-ROW(AL$15),0),
              ROUND(ROUND(OFFSET($P136,0,AL$13),15-13*ORÇAMENTO!$AF$7)*OFFSET(ORÇAMENTO!$W$15,ROW(AL136)-ROW(AL$15),0),15-13*ORÇAMENTO!$AF$11)),
         0)</f>
        <v>0</v>
      </c>
      <c r="AM136" s="453">
        <f ca="1">IF(AND($D136="Serviço",AM$12&lt;&gt;0,$H136&gt;0,OR(AUTOEVENTO&lt;&gt;"manual",$M136&lt;&gt;$A$15)),
        IF(Import.TipoArredondamento&lt;&gt;"TransfereGOV",
              ROUND(OFFSET($P136,0,AM$13),15-13*ORÇAMENTO!$AF$7)/$H136*OFFSET(ORÇAMENTO!$X$15,ROW(AM136)-ROW(AM$15),0),
              ROUND(ROUND(OFFSET($P136,0,AM$13),15-13*ORÇAMENTO!$AF$7)*OFFSET(ORÇAMENTO!$W$15,ROW(AM136)-ROW(AM$15),0),15-13*ORÇAMENTO!$AF$11)),
         0)</f>
        <v>0</v>
      </c>
      <c r="AN136" s="453">
        <f ca="1">IF(AND($D136="Serviço",AN$12&lt;&gt;0,$H136&gt;0,OR(AUTOEVENTO&lt;&gt;"manual",$M136&lt;&gt;$A$15)),
        IF(Import.TipoArredondamento&lt;&gt;"TransfereGOV",
              ROUND(OFFSET($P136,0,AN$13),15-13*ORÇAMENTO!$AF$7)/$H136*OFFSET(ORÇAMENTO!$X$15,ROW(AN136)-ROW(AN$15),0),
              ROUND(ROUND(OFFSET($P136,0,AN$13),15-13*ORÇAMENTO!$AF$7)*OFFSET(ORÇAMENTO!$W$15,ROW(AN136)-ROW(AN$15),0),15-13*ORÇAMENTO!$AF$11)),
         0)</f>
        <v>0</v>
      </c>
      <c r="AO136" s="453">
        <f ca="1">IF(AND($D136="Serviço",AO$12&lt;&gt;0,$H136&gt;0,OR(AUTOEVENTO&lt;&gt;"manual",$M136&lt;&gt;$A$15)),
        IF(Import.TipoArredondamento&lt;&gt;"TransfereGOV",
              ROUND(OFFSET($P136,0,AO$13),15-13*ORÇAMENTO!$AF$7)/$H136*OFFSET(ORÇAMENTO!$X$15,ROW(AO136)-ROW(AO$15),0),
              ROUND(ROUND(OFFSET($P136,0,AO$13),15-13*ORÇAMENTO!$AF$7)*OFFSET(ORÇAMENTO!$W$15,ROW(AO136)-ROW(AO$15),0),15-13*ORÇAMENTO!$AF$11)),
         0)</f>
        <v>36833.300000000003</v>
      </c>
      <c r="AP136" s="453">
        <f ca="1">IF(AND($D136="Serviço",AP$12&lt;&gt;0,$H136&gt;0,OR(AUTOEVENTO&lt;&gt;"manual",$M136&lt;&gt;$A$15)),
        IF(Import.TipoArredondamento&lt;&gt;"TransfereGOV",
              ROUND(OFFSET($P136,0,AP$13),15-13*ORÇAMENTO!$AF$7)/$H136*OFFSET(ORÇAMENTO!$X$15,ROW(AP136)-ROW(AP$15),0),
              ROUND(ROUND(OFFSET($P136,0,AP$13),15-13*ORÇAMENTO!$AF$7)*OFFSET(ORÇAMENTO!$W$15,ROW(AP136)-ROW(AP$15),0),15-13*ORÇAMENTO!$AF$11)),
         0)</f>
        <v>0</v>
      </c>
      <c r="AQ136" s="453">
        <f ca="1">IF(AND($D136="Serviço",AQ$12&lt;&gt;0,$H136&gt;0,OR(AUTOEVENTO&lt;&gt;"manual",$M136&lt;&gt;$A$15)),
        IF(Import.TipoArredondamento&lt;&gt;"TransfereGOV",
              ROUND(OFFSET($P136,0,AQ$13),15-13*ORÇAMENTO!$AF$7)/$H136*OFFSET(ORÇAMENTO!$X$15,ROW(AQ136)-ROW(AQ$15),0),
              ROUND(ROUND(OFFSET($P136,0,AQ$13),15-13*ORÇAMENTO!$AF$7)*OFFSET(ORÇAMENTO!$W$15,ROW(AQ136)-ROW(AQ$15),0),15-13*ORÇAMENTO!$AF$11)),
         0)</f>
        <v>0</v>
      </c>
      <c r="AR136" s="453">
        <f ca="1">IF(AND($D136="Serviço",AR$12&lt;&gt;0,$H136&gt;0,OR(AUTOEVENTO&lt;&gt;"manual",$M136&lt;&gt;$A$15)),
        IF(Import.TipoArredondamento&lt;&gt;"TransfereGOV",
              ROUND(OFFSET($P136,0,AR$13),15-13*ORÇAMENTO!$AF$7)/$H136*OFFSET(ORÇAMENTO!$X$15,ROW(AR136)-ROW(AR$15),0),
              ROUND(ROUND(OFFSET($P136,0,AR$13),15-13*ORÇAMENTO!$AF$7)*OFFSET(ORÇAMENTO!$W$15,ROW(AR136)-ROW(AR$15),0),15-13*ORÇAMENTO!$AF$11)),
         0)</f>
        <v>0</v>
      </c>
      <c r="AS136" s="453">
        <f ca="1">IF(AND($D136="Serviço",AS$12&lt;&gt;0,$H136&gt;0,OR(AUTOEVENTO&lt;&gt;"manual",$M136&lt;&gt;$A$15)),
        IF(Import.TipoArredondamento&lt;&gt;"TransfereGOV",
              ROUND(OFFSET($P136,0,AS$13),15-13*ORÇAMENTO!$AF$7)/$H136*OFFSET(ORÇAMENTO!$X$15,ROW(AS136)-ROW(AS$15),0),
              ROUND(ROUND(OFFSET($P136,0,AS$13),15-13*ORÇAMENTO!$AF$7)*OFFSET(ORÇAMENTO!$W$15,ROW(AS136)-ROW(AS$15),0),15-13*ORÇAMENTO!$AF$11)),
         0)</f>
        <v>0</v>
      </c>
      <c r="AT136" s="453">
        <f ca="1">IF(AND($D136="Serviço",AT$12&lt;&gt;0,$H136&gt;0,OR(AUTOEVENTO&lt;&gt;"manual",$M136&lt;&gt;$A$15)),
        IF(Import.TipoArredondamento&lt;&gt;"TransfereGOV",
              ROUND(OFFSET($P136,0,AT$13),15-13*ORÇAMENTO!$AF$7)/$H136*OFFSET(ORÇAMENTO!$X$15,ROW(AT136)-ROW(AT$15),0),
              ROUND(ROUND(OFFSET($P136,0,AT$13),15-13*ORÇAMENTO!$AF$7)*OFFSET(ORÇAMENTO!$W$15,ROW(AT136)-ROW(AT$15),0),15-13*ORÇAMENTO!$AF$11)),
         0)</f>
        <v>0</v>
      </c>
      <c r="AU136" s="453">
        <f ca="1">IF(AND($D136="Serviço",AU$12&lt;&gt;0,$H136&gt;0,OR(AUTOEVENTO&lt;&gt;"manual",$M136&lt;&gt;$A$15)),
        IF(Import.TipoArredondamento&lt;&gt;"TransfereGOV",
              ROUND(OFFSET($P136,0,AU$13),15-13*ORÇAMENTO!$AF$7)/$H136*OFFSET(ORÇAMENTO!$X$15,ROW(AU136)-ROW(AU$15),0),
              ROUND(ROUND(OFFSET($P136,0,AU$13),15-13*ORÇAMENTO!$AF$7)*OFFSET(ORÇAMENTO!$W$15,ROW(AU136)-ROW(AU$15),0),15-13*ORÇAMENTO!$AF$11)),
         0)</f>
        <v>0</v>
      </c>
      <c r="AV136" s="453">
        <f ca="1">IF(AND($D136="Serviço",AV$12&lt;&gt;0,$H136&gt;0,OR(AUTOEVENTO&lt;&gt;"manual",$M136&lt;&gt;$A$15)),
        IF(Import.TipoArredondamento&lt;&gt;"TransfereGOV",
              ROUND(OFFSET($P136,0,AV$13),15-13*ORÇAMENTO!$AF$7)/$H136*OFFSET(ORÇAMENTO!$X$15,ROW(AV136)-ROW(AV$15),0),
              ROUND(ROUND(OFFSET($P136,0,AV$13),15-13*ORÇAMENTO!$AF$7)*OFFSET(ORÇAMENTO!$W$15,ROW(AV136)-ROW(AV$15),0),15-13*ORÇAMENTO!$AF$11)),
         0)</f>
        <v>0</v>
      </c>
      <c r="AW136" s="453">
        <f ca="1">IF(AND($D136="Serviço",AW$12&lt;&gt;0,$H136&gt;0,OR(AUTOEVENTO&lt;&gt;"manual",$M136&lt;&gt;$A$15)),
        IF(Import.TipoArredondamento&lt;&gt;"TransfereGOV",
              ROUND(OFFSET($P136,0,AW$13),15-13*ORÇAMENTO!$AF$7)/$H136*OFFSET(ORÇAMENTO!$X$15,ROW(AW136)-ROW(AW$15),0),
              ROUND(ROUND(OFFSET($P136,0,AW$13),15-13*ORÇAMENTO!$AF$7)*OFFSET(ORÇAMENTO!$W$15,ROW(AW136)-ROW(AW$15),0),15-13*ORÇAMENTO!$AF$11)),
         0)</f>
        <v>0</v>
      </c>
      <c r="AX136" s="453">
        <f ca="1">IF(AND($D136="Serviço",AX$12&lt;&gt;0,$H136&gt;0,OR(AUTOEVENTO&lt;&gt;"manual",$M136&lt;&gt;$A$15)),
        IF(Import.TipoArredondamento&lt;&gt;"TransfereGOV",
              ROUND(OFFSET($P136,0,AX$13),15-13*ORÇAMENTO!$AF$7)/$H136*OFFSET(ORÇAMENTO!$X$15,ROW(AX136)-ROW(AX$15),0),
              ROUND(ROUND(OFFSET($P136,0,AX$13),15-13*ORÇAMENTO!$AF$7)*OFFSET(ORÇAMENTO!$W$15,ROW(AX136)-ROW(AX$15),0),15-13*ORÇAMENTO!$AF$11)),
         0)</f>
        <v>0</v>
      </c>
      <c r="AY136" s="453">
        <f ca="1">IF(AND($D136="Serviço",AY$12&lt;&gt;0,$H136&gt;0,OR(AUTOEVENTO&lt;&gt;"manual",$M136&lt;&gt;$A$15)),
        IF(Import.TipoArredondamento&lt;&gt;"TransfereGOV",
              ROUND(OFFSET($P136,0,AY$13),15-13*ORÇAMENTO!$AF$7)/$H136*OFFSET(ORÇAMENTO!$X$15,ROW(AY136)-ROW(AY$15),0),
              ROUND(ROUND(OFFSET($P136,0,AY$13),15-13*ORÇAMENTO!$AF$7)*OFFSET(ORÇAMENTO!$W$15,ROW(AY136)-ROW(AY$15),0),15-13*ORÇAMENTO!$AF$11)),
         0)</f>
        <v>0</v>
      </c>
      <c r="AZ136" s="453">
        <f ca="1">IF(AND($D136="Serviço",AZ$12&lt;&gt;0,$H136&gt;0,OR(AUTOEVENTO&lt;&gt;"manual",$M136&lt;&gt;$A$15)),
        IF(Import.TipoArredondamento&lt;&gt;"TransfereGOV",
              ROUND(OFFSET($P136,0,AZ$13),15-13*ORÇAMENTO!$AF$7)/$H136*OFFSET(ORÇAMENTO!$X$15,ROW(AZ136)-ROW(AZ$15),0),
              ROUND(ROUND(OFFSET($P136,0,AZ$13),15-13*ORÇAMENTO!$AF$7)*OFFSET(ORÇAMENTO!$W$15,ROW(AZ136)-ROW(AZ$15),0),15-13*ORÇAMENTO!$AF$11)),
         0)</f>
        <v>0</v>
      </c>
      <c r="BA136" s="453">
        <f ca="1">IF(AND($D136="Serviço",BA$12&lt;&gt;0,$H136&gt;0,OR(AUTOEVENTO&lt;&gt;"manual",$M136&lt;&gt;$A$15)),
        IF(Import.TipoArredondamento&lt;&gt;"TransfereGOV",
              ROUND(OFFSET($P136,0,BA$13),15-13*ORÇAMENTO!$AF$7)/$H136*OFFSET(ORÇAMENTO!$X$15,ROW(BA136)-ROW(BA$15),0),
              ROUND(ROUND(OFFSET($P136,0,BA$13),15-13*ORÇAMENTO!$AF$7)*OFFSET(ORÇAMENTO!$W$15,ROW(BA136)-ROW(BA$15),0),15-13*ORÇAMENTO!$AF$11)),
         0)</f>
        <v>0</v>
      </c>
      <c r="BC136" s="171">
        <f ca="1">IF(OR($D136&lt;&gt;"Serviço",AND(AUTOEVENTO="Manual",$M136=$A$15)),0,
         IF(OFFSET(CRONOPLE!$F$15,$M136-$A$15,BC$13)=0,10^12,OFFSET(CRONOPLE!$F$15,$M136-$A$15,BC$13)))</f>
        <v>1000000000000</v>
      </c>
      <c r="BD136" s="171">
        <f ca="1">IF(OR($D136&lt;&gt;"Serviço",AND(AUTOEVENTO="Manual",$M136=$A$15)),0,
         IF(OFFSET(CRONOPLE!$F$15,$M136-$A$15,BD$13)=0,10^12,OFFSET(CRONOPLE!$F$15,$M136-$A$15,BD$13)))</f>
        <v>1000000000000</v>
      </c>
      <c r="BE136" s="171">
        <f ca="1">IF(OR($D136&lt;&gt;"Serviço",AND(AUTOEVENTO="Manual",$M136=$A$15)),0,
         IF(OFFSET(CRONOPLE!$F$15,$M136-$A$15,BE$13)=0,10^12,OFFSET(CRONOPLE!$F$15,$M136-$A$15,BE$13)))</f>
        <v>1000000000000</v>
      </c>
      <c r="BF136" s="171">
        <f ca="1">IF(OR($D136&lt;&gt;"Serviço",AND(AUTOEVENTO="Manual",$M136=$A$15)),0,
         IF(OFFSET(CRONOPLE!$F$15,$M136-$A$15,BF$13)=0,10^12,OFFSET(CRONOPLE!$F$15,$M136-$A$15,BF$13)))</f>
        <v>1000000000000</v>
      </c>
      <c r="BG136" s="171">
        <f ca="1">IF(OR($D136&lt;&gt;"Serviço",AND(AUTOEVENTO="Manual",$M136=$A$15)),0,
         IF(OFFSET(CRONOPLE!$F$15,$M136-$A$15,BG$13)=0,10^12,OFFSET(CRONOPLE!$F$15,$M136-$A$15,BG$13)))</f>
        <v>1000000000000</v>
      </c>
      <c r="BH136" s="171">
        <f ca="1">IF(OR($D136&lt;&gt;"Serviço",AND(AUTOEVENTO="Manual",$M136=$A$15)),0,
         IF(OFFSET(CRONOPLE!$F$15,$M136-$A$15,BH$13)=0,10^12,OFFSET(CRONOPLE!$F$15,$M136-$A$15,BH$13)))</f>
        <v>5</v>
      </c>
      <c r="BI136" s="171">
        <f ca="1">IF(OR($D136&lt;&gt;"Serviço",AND(AUTOEVENTO="Manual",$M136=$A$15)),0,
         IF(OFFSET(CRONOPLE!$F$15,$M136-$A$15,BI$13)=0,10^12,OFFSET(CRONOPLE!$F$15,$M136-$A$15,BI$13)))</f>
        <v>1000000000000</v>
      </c>
      <c r="BJ136" s="171">
        <f ca="1">IF(OR($D136&lt;&gt;"Serviço",AND(AUTOEVENTO="Manual",$M136=$A$15)),0,
         IF(OFFSET(CRONOPLE!$F$15,$M136-$A$15,BJ$13)=0,10^12,OFFSET(CRONOPLE!$F$15,$M136-$A$15,BJ$13)))</f>
        <v>1000000000000</v>
      </c>
      <c r="BK136" s="171">
        <f ca="1">IF(OR($D136&lt;&gt;"Serviço",AND(AUTOEVENTO="Manual",$M136=$A$15)),0,
         IF(OFFSET(CRONOPLE!$F$15,$M136-$A$15,BK$13)=0,10^12,OFFSET(CRONOPLE!$F$15,$M136-$A$15,BK$13)))</f>
        <v>1000000000000</v>
      </c>
      <c r="BL136" s="171">
        <f ca="1">IF(OR($D136&lt;&gt;"Serviço",AND(AUTOEVENTO="Manual",$M136=$A$15)),0,
         IF(OFFSET(CRONOPLE!$F$15,$M136-$A$15,BL$13)=0,10^12,OFFSET(CRONOPLE!$F$15,$M136-$A$15,BL$13)))</f>
        <v>1000000000000</v>
      </c>
      <c r="BM136" s="171">
        <f ca="1">IF(OR($D136&lt;&gt;"Serviço",AND(AUTOEVENTO="Manual",$M136=$A$15)),0,
         IF(OFFSET(CRONOPLE!$F$15,$M136-$A$15,BM$13)=0,10^12,OFFSET(CRONOPLE!$F$15,$M136-$A$15,BM$13)))</f>
        <v>1000000000000</v>
      </c>
      <c r="BN136" s="171">
        <f ca="1">IF(OR($D136&lt;&gt;"Serviço",AND(AUTOEVENTO="Manual",$M136=$A$15)),0,
         IF(OFFSET(CRONOPLE!$F$15,$M136-$A$15,BN$13)=0,10^12,OFFSET(CRONOPLE!$F$15,$M136-$A$15,BN$13)))</f>
        <v>1000000000000</v>
      </c>
      <c r="BO136" s="171">
        <f ca="1">IF(OR($D136&lt;&gt;"Serviço",AND(AUTOEVENTO="Manual",$M136=$A$15)),0,
         IF(OFFSET(CRONOPLE!$F$15,$M136-$A$15,BO$13)=0,10^12,OFFSET(CRONOPLE!$F$15,$M136-$A$15,BO$13)))</f>
        <v>1000000000000</v>
      </c>
      <c r="BP136" s="171">
        <f ca="1">IF(OR($D136&lt;&gt;"Serviço",AND(AUTOEVENTO="Manual",$M136=$A$15)),0,
         IF(OFFSET(CRONOPLE!$F$15,$M136-$A$15,BP$13)=0,10^12,OFFSET(CRONOPLE!$F$15,$M136-$A$15,BP$13)))</f>
        <v>1000000000000</v>
      </c>
      <c r="BQ136" s="171">
        <f ca="1">IF(OR($D136&lt;&gt;"Serviço",AND(AUTOEVENTO="Manual",$M136=$A$15)),0,
         IF(OFFSET(CRONOPLE!$F$15,$M136-$A$15,BQ$13)=0,10^12,OFFSET(CRONOPLE!$F$15,$M136-$A$15,BQ$13)))</f>
        <v>1000000000000</v>
      </c>
      <c r="BR136" s="171">
        <f ca="1">IF(OR($D136&lt;&gt;"Serviço",AND(AUTOEVENTO="Manual",$M136=$A$15)),0,
         IF(OFFSET(CRONOPLE!$F$15,$M136-$A$15,BR$13)=0,10^12,OFFSET(CRONOPLE!$F$15,$M136-$A$15,BR$13)))</f>
        <v>1000000000000</v>
      </c>
      <c r="BS136" s="171">
        <f ca="1">IF(OR($D136&lt;&gt;"Serviço",AND(AUTOEVENTO="Manual",$M136=$A$15)),0,
         IF(OFFSET(CRONOPLE!$F$15,$M136-$A$15,BS$13)=0,10^12,OFFSET(CRONOPLE!$F$15,$M136-$A$15,BS$13)))</f>
        <v>1000000000000</v>
      </c>
      <c r="BT136" s="171">
        <f ca="1">IF(OR($D136&lt;&gt;"Serviço",AND(AUTOEVENTO="Manual",$M136=$A$15)),0,
         IF(OFFSET(CRONOPLE!$F$15,$M136-$A$15,BT$13)=0,10^12,OFFSET(CRONOPLE!$F$15,$M136-$A$15,BT$13)))</f>
        <v>1000000000000</v>
      </c>
      <c r="BV136" s="172">
        <f ca="1">IF(OR($D136&lt;&gt;"Serviço",AND(AUTOEVENTO="Manual",$M136=$A$15),$M136&gt;(ROW(PLE.lastrow)-ROW(PLE.firstrow))),0,
           IF(OFFSET(PLE!$G$15,$M136-$A$15,BV$13)="",10^12,OFFSET(PLE!$G$15,$M136-$A$15,BV$13)))</f>
        <v>1000000000000</v>
      </c>
      <c r="BW136" s="172">
        <f ca="1">IF(OR($D136&lt;&gt;"Serviço",AND(AUTOEVENTO="Manual",$M136=$A$15),$M136&gt;(ROW(PLE.lastrow)-ROW(PLE.firstrow))),0,
           IF(OFFSET(PLE!$G$15,$M136-$A$15,BW$13)="",10^12,OFFSET(PLE!$G$15,$M136-$A$15,BW$13)))</f>
        <v>1000000000000</v>
      </c>
      <c r="BX136" s="172">
        <f ca="1">IF(OR($D136&lt;&gt;"Serviço",AND(AUTOEVENTO="Manual",$M136=$A$15),$M136&gt;(ROW(PLE.lastrow)-ROW(PLE.firstrow))),0,
           IF(OFFSET(PLE!$G$15,$M136-$A$15,BX$13)="",10^12,OFFSET(PLE!$G$15,$M136-$A$15,BX$13)))</f>
        <v>1000000000000</v>
      </c>
      <c r="BY136" s="172">
        <f ca="1">IF(OR($D136&lt;&gt;"Serviço",AND(AUTOEVENTO="Manual",$M136=$A$15),$M136&gt;(ROW(PLE.lastrow)-ROW(PLE.firstrow))),0,
           IF(OFFSET(PLE!$G$15,$M136-$A$15,BY$13)="",10^12,OFFSET(PLE!$G$15,$M136-$A$15,BY$13)))</f>
        <v>1000000000000</v>
      </c>
      <c r="BZ136" s="172">
        <f ca="1">IF(OR($D136&lt;&gt;"Serviço",AND(AUTOEVENTO="Manual",$M136=$A$15),$M136&gt;(ROW(PLE.lastrow)-ROW(PLE.firstrow))),0,
           IF(OFFSET(PLE!$G$15,$M136-$A$15,BZ$13)="",10^12,OFFSET(PLE!$G$15,$M136-$A$15,BZ$13)))</f>
        <v>1000000000000</v>
      </c>
      <c r="CA136" s="172">
        <f ca="1">IF(OR($D136&lt;&gt;"Serviço",AND(AUTOEVENTO="Manual",$M136=$A$15),$M136&gt;(ROW(PLE.lastrow)-ROW(PLE.firstrow))),0,
           IF(OFFSET(PLE!$G$15,$M136-$A$15,CA$13)="",10^12,OFFSET(PLE!$G$15,$M136-$A$15,CA$13)))</f>
        <v>1000000000000</v>
      </c>
      <c r="CB136" s="172">
        <f ca="1">IF(OR($D136&lt;&gt;"Serviço",AND(AUTOEVENTO="Manual",$M136=$A$15),$M136&gt;(ROW(PLE.lastrow)-ROW(PLE.firstrow))),0,
           IF(OFFSET(PLE!$G$15,$M136-$A$15,CB$13)="",10^12,OFFSET(PLE!$G$15,$M136-$A$15,CB$13)))</f>
        <v>1000000000000</v>
      </c>
      <c r="CC136" s="172">
        <f ca="1">IF(OR($D136&lt;&gt;"Serviço",AND(AUTOEVENTO="Manual",$M136=$A$15),$M136&gt;(ROW(PLE.lastrow)-ROW(PLE.firstrow))),0,
           IF(OFFSET(PLE!$G$15,$M136-$A$15,CC$13)="",10^12,OFFSET(PLE!$G$15,$M136-$A$15,CC$13)))</f>
        <v>1000000000000</v>
      </c>
      <c r="CD136" s="172">
        <f ca="1">IF(OR($D136&lt;&gt;"Serviço",AND(AUTOEVENTO="Manual",$M136=$A$15),$M136&gt;(ROW(PLE.lastrow)-ROW(PLE.firstrow))),0,
           IF(OFFSET(PLE!$G$15,$M136-$A$15,CD$13)="",10^12,OFFSET(PLE!$G$15,$M136-$A$15,CD$13)))</f>
        <v>1000000000000</v>
      </c>
      <c r="CE136" s="172">
        <f ca="1">IF(OR($D136&lt;&gt;"Serviço",AND(AUTOEVENTO="Manual",$M136=$A$15),$M136&gt;(ROW(PLE.lastrow)-ROW(PLE.firstrow))),0,
           IF(OFFSET(PLE!$G$15,$M136-$A$15,CE$13)="",10^12,OFFSET(PLE!$G$15,$M136-$A$15,CE$13)))</f>
        <v>1000000000000</v>
      </c>
      <c r="CF136" s="172">
        <f ca="1">IF(OR($D136&lt;&gt;"Serviço",AND(AUTOEVENTO="Manual",$M136=$A$15),$M136&gt;(ROW(PLE.lastrow)-ROW(PLE.firstrow))),0,
           IF(OFFSET(PLE!$G$15,$M136-$A$15,CF$13)="",10^12,OFFSET(PLE!$G$15,$M136-$A$15,CF$13)))</f>
        <v>1000000000000</v>
      </c>
      <c r="CG136" s="172">
        <f ca="1">IF(OR($D136&lt;&gt;"Serviço",AND(AUTOEVENTO="Manual",$M136=$A$15),$M136&gt;(ROW(PLE.lastrow)-ROW(PLE.firstrow))),0,
           IF(OFFSET(PLE!$G$15,$M136-$A$15,CG$13)="",10^12,OFFSET(PLE!$G$15,$M136-$A$15,CG$13)))</f>
        <v>1000000000000</v>
      </c>
      <c r="CH136" s="172">
        <f ca="1">IF(OR($D136&lt;&gt;"Serviço",AND(AUTOEVENTO="Manual",$M136=$A$15),$M136&gt;(ROW(PLE.lastrow)-ROW(PLE.firstrow))),0,
           IF(OFFSET(PLE!$G$15,$M136-$A$15,CH$13)="",10^12,OFFSET(PLE!$G$15,$M136-$A$15,CH$13)))</f>
        <v>1000000000000</v>
      </c>
      <c r="CI136" s="172">
        <f ca="1">IF(OR($D136&lt;&gt;"Serviço",AND(AUTOEVENTO="Manual",$M136=$A$15),$M136&gt;(ROW(PLE.lastrow)-ROW(PLE.firstrow))),0,
           IF(OFFSET(PLE!$G$15,$M136-$A$15,CI$13)="",10^12,OFFSET(PLE!$G$15,$M136-$A$15,CI$13)))</f>
        <v>1000000000000</v>
      </c>
      <c r="CJ136" s="172">
        <f ca="1">IF(OR($D136&lt;&gt;"Serviço",AND(AUTOEVENTO="Manual",$M136=$A$15),$M136&gt;(ROW(PLE.lastrow)-ROW(PLE.firstrow))),0,
           IF(OFFSET(PLE!$G$15,$M136-$A$15,CJ$13)="",10^12,OFFSET(PLE!$G$15,$M136-$A$15,CJ$13)))</f>
        <v>1000000000000</v>
      </c>
      <c r="CK136" s="172">
        <f ca="1">IF(OR($D136&lt;&gt;"Serviço",AND(AUTOEVENTO="Manual",$M136=$A$15),$M136&gt;(ROW(PLE.lastrow)-ROW(PLE.firstrow))),0,
           IF(OFFSET(PLE!$G$15,$M136-$A$15,CK$13)="",10^12,OFFSET(PLE!$G$15,$M136-$A$15,CK$13)))</f>
        <v>1000000000000</v>
      </c>
      <c r="CL136" s="172">
        <f ca="1">IF(OR($D136&lt;&gt;"Serviço",AND(AUTOEVENTO="Manual",$M136=$A$15),$M136&gt;(ROW(PLE.lastrow)-ROW(PLE.firstrow))),0,
           IF(OFFSET(PLE!$G$15,$M136-$A$15,CL$13)="",10^12,OFFSET(PLE!$G$15,$M136-$A$15,CL$13)))</f>
        <v>1000000000000</v>
      </c>
      <c r="CM136" s="172">
        <f ca="1">IF(OR($D136&lt;&gt;"Serviço",AND(AUTOEVENTO="Manual",$M136=$A$15),$M136&gt;(ROW(PLE.lastrow)-ROW(PLE.firstrow))),0,
           IF(OFFSET(PLE!$G$15,$M136-$A$15,CM$13)="",10^12,OFFSET(PLE!$G$15,$M136-$A$15,CM$13)))</f>
        <v>1000000000000</v>
      </c>
    </row>
    <row r="137" spans="1:91" ht="13.2" x14ac:dyDescent="0.25">
      <c r="A137" s="7" t="str">
        <f t="shared" ca="1" si="11"/>
        <v>119</v>
      </c>
      <c r="B137" s="7" t="str">
        <f ca="1">OFFSET(ORÇAMENTO!C$15,ROW(B137)-ROW(B$15),0)</f>
        <v>S</v>
      </c>
      <c r="C137" s="7" t="str">
        <f ca="1">OFFSET(ORÇAMENTO!L$15,ROW(C137)-ROW(C$15),0)</f>
        <v>F</v>
      </c>
      <c r="D137" s="116" t="str">
        <f ca="1">OFFSET(ORÇAMENTO!N$15,ROW(D137)-ROW(D$15),0)</f>
        <v>Serviço</v>
      </c>
      <c r="E137" s="117" t="str">
        <f ca="1">OFFSET(ORÇAMENTO!O$15,ROW(E137)-ROW(E$15),0)</f>
        <v>4.1.3.</v>
      </c>
      <c r="F137" s="163" t="str">
        <f ca="1">OFFSET(ORÇAMENTO!R$15,ROW(F137)-ROW(F$15),0)</f>
        <v>Reaterro e compactação com soquete vibratório</v>
      </c>
      <c r="G137" s="164" t="str">
        <f ca="1">IF($D137&lt;&gt;"Serviço","",OFFSET(ORÇAMENTO!S$15,ROW(G137)-ROW(G$15),0))</f>
        <v>m³</v>
      </c>
      <c r="H137" s="122" cm="1">
        <f t="array" aca="1" ref="H137" ca="1">IF($D137&lt;&gt;"Serviço",0,IF(ACOMPANHAMENTO="BM",ROUND(OFFSET(ORÇAMENTO!AJ$15,ROW(H137)-ROW(H$15),0),15-13*ORÇAMENTO!$AF$7),SUMPRODUCT(($Q$1:$AI$1=1)*ROUND($Q137:$AI137,15-13*ORÇAMENTO!$AF$7))))</f>
        <v>43.12</v>
      </c>
      <c r="I137" s="468"/>
      <c r="J137" s="651" t="e" cm="1">
        <f t="array" aca="1" ref="J137" ca="1">IF(OR(B137&lt;&gt;"S",CÁLCULO.FrentesPreenchidas=0),"",IF(AND(ACOMPANHAMENTO="PLE",AUTOEVENTO="Manual",OR(H137&gt;0,ORÇAMENTO!AC137="QUANT."),OR(K137="",M137=0,N137="")),"►E",IF(AND(ACOMPANHAMENTO="PLE",ORÇAMENTO!AC137="QUANT."),"►Q",IF(AND(ACOMPANHAMENTO="PLE",H137&lt;&gt;SUMPRODUCT(($Q$1:$AI$1=1)*ROUND(Q137:AI137,15))),"►S",IF(AND(COUNTIF($P$11:$AI$11,"▼")=0,H137&gt;0,I137=""),"◄M","")))))</f>
        <v>#NAME?</v>
      </c>
      <c r="K137" s="652"/>
      <c r="L137" s="165" t="s">
        <v>764</v>
      </c>
      <c r="M137" s="166">
        <f ca="1">IF($D137&lt;&gt;"Serviço","",
          IF(AUTOEVENTO="manual",$A137,
                IF(ISERROR(MATCH($A137,$A$15:OFFSET($A137,-1,0),0)),MAX($M$15:OFFSET(M137,-1,0))+1,
                      INDEX($M$15:OFFSET(M137,-1,0),MATCH($A137,$A$15:OFFSET($A137,-1,0),0)))))</f>
        <v>19</v>
      </c>
      <c r="N137" s="167" t="str">
        <f ca="1">IF($D137&lt;&gt;"Serviço","",
         IF(AUTOEVENTO="Manual",
                IF($A137=0,"&lt;-- defina o número do agrupador",
                       OFFSET(EVENTOS!$D$15,$A137-$A$15,0)),
                OFFSET($F$15,$A137,0)))</f>
        <v>DRENAGEM</v>
      </c>
      <c r="O137" s="168"/>
      <c r="Q137" s="168"/>
      <c r="R137" s="169"/>
      <c r="S137" s="169"/>
      <c r="T137" s="169"/>
      <c r="U137" s="169"/>
      <c r="V137" s="169">
        <f>V135-(98*0.2)</f>
        <v>43.120000000000005</v>
      </c>
      <c r="W137" s="169"/>
      <c r="X137" s="169"/>
      <c r="Y137" s="169"/>
      <c r="Z137" s="170"/>
      <c r="AA137" s="169"/>
      <c r="AB137" s="169"/>
      <c r="AC137" s="169"/>
      <c r="AD137" s="169"/>
      <c r="AE137" s="169"/>
      <c r="AF137" s="169"/>
      <c r="AG137" s="169"/>
      <c r="AH137" s="170"/>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L137" s="453">
        <f ca="1">IF(AND($D137="Serviço",AL$12&lt;&gt;0,$H137&gt;0,OR(AUTOEVENTO&lt;&gt;"manual",$M137&lt;&gt;$A$15)),
        IF(Import.TipoArredondamento&lt;&gt;"TransfereGOV",
              ROUND(OFFSET($P137,0,AL$13),15-13*ORÇAMENTO!$AF$7)/$H137*OFFSET(ORÇAMENTO!$X$15,ROW(AL137)-ROW(AL$15),0),
              ROUND(ROUND(OFFSET($P137,0,AL$13),15-13*ORÇAMENTO!$AF$7)*OFFSET(ORÇAMENTO!$W$15,ROW(AL137)-ROW(AL$15),0),15-13*ORÇAMENTO!$AF$11)),
         0)</f>
        <v>0</v>
      </c>
      <c r="AM137" s="453">
        <f ca="1">IF(AND($D137="Serviço",AM$12&lt;&gt;0,$H137&gt;0,OR(AUTOEVENTO&lt;&gt;"manual",$M137&lt;&gt;$A$15)),
        IF(Import.TipoArredondamento&lt;&gt;"TransfereGOV",
              ROUND(OFFSET($P137,0,AM$13),15-13*ORÇAMENTO!$AF$7)/$H137*OFFSET(ORÇAMENTO!$X$15,ROW(AM137)-ROW(AM$15),0),
              ROUND(ROUND(OFFSET($P137,0,AM$13),15-13*ORÇAMENTO!$AF$7)*OFFSET(ORÇAMENTO!$W$15,ROW(AM137)-ROW(AM$15),0),15-13*ORÇAMENTO!$AF$11)),
         0)</f>
        <v>0</v>
      </c>
      <c r="AN137" s="453">
        <f ca="1">IF(AND($D137="Serviço",AN$12&lt;&gt;0,$H137&gt;0,OR(AUTOEVENTO&lt;&gt;"manual",$M137&lt;&gt;$A$15)),
        IF(Import.TipoArredondamento&lt;&gt;"TransfereGOV",
              ROUND(OFFSET($P137,0,AN$13),15-13*ORÇAMENTO!$AF$7)/$H137*OFFSET(ORÇAMENTO!$X$15,ROW(AN137)-ROW(AN$15),0),
              ROUND(ROUND(OFFSET($P137,0,AN$13),15-13*ORÇAMENTO!$AF$7)*OFFSET(ORÇAMENTO!$W$15,ROW(AN137)-ROW(AN$15),0),15-13*ORÇAMENTO!$AF$11)),
         0)</f>
        <v>0</v>
      </c>
      <c r="AO137" s="453">
        <f ca="1">IF(AND($D137="Serviço",AO$12&lt;&gt;0,$H137&gt;0,OR(AUTOEVENTO&lt;&gt;"manual",$M137&lt;&gt;$A$15)),
        IF(Import.TipoArredondamento&lt;&gt;"TransfereGOV",
              ROUND(OFFSET($P137,0,AO$13),15-13*ORÇAMENTO!$AF$7)/$H137*OFFSET(ORÇAMENTO!$X$15,ROW(AO137)-ROW(AO$15),0),
              ROUND(ROUND(OFFSET($P137,0,AO$13),15-13*ORÇAMENTO!$AF$7)*OFFSET(ORÇAMENTO!$W$15,ROW(AO137)-ROW(AO$15),0),15-13*ORÇAMENTO!$AF$11)),
         0)</f>
        <v>1064.2</v>
      </c>
      <c r="AP137" s="453">
        <f ca="1">IF(AND($D137="Serviço",AP$12&lt;&gt;0,$H137&gt;0,OR(AUTOEVENTO&lt;&gt;"manual",$M137&lt;&gt;$A$15)),
        IF(Import.TipoArredondamento&lt;&gt;"TransfereGOV",
              ROUND(OFFSET($P137,0,AP$13),15-13*ORÇAMENTO!$AF$7)/$H137*OFFSET(ORÇAMENTO!$X$15,ROW(AP137)-ROW(AP$15),0),
              ROUND(ROUND(OFFSET($P137,0,AP$13),15-13*ORÇAMENTO!$AF$7)*OFFSET(ORÇAMENTO!$W$15,ROW(AP137)-ROW(AP$15),0),15-13*ORÇAMENTO!$AF$11)),
         0)</f>
        <v>0</v>
      </c>
      <c r="AQ137" s="453">
        <f ca="1">IF(AND($D137="Serviço",AQ$12&lt;&gt;0,$H137&gt;0,OR(AUTOEVENTO&lt;&gt;"manual",$M137&lt;&gt;$A$15)),
        IF(Import.TipoArredondamento&lt;&gt;"TransfereGOV",
              ROUND(OFFSET($P137,0,AQ$13),15-13*ORÇAMENTO!$AF$7)/$H137*OFFSET(ORÇAMENTO!$X$15,ROW(AQ137)-ROW(AQ$15),0),
              ROUND(ROUND(OFFSET($P137,0,AQ$13),15-13*ORÇAMENTO!$AF$7)*OFFSET(ORÇAMENTO!$W$15,ROW(AQ137)-ROW(AQ$15),0),15-13*ORÇAMENTO!$AF$11)),
         0)</f>
        <v>0</v>
      </c>
      <c r="AR137" s="453">
        <f ca="1">IF(AND($D137="Serviço",AR$12&lt;&gt;0,$H137&gt;0,OR(AUTOEVENTO&lt;&gt;"manual",$M137&lt;&gt;$A$15)),
        IF(Import.TipoArredondamento&lt;&gt;"TransfereGOV",
              ROUND(OFFSET($P137,0,AR$13),15-13*ORÇAMENTO!$AF$7)/$H137*OFFSET(ORÇAMENTO!$X$15,ROW(AR137)-ROW(AR$15),0),
              ROUND(ROUND(OFFSET($P137,0,AR$13),15-13*ORÇAMENTO!$AF$7)*OFFSET(ORÇAMENTO!$W$15,ROW(AR137)-ROW(AR$15),0),15-13*ORÇAMENTO!$AF$11)),
         0)</f>
        <v>0</v>
      </c>
      <c r="AS137" s="453">
        <f ca="1">IF(AND($D137="Serviço",AS$12&lt;&gt;0,$H137&gt;0,OR(AUTOEVENTO&lt;&gt;"manual",$M137&lt;&gt;$A$15)),
        IF(Import.TipoArredondamento&lt;&gt;"TransfereGOV",
              ROUND(OFFSET($P137,0,AS$13),15-13*ORÇAMENTO!$AF$7)/$H137*OFFSET(ORÇAMENTO!$X$15,ROW(AS137)-ROW(AS$15),0),
              ROUND(ROUND(OFFSET($P137,0,AS$13),15-13*ORÇAMENTO!$AF$7)*OFFSET(ORÇAMENTO!$W$15,ROW(AS137)-ROW(AS$15),0),15-13*ORÇAMENTO!$AF$11)),
         0)</f>
        <v>0</v>
      </c>
      <c r="AT137" s="453">
        <f ca="1">IF(AND($D137="Serviço",AT$12&lt;&gt;0,$H137&gt;0,OR(AUTOEVENTO&lt;&gt;"manual",$M137&lt;&gt;$A$15)),
        IF(Import.TipoArredondamento&lt;&gt;"TransfereGOV",
              ROUND(OFFSET($P137,0,AT$13),15-13*ORÇAMENTO!$AF$7)/$H137*OFFSET(ORÇAMENTO!$X$15,ROW(AT137)-ROW(AT$15),0),
              ROUND(ROUND(OFFSET($P137,0,AT$13),15-13*ORÇAMENTO!$AF$7)*OFFSET(ORÇAMENTO!$W$15,ROW(AT137)-ROW(AT$15),0),15-13*ORÇAMENTO!$AF$11)),
         0)</f>
        <v>0</v>
      </c>
      <c r="AU137" s="453">
        <f ca="1">IF(AND($D137="Serviço",AU$12&lt;&gt;0,$H137&gt;0,OR(AUTOEVENTO&lt;&gt;"manual",$M137&lt;&gt;$A$15)),
        IF(Import.TipoArredondamento&lt;&gt;"TransfereGOV",
              ROUND(OFFSET($P137,0,AU$13),15-13*ORÇAMENTO!$AF$7)/$H137*OFFSET(ORÇAMENTO!$X$15,ROW(AU137)-ROW(AU$15),0),
              ROUND(ROUND(OFFSET($P137,0,AU$13),15-13*ORÇAMENTO!$AF$7)*OFFSET(ORÇAMENTO!$W$15,ROW(AU137)-ROW(AU$15),0),15-13*ORÇAMENTO!$AF$11)),
         0)</f>
        <v>0</v>
      </c>
      <c r="AV137" s="453">
        <f ca="1">IF(AND($D137="Serviço",AV$12&lt;&gt;0,$H137&gt;0,OR(AUTOEVENTO&lt;&gt;"manual",$M137&lt;&gt;$A$15)),
        IF(Import.TipoArredondamento&lt;&gt;"TransfereGOV",
              ROUND(OFFSET($P137,0,AV$13),15-13*ORÇAMENTO!$AF$7)/$H137*OFFSET(ORÇAMENTO!$X$15,ROW(AV137)-ROW(AV$15),0),
              ROUND(ROUND(OFFSET($P137,0,AV$13),15-13*ORÇAMENTO!$AF$7)*OFFSET(ORÇAMENTO!$W$15,ROW(AV137)-ROW(AV$15),0),15-13*ORÇAMENTO!$AF$11)),
         0)</f>
        <v>0</v>
      </c>
      <c r="AW137" s="453">
        <f ca="1">IF(AND($D137="Serviço",AW$12&lt;&gt;0,$H137&gt;0,OR(AUTOEVENTO&lt;&gt;"manual",$M137&lt;&gt;$A$15)),
        IF(Import.TipoArredondamento&lt;&gt;"TransfereGOV",
              ROUND(OFFSET($P137,0,AW$13),15-13*ORÇAMENTO!$AF$7)/$H137*OFFSET(ORÇAMENTO!$X$15,ROW(AW137)-ROW(AW$15),0),
              ROUND(ROUND(OFFSET($P137,0,AW$13),15-13*ORÇAMENTO!$AF$7)*OFFSET(ORÇAMENTO!$W$15,ROW(AW137)-ROW(AW$15),0),15-13*ORÇAMENTO!$AF$11)),
         0)</f>
        <v>0</v>
      </c>
      <c r="AX137" s="453">
        <f ca="1">IF(AND($D137="Serviço",AX$12&lt;&gt;0,$H137&gt;0,OR(AUTOEVENTO&lt;&gt;"manual",$M137&lt;&gt;$A$15)),
        IF(Import.TipoArredondamento&lt;&gt;"TransfereGOV",
              ROUND(OFFSET($P137,0,AX$13),15-13*ORÇAMENTO!$AF$7)/$H137*OFFSET(ORÇAMENTO!$X$15,ROW(AX137)-ROW(AX$15),0),
              ROUND(ROUND(OFFSET($P137,0,AX$13),15-13*ORÇAMENTO!$AF$7)*OFFSET(ORÇAMENTO!$W$15,ROW(AX137)-ROW(AX$15),0),15-13*ORÇAMENTO!$AF$11)),
         0)</f>
        <v>0</v>
      </c>
      <c r="AY137" s="453">
        <f ca="1">IF(AND($D137="Serviço",AY$12&lt;&gt;0,$H137&gt;0,OR(AUTOEVENTO&lt;&gt;"manual",$M137&lt;&gt;$A$15)),
        IF(Import.TipoArredondamento&lt;&gt;"TransfereGOV",
              ROUND(OFFSET($P137,0,AY$13),15-13*ORÇAMENTO!$AF$7)/$H137*OFFSET(ORÇAMENTO!$X$15,ROW(AY137)-ROW(AY$15),0),
              ROUND(ROUND(OFFSET($P137,0,AY$13),15-13*ORÇAMENTO!$AF$7)*OFFSET(ORÇAMENTO!$W$15,ROW(AY137)-ROW(AY$15),0),15-13*ORÇAMENTO!$AF$11)),
         0)</f>
        <v>0</v>
      </c>
      <c r="AZ137" s="453">
        <f ca="1">IF(AND($D137="Serviço",AZ$12&lt;&gt;0,$H137&gt;0,OR(AUTOEVENTO&lt;&gt;"manual",$M137&lt;&gt;$A$15)),
        IF(Import.TipoArredondamento&lt;&gt;"TransfereGOV",
              ROUND(OFFSET($P137,0,AZ$13),15-13*ORÇAMENTO!$AF$7)/$H137*OFFSET(ORÇAMENTO!$X$15,ROW(AZ137)-ROW(AZ$15),0),
              ROUND(ROUND(OFFSET($P137,0,AZ$13),15-13*ORÇAMENTO!$AF$7)*OFFSET(ORÇAMENTO!$W$15,ROW(AZ137)-ROW(AZ$15),0),15-13*ORÇAMENTO!$AF$11)),
         0)</f>
        <v>0</v>
      </c>
      <c r="BA137" s="453">
        <f ca="1">IF(AND($D137="Serviço",BA$12&lt;&gt;0,$H137&gt;0,OR(AUTOEVENTO&lt;&gt;"manual",$M137&lt;&gt;$A$15)),
        IF(Import.TipoArredondamento&lt;&gt;"TransfereGOV",
              ROUND(OFFSET($P137,0,BA$13),15-13*ORÇAMENTO!$AF$7)/$H137*OFFSET(ORÇAMENTO!$X$15,ROW(BA137)-ROW(BA$15),0),
              ROUND(ROUND(OFFSET($P137,0,BA$13),15-13*ORÇAMENTO!$AF$7)*OFFSET(ORÇAMENTO!$W$15,ROW(BA137)-ROW(BA$15),0),15-13*ORÇAMENTO!$AF$11)),
         0)</f>
        <v>0</v>
      </c>
      <c r="BC137" s="171">
        <f ca="1">IF(OR($D137&lt;&gt;"Serviço",AND(AUTOEVENTO="Manual",$M137=$A$15)),0,
         IF(OFFSET(CRONOPLE!$F$15,$M137-$A$15,BC$13)=0,10^12,OFFSET(CRONOPLE!$F$15,$M137-$A$15,BC$13)))</f>
        <v>1000000000000</v>
      </c>
      <c r="BD137" s="171">
        <f ca="1">IF(OR($D137&lt;&gt;"Serviço",AND(AUTOEVENTO="Manual",$M137=$A$15)),0,
         IF(OFFSET(CRONOPLE!$F$15,$M137-$A$15,BD$13)=0,10^12,OFFSET(CRONOPLE!$F$15,$M137-$A$15,BD$13)))</f>
        <v>1000000000000</v>
      </c>
      <c r="BE137" s="171">
        <f ca="1">IF(OR($D137&lt;&gt;"Serviço",AND(AUTOEVENTO="Manual",$M137=$A$15)),0,
         IF(OFFSET(CRONOPLE!$F$15,$M137-$A$15,BE$13)=0,10^12,OFFSET(CRONOPLE!$F$15,$M137-$A$15,BE$13)))</f>
        <v>1000000000000</v>
      </c>
      <c r="BF137" s="171">
        <f ca="1">IF(OR($D137&lt;&gt;"Serviço",AND(AUTOEVENTO="Manual",$M137=$A$15)),0,
         IF(OFFSET(CRONOPLE!$F$15,$M137-$A$15,BF$13)=0,10^12,OFFSET(CRONOPLE!$F$15,$M137-$A$15,BF$13)))</f>
        <v>1000000000000</v>
      </c>
      <c r="BG137" s="171">
        <f ca="1">IF(OR($D137&lt;&gt;"Serviço",AND(AUTOEVENTO="Manual",$M137=$A$15)),0,
         IF(OFFSET(CRONOPLE!$F$15,$M137-$A$15,BG$13)=0,10^12,OFFSET(CRONOPLE!$F$15,$M137-$A$15,BG$13)))</f>
        <v>1000000000000</v>
      </c>
      <c r="BH137" s="171">
        <f ca="1">IF(OR($D137&lt;&gt;"Serviço",AND(AUTOEVENTO="Manual",$M137=$A$15)),0,
         IF(OFFSET(CRONOPLE!$F$15,$M137-$A$15,BH$13)=0,10^12,OFFSET(CRONOPLE!$F$15,$M137-$A$15,BH$13)))</f>
        <v>5</v>
      </c>
      <c r="BI137" s="171">
        <f ca="1">IF(OR($D137&lt;&gt;"Serviço",AND(AUTOEVENTO="Manual",$M137=$A$15)),0,
         IF(OFFSET(CRONOPLE!$F$15,$M137-$A$15,BI$13)=0,10^12,OFFSET(CRONOPLE!$F$15,$M137-$A$15,BI$13)))</f>
        <v>1000000000000</v>
      </c>
      <c r="BJ137" s="171">
        <f ca="1">IF(OR($D137&lt;&gt;"Serviço",AND(AUTOEVENTO="Manual",$M137=$A$15)),0,
         IF(OFFSET(CRONOPLE!$F$15,$M137-$A$15,BJ$13)=0,10^12,OFFSET(CRONOPLE!$F$15,$M137-$A$15,BJ$13)))</f>
        <v>1000000000000</v>
      </c>
      <c r="BK137" s="171">
        <f ca="1">IF(OR($D137&lt;&gt;"Serviço",AND(AUTOEVENTO="Manual",$M137=$A$15)),0,
         IF(OFFSET(CRONOPLE!$F$15,$M137-$A$15,BK$13)=0,10^12,OFFSET(CRONOPLE!$F$15,$M137-$A$15,BK$13)))</f>
        <v>1000000000000</v>
      </c>
      <c r="BL137" s="171">
        <f ca="1">IF(OR($D137&lt;&gt;"Serviço",AND(AUTOEVENTO="Manual",$M137=$A$15)),0,
         IF(OFFSET(CRONOPLE!$F$15,$M137-$A$15,BL$13)=0,10^12,OFFSET(CRONOPLE!$F$15,$M137-$A$15,BL$13)))</f>
        <v>1000000000000</v>
      </c>
      <c r="BM137" s="171">
        <f ca="1">IF(OR($D137&lt;&gt;"Serviço",AND(AUTOEVENTO="Manual",$M137=$A$15)),0,
         IF(OFFSET(CRONOPLE!$F$15,$M137-$A$15,BM$13)=0,10^12,OFFSET(CRONOPLE!$F$15,$M137-$A$15,BM$13)))</f>
        <v>1000000000000</v>
      </c>
      <c r="BN137" s="171">
        <f ca="1">IF(OR($D137&lt;&gt;"Serviço",AND(AUTOEVENTO="Manual",$M137=$A$15)),0,
         IF(OFFSET(CRONOPLE!$F$15,$M137-$A$15,BN$13)=0,10^12,OFFSET(CRONOPLE!$F$15,$M137-$A$15,BN$13)))</f>
        <v>1000000000000</v>
      </c>
      <c r="BO137" s="171">
        <f ca="1">IF(OR($D137&lt;&gt;"Serviço",AND(AUTOEVENTO="Manual",$M137=$A$15)),0,
         IF(OFFSET(CRONOPLE!$F$15,$M137-$A$15,BO$13)=0,10^12,OFFSET(CRONOPLE!$F$15,$M137-$A$15,BO$13)))</f>
        <v>1000000000000</v>
      </c>
      <c r="BP137" s="171">
        <f ca="1">IF(OR($D137&lt;&gt;"Serviço",AND(AUTOEVENTO="Manual",$M137=$A$15)),0,
         IF(OFFSET(CRONOPLE!$F$15,$M137-$A$15,BP$13)=0,10^12,OFFSET(CRONOPLE!$F$15,$M137-$A$15,BP$13)))</f>
        <v>1000000000000</v>
      </c>
      <c r="BQ137" s="171">
        <f ca="1">IF(OR($D137&lt;&gt;"Serviço",AND(AUTOEVENTO="Manual",$M137=$A$15)),0,
         IF(OFFSET(CRONOPLE!$F$15,$M137-$A$15,BQ$13)=0,10^12,OFFSET(CRONOPLE!$F$15,$M137-$A$15,BQ$13)))</f>
        <v>1000000000000</v>
      </c>
      <c r="BR137" s="171">
        <f ca="1">IF(OR($D137&lt;&gt;"Serviço",AND(AUTOEVENTO="Manual",$M137=$A$15)),0,
         IF(OFFSET(CRONOPLE!$F$15,$M137-$A$15,BR$13)=0,10^12,OFFSET(CRONOPLE!$F$15,$M137-$A$15,BR$13)))</f>
        <v>1000000000000</v>
      </c>
      <c r="BS137" s="171">
        <f ca="1">IF(OR($D137&lt;&gt;"Serviço",AND(AUTOEVENTO="Manual",$M137=$A$15)),0,
         IF(OFFSET(CRONOPLE!$F$15,$M137-$A$15,BS$13)=0,10^12,OFFSET(CRONOPLE!$F$15,$M137-$A$15,BS$13)))</f>
        <v>1000000000000</v>
      </c>
      <c r="BT137" s="171">
        <f ca="1">IF(OR($D137&lt;&gt;"Serviço",AND(AUTOEVENTO="Manual",$M137=$A$15)),0,
         IF(OFFSET(CRONOPLE!$F$15,$M137-$A$15,BT$13)=0,10^12,OFFSET(CRONOPLE!$F$15,$M137-$A$15,BT$13)))</f>
        <v>1000000000000</v>
      </c>
      <c r="BV137" s="172">
        <f ca="1">IF(OR($D137&lt;&gt;"Serviço",AND(AUTOEVENTO="Manual",$M137=$A$15),$M137&gt;(ROW(PLE.lastrow)-ROW(PLE.firstrow))),0,
           IF(OFFSET(PLE!$G$15,$M137-$A$15,BV$13)="",10^12,OFFSET(PLE!$G$15,$M137-$A$15,BV$13)))</f>
        <v>1000000000000</v>
      </c>
      <c r="BW137" s="172">
        <f ca="1">IF(OR($D137&lt;&gt;"Serviço",AND(AUTOEVENTO="Manual",$M137=$A$15),$M137&gt;(ROW(PLE.lastrow)-ROW(PLE.firstrow))),0,
           IF(OFFSET(PLE!$G$15,$M137-$A$15,BW$13)="",10^12,OFFSET(PLE!$G$15,$M137-$A$15,BW$13)))</f>
        <v>1000000000000</v>
      </c>
      <c r="BX137" s="172">
        <f ca="1">IF(OR($D137&lt;&gt;"Serviço",AND(AUTOEVENTO="Manual",$M137=$A$15),$M137&gt;(ROW(PLE.lastrow)-ROW(PLE.firstrow))),0,
           IF(OFFSET(PLE!$G$15,$M137-$A$15,BX$13)="",10^12,OFFSET(PLE!$G$15,$M137-$A$15,BX$13)))</f>
        <v>1000000000000</v>
      </c>
      <c r="BY137" s="172">
        <f ca="1">IF(OR($D137&lt;&gt;"Serviço",AND(AUTOEVENTO="Manual",$M137=$A$15),$M137&gt;(ROW(PLE.lastrow)-ROW(PLE.firstrow))),0,
           IF(OFFSET(PLE!$G$15,$M137-$A$15,BY$13)="",10^12,OFFSET(PLE!$G$15,$M137-$A$15,BY$13)))</f>
        <v>1000000000000</v>
      </c>
      <c r="BZ137" s="172">
        <f ca="1">IF(OR($D137&lt;&gt;"Serviço",AND(AUTOEVENTO="Manual",$M137=$A$15),$M137&gt;(ROW(PLE.lastrow)-ROW(PLE.firstrow))),0,
           IF(OFFSET(PLE!$G$15,$M137-$A$15,BZ$13)="",10^12,OFFSET(PLE!$G$15,$M137-$A$15,BZ$13)))</f>
        <v>1000000000000</v>
      </c>
      <c r="CA137" s="172">
        <f ca="1">IF(OR($D137&lt;&gt;"Serviço",AND(AUTOEVENTO="Manual",$M137=$A$15),$M137&gt;(ROW(PLE.lastrow)-ROW(PLE.firstrow))),0,
           IF(OFFSET(PLE!$G$15,$M137-$A$15,CA$13)="",10^12,OFFSET(PLE!$G$15,$M137-$A$15,CA$13)))</f>
        <v>1000000000000</v>
      </c>
      <c r="CB137" s="172">
        <f ca="1">IF(OR($D137&lt;&gt;"Serviço",AND(AUTOEVENTO="Manual",$M137=$A$15),$M137&gt;(ROW(PLE.lastrow)-ROW(PLE.firstrow))),0,
           IF(OFFSET(PLE!$G$15,$M137-$A$15,CB$13)="",10^12,OFFSET(PLE!$G$15,$M137-$A$15,CB$13)))</f>
        <v>1000000000000</v>
      </c>
      <c r="CC137" s="172">
        <f ca="1">IF(OR($D137&lt;&gt;"Serviço",AND(AUTOEVENTO="Manual",$M137=$A$15),$M137&gt;(ROW(PLE.lastrow)-ROW(PLE.firstrow))),0,
           IF(OFFSET(PLE!$G$15,$M137-$A$15,CC$13)="",10^12,OFFSET(PLE!$G$15,$M137-$A$15,CC$13)))</f>
        <v>1000000000000</v>
      </c>
      <c r="CD137" s="172">
        <f ca="1">IF(OR($D137&lt;&gt;"Serviço",AND(AUTOEVENTO="Manual",$M137=$A$15),$M137&gt;(ROW(PLE.lastrow)-ROW(PLE.firstrow))),0,
           IF(OFFSET(PLE!$G$15,$M137-$A$15,CD$13)="",10^12,OFFSET(PLE!$G$15,$M137-$A$15,CD$13)))</f>
        <v>1000000000000</v>
      </c>
      <c r="CE137" s="172">
        <f ca="1">IF(OR($D137&lt;&gt;"Serviço",AND(AUTOEVENTO="Manual",$M137=$A$15),$M137&gt;(ROW(PLE.lastrow)-ROW(PLE.firstrow))),0,
           IF(OFFSET(PLE!$G$15,$M137-$A$15,CE$13)="",10^12,OFFSET(PLE!$G$15,$M137-$A$15,CE$13)))</f>
        <v>1000000000000</v>
      </c>
      <c r="CF137" s="172">
        <f ca="1">IF(OR($D137&lt;&gt;"Serviço",AND(AUTOEVENTO="Manual",$M137=$A$15),$M137&gt;(ROW(PLE.lastrow)-ROW(PLE.firstrow))),0,
           IF(OFFSET(PLE!$G$15,$M137-$A$15,CF$13)="",10^12,OFFSET(PLE!$G$15,$M137-$A$15,CF$13)))</f>
        <v>1000000000000</v>
      </c>
      <c r="CG137" s="172">
        <f ca="1">IF(OR($D137&lt;&gt;"Serviço",AND(AUTOEVENTO="Manual",$M137=$A$15),$M137&gt;(ROW(PLE.lastrow)-ROW(PLE.firstrow))),0,
           IF(OFFSET(PLE!$G$15,$M137-$A$15,CG$13)="",10^12,OFFSET(PLE!$G$15,$M137-$A$15,CG$13)))</f>
        <v>1000000000000</v>
      </c>
      <c r="CH137" s="172">
        <f ca="1">IF(OR($D137&lt;&gt;"Serviço",AND(AUTOEVENTO="Manual",$M137=$A$15),$M137&gt;(ROW(PLE.lastrow)-ROW(PLE.firstrow))),0,
           IF(OFFSET(PLE!$G$15,$M137-$A$15,CH$13)="",10^12,OFFSET(PLE!$G$15,$M137-$A$15,CH$13)))</f>
        <v>1000000000000</v>
      </c>
      <c r="CI137" s="172">
        <f ca="1">IF(OR($D137&lt;&gt;"Serviço",AND(AUTOEVENTO="Manual",$M137=$A$15),$M137&gt;(ROW(PLE.lastrow)-ROW(PLE.firstrow))),0,
           IF(OFFSET(PLE!$G$15,$M137-$A$15,CI$13)="",10^12,OFFSET(PLE!$G$15,$M137-$A$15,CI$13)))</f>
        <v>1000000000000</v>
      </c>
      <c r="CJ137" s="172">
        <f ca="1">IF(OR($D137&lt;&gt;"Serviço",AND(AUTOEVENTO="Manual",$M137=$A$15),$M137&gt;(ROW(PLE.lastrow)-ROW(PLE.firstrow))),0,
           IF(OFFSET(PLE!$G$15,$M137-$A$15,CJ$13)="",10^12,OFFSET(PLE!$G$15,$M137-$A$15,CJ$13)))</f>
        <v>1000000000000</v>
      </c>
      <c r="CK137" s="172">
        <f ca="1">IF(OR($D137&lt;&gt;"Serviço",AND(AUTOEVENTO="Manual",$M137=$A$15),$M137&gt;(ROW(PLE.lastrow)-ROW(PLE.firstrow))),0,
           IF(OFFSET(PLE!$G$15,$M137-$A$15,CK$13)="",10^12,OFFSET(PLE!$G$15,$M137-$A$15,CK$13)))</f>
        <v>1000000000000</v>
      </c>
      <c r="CL137" s="172">
        <f ca="1">IF(OR($D137&lt;&gt;"Serviço",AND(AUTOEVENTO="Manual",$M137=$A$15),$M137&gt;(ROW(PLE.lastrow)-ROW(PLE.firstrow))),0,
           IF(OFFSET(PLE!$G$15,$M137-$A$15,CL$13)="",10^12,OFFSET(PLE!$G$15,$M137-$A$15,CL$13)))</f>
        <v>1000000000000</v>
      </c>
      <c r="CM137" s="172">
        <f ca="1">IF(OR($D137&lt;&gt;"Serviço",AND(AUTOEVENTO="Manual",$M137=$A$15),$M137&gt;(ROW(PLE.lastrow)-ROW(PLE.firstrow))),0,
           IF(OFFSET(PLE!$G$15,$M137-$A$15,CM$13)="",10^12,OFFSET(PLE!$G$15,$M137-$A$15,CM$13)))</f>
        <v>1000000000000</v>
      </c>
    </row>
    <row r="138" spans="1:91" ht="26.4" x14ac:dyDescent="0.25">
      <c r="A138" s="7" t="str">
        <f t="shared" ca="1" si="11"/>
        <v>119</v>
      </c>
      <c r="B138" s="7" t="str">
        <f ca="1">OFFSET(ORÇAMENTO!C$15,ROW(B138)-ROW(B$15),0)</f>
        <v>S</v>
      </c>
      <c r="C138" s="7" t="str">
        <f ca="1">OFFSET(ORÇAMENTO!L$15,ROW(C138)-ROW(C$15),0)</f>
        <v>F</v>
      </c>
      <c r="D138" s="116" t="str">
        <f ca="1">OFFSET(ORÇAMENTO!N$15,ROW(D138)-ROW(D$15),0)</f>
        <v>Serviço</v>
      </c>
      <c r="E138" s="117" t="str">
        <f ca="1">OFFSET(ORÇAMENTO!O$15,ROW(E138)-ROW(E$15),0)</f>
        <v>4.1.4.</v>
      </c>
      <c r="F138" s="163" t="str">
        <f ca="1">OFFSET(ORÇAMENTO!R$15,ROW(F138)-ROW(F$15),0)</f>
        <v>Boca de lobo combinada - chapéu e grelha simples - BLC 01 - areia e brita comerciais</v>
      </c>
      <c r="G138" s="164" t="str">
        <f ca="1">IF($D138&lt;&gt;"Serviço","",OFFSET(ORÇAMENTO!S$15,ROW(G138)-ROW(G$15),0))</f>
        <v>un</v>
      </c>
      <c r="H138" s="122" cm="1">
        <f t="array" aca="1" ref="H138" ca="1">IF($D138&lt;&gt;"Serviço",0,IF(ACOMPANHAMENTO="BM",ROUND(OFFSET(ORÇAMENTO!AJ$15,ROW(H138)-ROW(H$15),0),15-13*ORÇAMENTO!$AF$7),SUMPRODUCT(($Q$1:$AI$1=1)*ROUND($Q138:$AI138,15-13*ORÇAMENTO!$AF$7))))</f>
        <v>1</v>
      </c>
      <c r="I138" s="468"/>
      <c r="J138" s="651" t="e" cm="1">
        <f t="array" aca="1" ref="J138" ca="1">IF(OR(B138&lt;&gt;"S",CÁLCULO.FrentesPreenchidas=0),"",IF(AND(ACOMPANHAMENTO="PLE",AUTOEVENTO="Manual",OR(H138&gt;0,ORÇAMENTO!AC138="QUANT."),OR(K138="",M138=0,N138="")),"►E",IF(AND(ACOMPANHAMENTO="PLE",ORÇAMENTO!AC138="QUANT."),"►Q",IF(AND(ACOMPANHAMENTO="PLE",H138&lt;&gt;SUMPRODUCT(($Q$1:$AI$1=1)*ROUND(Q138:AI138,15))),"►S",IF(AND(COUNTIF($P$11:$AI$11,"▼")=0,H138&gt;0,I138=""),"◄M","")))))</f>
        <v>#NAME?</v>
      </c>
      <c r="K138" s="652"/>
      <c r="L138" s="165" t="s">
        <v>764</v>
      </c>
      <c r="M138" s="166">
        <f ca="1">IF($D138&lt;&gt;"Serviço","",
          IF(AUTOEVENTO="manual",$A138,
                IF(ISERROR(MATCH($A138,$A$15:OFFSET($A138,-1,0),0)),MAX($M$15:OFFSET(M138,-1,0))+1,
                      INDEX($M$15:OFFSET(M138,-1,0),MATCH($A138,$A$15:OFFSET($A138,-1,0),0)))))</f>
        <v>19</v>
      </c>
      <c r="N138" s="167" t="str">
        <f ca="1">IF($D138&lt;&gt;"Serviço","",
         IF(AUTOEVENTO="Manual",
                IF($A138=0,"&lt;-- defina o número do agrupador",
                       OFFSET(EVENTOS!$D$15,$A138-$A$15,0)),
                OFFSET($F$15,$A138,0)))</f>
        <v>DRENAGEM</v>
      </c>
      <c r="O138" s="168"/>
      <c r="Q138" s="168"/>
      <c r="R138" s="169"/>
      <c r="S138" s="169"/>
      <c r="T138" s="169"/>
      <c r="U138" s="169"/>
      <c r="V138" s="169">
        <v>1</v>
      </c>
      <c r="W138" s="169"/>
      <c r="X138" s="169"/>
      <c r="Y138" s="169"/>
      <c r="Z138" s="170"/>
      <c r="AA138" s="169"/>
      <c r="AB138" s="169"/>
      <c r="AC138" s="169"/>
      <c r="AD138" s="169"/>
      <c r="AE138" s="169"/>
      <c r="AF138" s="169"/>
      <c r="AG138" s="169"/>
      <c r="AH138" s="170"/>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L138" s="453">
        <f ca="1">IF(AND($D138="Serviço",AL$12&lt;&gt;0,$H138&gt;0,OR(AUTOEVENTO&lt;&gt;"manual",$M138&lt;&gt;$A$15)),
        IF(Import.TipoArredondamento&lt;&gt;"TransfereGOV",
              ROUND(OFFSET($P138,0,AL$13),15-13*ORÇAMENTO!$AF$7)/$H138*OFFSET(ORÇAMENTO!$X$15,ROW(AL138)-ROW(AL$15),0),
              ROUND(ROUND(OFFSET($P138,0,AL$13),15-13*ORÇAMENTO!$AF$7)*OFFSET(ORÇAMENTO!$W$15,ROW(AL138)-ROW(AL$15),0),15-13*ORÇAMENTO!$AF$11)),
         0)</f>
        <v>0</v>
      </c>
      <c r="AM138" s="453">
        <f ca="1">IF(AND($D138="Serviço",AM$12&lt;&gt;0,$H138&gt;0,OR(AUTOEVENTO&lt;&gt;"manual",$M138&lt;&gt;$A$15)),
        IF(Import.TipoArredondamento&lt;&gt;"TransfereGOV",
              ROUND(OFFSET($P138,0,AM$13),15-13*ORÇAMENTO!$AF$7)/$H138*OFFSET(ORÇAMENTO!$X$15,ROW(AM138)-ROW(AM$15),0),
              ROUND(ROUND(OFFSET($P138,0,AM$13),15-13*ORÇAMENTO!$AF$7)*OFFSET(ORÇAMENTO!$W$15,ROW(AM138)-ROW(AM$15),0),15-13*ORÇAMENTO!$AF$11)),
         0)</f>
        <v>0</v>
      </c>
      <c r="AN138" s="453">
        <f ca="1">IF(AND($D138="Serviço",AN$12&lt;&gt;0,$H138&gt;0,OR(AUTOEVENTO&lt;&gt;"manual",$M138&lt;&gt;$A$15)),
        IF(Import.TipoArredondamento&lt;&gt;"TransfereGOV",
              ROUND(OFFSET($P138,0,AN$13),15-13*ORÇAMENTO!$AF$7)/$H138*OFFSET(ORÇAMENTO!$X$15,ROW(AN138)-ROW(AN$15),0),
              ROUND(ROUND(OFFSET($P138,0,AN$13),15-13*ORÇAMENTO!$AF$7)*OFFSET(ORÇAMENTO!$W$15,ROW(AN138)-ROW(AN$15),0),15-13*ORÇAMENTO!$AF$11)),
         0)</f>
        <v>0</v>
      </c>
      <c r="AO138" s="453">
        <f ca="1">IF(AND($D138="Serviço",AO$12&lt;&gt;0,$H138&gt;0,OR(AUTOEVENTO&lt;&gt;"manual",$M138&lt;&gt;$A$15)),
        IF(Import.TipoArredondamento&lt;&gt;"TransfereGOV",
              ROUND(OFFSET($P138,0,AO$13),15-13*ORÇAMENTO!$AF$7)/$H138*OFFSET(ORÇAMENTO!$X$15,ROW(AO138)-ROW(AO$15),0),
              ROUND(ROUND(OFFSET($P138,0,AO$13),15-13*ORÇAMENTO!$AF$7)*OFFSET(ORÇAMENTO!$W$15,ROW(AO138)-ROW(AO$15),0),15-13*ORÇAMENTO!$AF$11)),
         0)</f>
        <v>2982.3</v>
      </c>
      <c r="AP138" s="453">
        <f ca="1">IF(AND($D138="Serviço",AP$12&lt;&gt;0,$H138&gt;0,OR(AUTOEVENTO&lt;&gt;"manual",$M138&lt;&gt;$A$15)),
        IF(Import.TipoArredondamento&lt;&gt;"TransfereGOV",
              ROUND(OFFSET($P138,0,AP$13),15-13*ORÇAMENTO!$AF$7)/$H138*OFFSET(ORÇAMENTO!$X$15,ROW(AP138)-ROW(AP$15),0),
              ROUND(ROUND(OFFSET($P138,0,AP$13),15-13*ORÇAMENTO!$AF$7)*OFFSET(ORÇAMENTO!$W$15,ROW(AP138)-ROW(AP$15),0),15-13*ORÇAMENTO!$AF$11)),
         0)</f>
        <v>0</v>
      </c>
      <c r="AQ138" s="453">
        <f ca="1">IF(AND($D138="Serviço",AQ$12&lt;&gt;0,$H138&gt;0,OR(AUTOEVENTO&lt;&gt;"manual",$M138&lt;&gt;$A$15)),
        IF(Import.TipoArredondamento&lt;&gt;"TransfereGOV",
              ROUND(OFFSET($P138,0,AQ$13),15-13*ORÇAMENTO!$AF$7)/$H138*OFFSET(ORÇAMENTO!$X$15,ROW(AQ138)-ROW(AQ$15),0),
              ROUND(ROUND(OFFSET($P138,0,AQ$13),15-13*ORÇAMENTO!$AF$7)*OFFSET(ORÇAMENTO!$W$15,ROW(AQ138)-ROW(AQ$15),0),15-13*ORÇAMENTO!$AF$11)),
         0)</f>
        <v>0</v>
      </c>
      <c r="AR138" s="453">
        <f ca="1">IF(AND($D138="Serviço",AR$12&lt;&gt;0,$H138&gt;0,OR(AUTOEVENTO&lt;&gt;"manual",$M138&lt;&gt;$A$15)),
        IF(Import.TipoArredondamento&lt;&gt;"TransfereGOV",
              ROUND(OFFSET($P138,0,AR$13),15-13*ORÇAMENTO!$AF$7)/$H138*OFFSET(ORÇAMENTO!$X$15,ROW(AR138)-ROW(AR$15),0),
              ROUND(ROUND(OFFSET($P138,0,AR$13),15-13*ORÇAMENTO!$AF$7)*OFFSET(ORÇAMENTO!$W$15,ROW(AR138)-ROW(AR$15),0),15-13*ORÇAMENTO!$AF$11)),
         0)</f>
        <v>0</v>
      </c>
      <c r="AS138" s="453">
        <f ca="1">IF(AND($D138="Serviço",AS$12&lt;&gt;0,$H138&gt;0,OR(AUTOEVENTO&lt;&gt;"manual",$M138&lt;&gt;$A$15)),
        IF(Import.TipoArredondamento&lt;&gt;"TransfereGOV",
              ROUND(OFFSET($P138,0,AS$13),15-13*ORÇAMENTO!$AF$7)/$H138*OFFSET(ORÇAMENTO!$X$15,ROW(AS138)-ROW(AS$15),0),
              ROUND(ROUND(OFFSET($P138,0,AS$13),15-13*ORÇAMENTO!$AF$7)*OFFSET(ORÇAMENTO!$W$15,ROW(AS138)-ROW(AS$15),0),15-13*ORÇAMENTO!$AF$11)),
         0)</f>
        <v>0</v>
      </c>
      <c r="AT138" s="453">
        <f ca="1">IF(AND($D138="Serviço",AT$12&lt;&gt;0,$H138&gt;0,OR(AUTOEVENTO&lt;&gt;"manual",$M138&lt;&gt;$A$15)),
        IF(Import.TipoArredondamento&lt;&gt;"TransfereGOV",
              ROUND(OFFSET($P138,0,AT$13),15-13*ORÇAMENTO!$AF$7)/$H138*OFFSET(ORÇAMENTO!$X$15,ROW(AT138)-ROW(AT$15),0),
              ROUND(ROUND(OFFSET($P138,0,AT$13),15-13*ORÇAMENTO!$AF$7)*OFFSET(ORÇAMENTO!$W$15,ROW(AT138)-ROW(AT$15),0),15-13*ORÇAMENTO!$AF$11)),
         0)</f>
        <v>0</v>
      </c>
      <c r="AU138" s="453">
        <f ca="1">IF(AND($D138="Serviço",AU$12&lt;&gt;0,$H138&gt;0,OR(AUTOEVENTO&lt;&gt;"manual",$M138&lt;&gt;$A$15)),
        IF(Import.TipoArredondamento&lt;&gt;"TransfereGOV",
              ROUND(OFFSET($P138,0,AU$13),15-13*ORÇAMENTO!$AF$7)/$H138*OFFSET(ORÇAMENTO!$X$15,ROW(AU138)-ROW(AU$15),0),
              ROUND(ROUND(OFFSET($P138,0,AU$13),15-13*ORÇAMENTO!$AF$7)*OFFSET(ORÇAMENTO!$W$15,ROW(AU138)-ROW(AU$15),0),15-13*ORÇAMENTO!$AF$11)),
         0)</f>
        <v>0</v>
      </c>
      <c r="AV138" s="453">
        <f ca="1">IF(AND($D138="Serviço",AV$12&lt;&gt;0,$H138&gt;0,OR(AUTOEVENTO&lt;&gt;"manual",$M138&lt;&gt;$A$15)),
        IF(Import.TipoArredondamento&lt;&gt;"TransfereGOV",
              ROUND(OFFSET($P138,0,AV$13),15-13*ORÇAMENTO!$AF$7)/$H138*OFFSET(ORÇAMENTO!$X$15,ROW(AV138)-ROW(AV$15),0),
              ROUND(ROUND(OFFSET($P138,0,AV$13),15-13*ORÇAMENTO!$AF$7)*OFFSET(ORÇAMENTO!$W$15,ROW(AV138)-ROW(AV$15),0),15-13*ORÇAMENTO!$AF$11)),
         0)</f>
        <v>0</v>
      </c>
      <c r="AW138" s="453">
        <f ca="1">IF(AND($D138="Serviço",AW$12&lt;&gt;0,$H138&gt;0,OR(AUTOEVENTO&lt;&gt;"manual",$M138&lt;&gt;$A$15)),
        IF(Import.TipoArredondamento&lt;&gt;"TransfereGOV",
              ROUND(OFFSET($P138,0,AW$13),15-13*ORÇAMENTO!$AF$7)/$H138*OFFSET(ORÇAMENTO!$X$15,ROW(AW138)-ROW(AW$15),0),
              ROUND(ROUND(OFFSET($P138,0,AW$13),15-13*ORÇAMENTO!$AF$7)*OFFSET(ORÇAMENTO!$W$15,ROW(AW138)-ROW(AW$15),0),15-13*ORÇAMENTO!$AF$11)),
         0)</f>
        <v>0</v>
      </c>
      <c r="AX138" s="453">
        <f ca="1">IF(AND($D138="Serviço",AX$12&lt;&gt;0,$H138&gt;0,OR(AUTOEVENTO&lt;&gt;"manual",$M138&lt;&gt;$A$15)),
        IF(Import.TipoArredondamento&lt;&gt;"TransfereGOV",
              ROUND(OFFSET($P138,0,AX$13),15-13*ORÇAMENTO!$AF$7)/$H138*OFFSET(ORÇAMENTO!$X$15,ROW(AX138)-ROW(AX$15),0),
              ROUND(ROUND(OFFSET($P138,0,AX$13),15-13*ORÇAMENTO!$AF$7)*OFFSET(ORÇAMENTO!$W$15,ROW(AX138)-ROW(AX$15),0),15-13*ORÇAMENTO!$AF$11)),
         0)</f>
        <v>0</v>
      </c>
      <c r="AY138" s="453">
        <f ca="1">IF(AND($D138="Serviço",AY$12&lt;&gt;0,$H138&gt;0,OR(AUTOEVENTO&lt;&gt;"manual",$M138&lt;&gt;$A$15)),
        IF(Import.TipoArredondamento&lt;&gt;"TransfereGOV",
              ROUND(OFFSET($P138,0,AY$13),15-13*ORÇAMENTO!$AF$7)/$H138*OFFSET(ORÇAMENTO!$X$15,ROW(AY138)-ROW(AY$15),0),
              ROUND(ROUND(OFFSET($P138,0,AY$13),15-13*ORÇAMENTO!$AF$7)*OFFSET(ORÇAMENTO!$W$15,ROW(AY138)-ROW(AY$15),0),15-13*ORÇAMENTO!$AF$11)),
         0)</f>
        <v>0</v>
      </c>
      <c r="AZ138" s="453">
        <f ca="1">IF(AND($D138="Serviço",AZ$12&lt;&gt;0,$H138&gt;0,OR(AUTOEVENTO&lt;&gt;"manual",$M138&lt;&gt;$A$15)),
        IF(Import.TipoArredondamento&lt;&gt;"TransfereGOV",
              ROUND(OFFSET($P138,0,AZ$13),15-13*ORÇAMENTO!$AF$7)/$H138*OFFSET(ORÇAMENTO!$X$15,ROW(AZ138)-ROW(AZ$15),0),
              ROUND(ROUND(OFFSET($P138,0,AZ$13),15-13*ORÇAMENTO!$AF$7)*OFFSET(ORÇAMENTO!$W$15,ROW(AZ138)-ROW(AZ$15),0),15-13*ORÇAMENTO!$AF$11)),
         0)</f>
        <v>0</v>
      </c>
      <c r="BA138" s="453">
        <f ca="1">IF(AND($D138="Serviço",BA$12&lt;&gt;0,$H138&gt;0,OR(AUTOEVENTO&lt;&gt;"manual",$M138&lt;&gt;$A$15)),
        IF(Import.TipoArredondamento&lt;&gt;"TransfereGOV",
              ROUND(OFFSET($P138,0,BA$13),15-13*ORÇAMENTO!$AF$7)/$H138*OFFSET(ORÇAMENTO!$X$15,ROW(BA138)-ROW(BA$15),0),
              ROUND(ROUND(OFFSET($P138,0,BA$13),15-13*ORÇAMENTO!$AF$7)*OFFSET(ORÇAMENTO!$W$15,ROW(BA138)-ROW(BA$15),0),15-13*ORÇAMENTO!$AF$11)),
         0)</f>
        <v>0</v>
      </c>
      <c r="BC138" s="171">
        <f ca="1">IF(OR($D138&lt;&gt;"Serviço",AND(AUTOEVENTO="Manual",$M138=$A$15)),0,
         IF(OFFSET(CRONOPLE!$F$15,$M138-$A$15,BC$13)=0,10^12,OFFSET(CRONOPLE!$F$15,$M138-$A$15,BC$13)))</f>
        <v>1000000000000</v>
      </c>
      <c r="BD138" s="171">
        <f ca="1">IF(OR($D138&lt;&gt;"Serviço",AND(AUTOEVENTO="Manual",$M138=$A$15)),0,
         IF(OFFSET(CRONOPLE!$F$15,$M138-$A$15,BD$13)=0,10^12,OFFSET(CRONOPLE!$F$15,$M138-$A$15,BD$13)))</f>
        <v>1000000000000</v>
      </c>
      <c r="BE138" s="171">
        <f ca="1">IF(OR($D138&lt;&gt;"Serviço",AND(AUTOEVENTO="Manual",$M138=$A$15)),0,
         IF(OFFSET(CRONOPLE!$F$15,$M138-$A$15,BE$13)=0,10^12,OFFSET(CRONOPLE!$F$15,$M138-$A$15,BE$13)))</f>
        <v>1000000000000</v>
      </c>
      <c r="BF138" s="171">
        <f ca="1">IF(OR($D138&lt;&gt;"Serviço",AND(AUTOEVENTO="Manual",$M138=$A$15)),0,
         IF(OFFSET(CRONOPLE!$F$15,$M138-$A$15,BF$13)=0,10^12,OFFSET(CRONOPLE!$F$15,$M138-$A$15,BF$13)))</f>
        <v>1000000000000</v>
      </c>
      <c r="BG138" s="171">
        <f ca="1">IF(OR($D138&lt;&gt;"Serviço",AND(AUTOEVENTO="Manual",$M138=$A$15)),0,
         IF(OFFSET(CRONOPLE!$F$15,$M138-$A$15,BG$13)=0,10^12,OFFSET(CRONOPLE!$F$15,$M138-$A$15,BG$13)))</f>
        <v>1000000000000</v>
      </c>
      <c r="BH138" s="171">
        <f ca="1">IF(OR($D138&lt;&gt;"Serviço",AND(AUTOEVENTO="Manual",$M138=$A$15)),0,
         IF(OFFSET(CRONOPLE!$F$15,$M138-$A$15,BH$13)=0,10^12,OFFSET(CRONOPLE!$F$15,$M138-$A$15,BH$13)))</f>
        <v>5</v>
      </c>
      <c r="BI138" s="171">
        <f ca="1">IF(OR($D138&lt;&gt;"Serviço",AND(AUTOEVENTO="Manual",$M138=$A$15)),0,
         IF(OFFSET(CRONOPLE!$F$15,$M138-$A$15,BI$13)=0,10^12,OFFSET(CRONOPLE!$F$15,$M138-$A$15,BI$13)))</f>
        <v>1000000000000</v>
      </c>
      <c r="BJ138" s="171">
        <f ca="1">IF(OR($D138&lt;&gt;"Serviço",AND(AUTOEVENTO="Manual",$M138=$A$15)),0,
         IF(OFFSET(CRONOPLE!$F$15,$M138-$A$15,BJ$13)=0,10^12,OFFSET(CRONOPLE!$F$15,$M138-$A$15,BJ$13)))</f>
        <v>1000000000000</v>
      </c>
      <c r="BK138" s="171">
        <f ca="1">IF(OR($D138&lt;&gt;"Serviço",AND(AUTOEVENTO="Manual",$M138=$A$15)),0,
         IF(OFFSET(CRONOPLE!$F$15,$M138-$A$15,BK$13)=0,10^12,OFFSET(CRONOPLE!$F$15,$M138-$A$15,BK$13)))</f>
        <v>1000000000000</v>
      </c>
      <c r="BL138" s="171">
        <f ca="1">IF(OR($D138&lt;&gt;"Serviço",AND(AUTOEVENTO="Manual",$M138=$A$15)),0,
         IF(OFFSET(CRONOPLE!$F$15,$M138-$A$15,BL$13)=0,10^12,OFFSET(CRONOPLE!$F$15,$M138-$A$15,BL$13)))</f>
        <v>1000000000000</v>
      </c>
      <c r="BM138" s="171">
        <f ca="1">IF(OR($D138&lt;&gt;"Serviço",AND(AUTOEVENTO="Manual",$M138=$A$15)),0,
         IF(OFFSET(CRONOPLE!$F$15,$M138-$A$15,BM$13)=0,10^12,OFFSET(CRONOPLE!$F$15,$M138-$A$15,BM$13)))</f>
        <v>1000000000000</v>
      </c>
      <c r="BN138" s="171">
        <f ca="1">IF(OR($D138&lt;&gt;"Serviço",AND(AUTOEVENTO="Manual",$M138=$A$15)),0,
         IF(OFFSET(CRONOPLE!$F$15,$M138-$A$15,BN$13)=0,10^12,OFFSET(CRONOPLE!$F$15,$M138-$A$15,BN$13)))</f>
        <v>1000000000000</v>
      </c>
      <c r="BO138" s="171">
        <f ca="1">IF(OR($D138&lt;&gt;"Serviço",AND(AUTOEVENTO="Manual",$M138=$A$15)),0,
         IF(OFFSET(CRONOPLE!$F$15,$M138-$A$15,BO$13)=0,10^12,OFFSET(CRONOPLE!$F$15,$M138-$A$15,BO$13)))</f>
        <v>1000000000000</v>
      </c>
      <c r="BP138" s="171">
        <f ca="1">IF(OR($D138&lt;&gt;"Serviço",AND(AUTOEVENTO="Manual",$M138=$A$15)),0,
         IF(OFFSET(CRONOPLE!$F$15,$M138-$A$15,BP$13)=0,10^12,OFFSET(CRONOPLE!$F$15,$M138-$A$15,BP$13)))</f>
        <v>1000000000000</v>
      </c>
      <c r="BQ138" s="171">
        <f ca="1">IF(OR($D138&lt;&gt;"Serviço",AND(AUTOEVENTO="Manual",$M138=$A$15)),0,
         IF(OFFSET(CRONOPLE!$F$15,$M138-$A$15,BQ$13)=0,10^12,OFFSET(CRONOPLE!$F$15,$M138-$A$15,BQ$13)))</f>
        <v>1000000000000</v>
      </c>
      <c r="BR138" s="171">
        <f ca="1">IF(OR($D138&lt;&gt;"Serviço",AND(AUTOEVENTO="Manual",$M138=$A$15)),0,
         IF(OFFSET(CRONOPLE!$F$15,$M138-$A$15,BR$13)=0,10^12,OFFSET(CRONOPLE!$F$15,$M138-$A$15,BR$13)))</f>
        <v>1000000000000</v>
      </c>
      <c r="BS138" s="171">
        <f ca="1">IF(OR($D138&lt;&gt;"Serviço",AND(AUTOEVENTO="Manual",$M138=$A$15)),0,
         IF(OFFSET(CRONOPLE!$F$15,$M138-$A$15,BS$13)=0,10^12,OFFSET(CRONOPLE!$F$15,$M138-$A$15,BS$13)))</f>
        <v>1000000000000</v>
      </c>
      <c r="BT138" s="171">
        <f ca="1">IF(OR($D138&lt;&gt;"Serviço",AND(AUTOEVENTO="Manual",$M138=$A$15)),0,
         IF(OFFSET(CRONOPLE!$F$15,$M138-$A$15,BT$13)=0,10^12,OFFSET(CRONOPLE!$F$15,$M138-$A$15,BT$13)))</f>
        <v>1000000000000</v>
      </c>
      <c r="BV138" s="172">
        <f ca="1">IF(OR($D138&lt;&gt;"Serviço",AND(AUTOEVENTO="Manual",$M138=$A$15),$M138&gt;(ROW(PLE.lastrow)-ROW(PLE.firstrow))),0,
           IF(OFFSET(PLE!$G$15,$M138-$A$15,BV$13)="",10^12,OFFSET(PLE!$G$15,$M138-$A$15,BV$13)))</f>
        <v>1000000000000</v>
      </c>
      <c r="BW138" s="172">
        <f ca="1">IF(OR($D138&lt;&gt;"Serviço",AND(AUTOEVENTO="Manual",$M138=$A$15),$M138&gt;(ROW(PLE.lastrow)-ROW(PLE.firstrow))),0,
           IF(OFFSET(PLE!$G$15,$M138-$A$15,BW$13)="",10^12,OFFSET(PLE!$G$15,$M138-$A$15,BW$13)))</f>
        <v>1000000000000</v>
      </c>
      <c r="BX138" s="172">
        <f ca="1">IF(OR($D138&lt;&gt;"Serviço",AND(AUTOEVENTO="Manual",$M138=$A$15),$M138&gt;(ROW(PLE.lastrow)-ROW(PLE.firstrow))),0,
           IF(OFFSET(PLE!$G$15,$M138-$A$15,BX$13)="",10^12,OFFSET(PLE!$G$15,$M138-$A$15,BX$13)))</f>
        <v>1000000000000</v>
      </c>
      <c r="BY138" s="172">
        <f ca="1">IF(OR($D138&lt;&gt;"Serviço",AND(AUTOEVENTO="Manual",$M138=$A$15),$M138&gt;(ROW(PLE.lastrow)-ROW(PLE.firstrow))),0,
           IF(OFFSET(PLE!$G$15,$M138-$A$15,BY$13)="",10^12,OFFSET(PLE!$G$15,$M138-$A$15,BY$13)))</f>
        <v>1000000000000</v>
      </c>
      <c r="BZ138" s="172">
        <f ca="1">IF(OR($D138&lt;&gt;"Serviço",AND(AUTOEVENTO="Manual",$M138=$A$15),$M138&gt;(ROW(PLE.lastrow)-ROW(PLE.firstrow))),0,
           IF(OFFSET(PLE!$G$15,$M138-$A$15,BZ$13)="",10^12,OFFSET(PLE!$G$15,$M138-$A$15,BZ$13)))</f>
        <v>1000000000000</v>
      </c>
      <c r="CA138" s="172">
        <f ca="1">IF(OR($D138&lt;&gt;"Serviço",AND(AUTOEVENTO="Manual",$M138=$A$15),$M138&gt;(ROW(PLE.lastrow)-ROW(PLE.firstrow))),0,
           IF(OFFSET(PLE!$G$15,$M138-$A$15,CA$13)="",10^12,OFFSET(PLE!$G$15,$M138-$A$15,CA$13)))</f>
        <v>1000000000000</v>
      </c>
      <c r="CB138" s="172">
        <f ca="1">IF(OR($D138&lt;&gt;"Serviço",AND(AUTOEVENTO="Manual",$M138=$A$15),$M138&gt;(ROW(PLE.lastrow)-ROW(PLE.firstrow))),0,
           IF(OFFSET(PLE!$G$15,$M138-$A$15,CB$13)="",10^12,OFFSET(PLE!$G$15,$M138-$A$15,CB$13)))</f>
        <v>1000000000000</v>
      </c>
      <c r="CC138" s="172">
        <f ca="1">IF(OR($D138&lt;&gt;"Serviço",AND(AUTOEVENTO="Manual",$M138=$A$15),$M138&gt;(ROW(PLE.lastrow)-ROW(PLE.firstrow))),0,
           IF(OFFSET(PLE!$G$15,$M138-$A$15,CC$13)="",10^12,OFFSET(PLE!$G$15,$M138-$A$15,CC$13)))</f>
        <v>1000000000000</v>
      </c>
      <c r="CD138" s="172">
        <f ca="1">IF(OR($D138&lt;&gt;"Serviço",AND(AUTOEVENTO="Manual",$M138=$A$15),$M138&gt;(ROW(PLE.lastrow)-ROW(PLE.firstrow))),0,
           IF(OFFSET(PLE!$G$15,$M138-$A$15,CD$13)="",10^12,OFFSET(PLE!$G$15,$M138-$A$15,CD$13)))</f>
        <v>1000000000000</v>
      </c>
      <c r="CE138" s="172">
        <f ca="1">IF(OR($D138&lt;&gt;"Serviço",AND(AUTOEVENTO="Manual",$M138=$A$15),$M138&gt;(ROW(PLE.lastrow)-ROW(PLE.firstrow))),0,
           IF(OFFSET(PLE!$G$15,$M138-$A$15,CE$13)="",10^12,OFFSET(PLE!$G$15,$M138-$A$15,CE$13)))</f>
        <v>1000000000000</v>
      </c>
      <c r="CF138" s="172">
        <f ca="1">IF(OR($D138&lt;&gt;"Serviço",AND(AUTOEVENTO="Manual",$M138=$A$15),$M138&gt;(ROW(PLE.lastrow)-ROW(PLE.firstrow))),0,
           IF(OFFSET(PLE!$G$15,$M138-$A$15,CF$13)="",10^12,OFFSET(PLE!$G$15,$M138-$A$15,CF$13)))</f>
        <v>1000000000000</v>
      </c>
      <c r="CG138" s="172">
        <f ca="1">IF(OR($D138&lt;&gt;"Serviço",AND(AUTOEVENTO="Manual",$M138=$A$15),$M138&gt;(ROW(PLE.lastrow)-ROW(PLE.firstrow))),0,
           IF(OFFSET(PLE!$G$15,$M138-$A$15,CG$13)="",10^12,OFFSET(PLE!$G$15,$M138-$A$15,CG$13)))</f>
        <v>1000000000000</v>
      </c>
      <c r="CH138" s="172">
        <f ca="1">IF(OR($D138&lt;&gt;"Serviço",AND(AUTOEVENTO="Manual",$M138=$A$15),$M138&gt;(ROW(PLE.lastrow)-ROW(PLE.firstrow))),0,
           IF(OFFSET(PLE!$G$15,$M138-$A$15,CH$13)="",10^12,OFFSET(PLE!$G$15,$M138-$A$15,CH$13)))</f>
        <v>1000000000000</v>
      </c>
      <c r="CI138" s="172">
        <f ca="1">IF(OR($D138&lt;&gt;"Serviço",AND(AUTOEVENTO="Manual",$M138=$A$15),$M138&gt;(ROW(PLE.lastrow)-ROW(PLE.firstrow))),0,
           IF(OFFSET(PLE!$G$15,$M138-$A$15,CI$13)="",10^12,OFFSET(PLE!$G$15,$M138-$A$15,CI$13)))</f>
        <v>1000000000000</v>
      </c>
      <c r="CJ138" s="172">
        <f ca="1">IF(OR($D138&lt;&gt;"Serviço",AND(AUTOEVENTO="Manual",$M138=$A$15),$M138&gt;(ROW(PLE.lastrow)-ROW(PLE.firstrow))),0,
           IF(OFFSET(PLE!$G$15,$M138-$A$15,CJ$13)="",10^12,OFFSET(PLE!$G$15,$M138-$A$15,CJ$13)))</f>
        <v>1000000000000</v>
      </c>
      <c r="CK138" s="172">
        <f ca="1">IF(OR($D138&lt;&gt;"Serviço",AND(AUTOEVENTO="Manual",$M138=$A$15),$M138&gt;(ROW(PLE.lastrow)-ROW(PLE.firstrow))),0,
           IF(OFFSET(PLE!$G$15,$M138-$A$15,CK$13)="",10^12,OFFSET(PLE!$G$15,$M138-$A$15,CK$13)))</f>
        <v>1000000000000</v>
      </c>
      <c r="CL138" s="172">
        <f ca="1">IF(OR($D138&lt;&gt;"Serviço",AND(AUTOEVENTO="Manual",$M138=$A$15),$M138&gt;(ROW(PLE.lastrow)-ROW(PLE.firstrow))),0,
           IF(OFFSET(PLE!$G$15,$M138-$A$15,CL$13)="",10^12,OFFSET(PLE!$G$15,$M138-$A$15,CL$13)))</f>
        <v>1000000000000</v>
      </c>
      <c r="CM138" s="172">
        <f ca="1">IF(OR($D138&lt;&gt;"Serviço",AND(AUTOEVENTO="Manual",$M138=$A$15),$M138&gt;(ROW(PLE.lastrow)-ROW(PLE.firstrow))),0,
           IF(OFFSET(PLE!$G$15,$M138-$A$15,CM$13)="",10^12,OFFSET(PLE!$G$15,$M138-$A$15,CM$13)))</f>
        <v>1000000000000</v>
      </c>
    </row>
    <row r="139" spans="1:91" ht="26.4" x14ac:dyDescent="0.25">
      <c r="A139" s="7" t="str">
        <f t="shared" ca="1" si="11"/>
        <v>119</v>
      </c>
      <c r="B139" s="7" t="str">
        <f ca="1">OFFSET(ORÇAMENTO!C$15,ROW(B139)-ROW(B$15),0)</f>
        <v>S</v>
      </c>
      <c r="C139" s="7" t="str">
        <f ca="1">OFFSET(ORÇAMENTO!L$15,ROW(C139)-ROW(C$15),0)</f>
        <v>F</v>
      </c>
      <c r="D139" s="116" t="str">
        <f ca="1">OFFSET(ORÇAMENTO!N$15,ROW(D139)-ROW(D$15),0)</f>
        <v>Serviço</v>
      </c>
      <c r="E139" s="117" t="str">
        <f ca="1">OFFSET(ORÇAMENTO!O$15,ROW(E139)-ROW(E$15),0)</f>
        <v>4.1.5.</v>
      </c>
      <c r="F139" s="163" t="str">
        <f ca="1">OFFSET(ORÇAMENTO!R$15,ROW(F139)-ROW(F$15),0)</f>
        <v>Meio-fio de concreto - MFC 05 moldado no local com extrusora e concreto usinado - areia e brita comerciais</v>
      </c>
      <c r="G139" s="164" t="str">
        <f ca="1">IF($D139&lt;&gt;"Serviço","",OFFSET(ORÇAMENTO!S$15,ROW(G139)-ROW(G$15),0))</f>
        <v>m</v>
      </c>
      <c r="H139" s="122" cm="1">
        <f t="array" aca="1" ref="H139" ca="1">IF($D139&lt;&gt;"Serviço",0,IF(ACOMPANHAMENTO="BM",ROUND(OFFSET(ORÇAMENTO!AJ$15,ROW(H139)-ROW(H$15),0),15-13*ORÇAMENTO!$AF$7),SUMPRODUCT(($Q$1:$AI$1=1)*ROUND($Q139:$AI139,15-13*ORÇAMENTO!$AF$7))))</f>
        <v>390</v>
      </c>
      <c r="I139" s="468"/>
      <c r="J139" s="651" t="e" cm="1">
        <f t="array" aca="1" ref="J139" ca="1">IF(OR(B139&lt;&gt;"S",CÁLCULO.FrentesPreenchidas=0),"",IF(AND(ACOMPANHAMENTO="PLE",AUTOEVENTO="Manual",OR(H139&gt;0,ORÇAMENTO!AC139="QUANT."),OR(K139="",M139=0,N139="")),"►E",IF(AND(ACOMPANHAMENTO="PLE",ORÇAMENTO!AC139="QUANT."),"►Q",IF(AND(ACOMPANHAMENTO="PLE",H139&lt;&gt;SUMPRODUCT(($Q$1:$AI$1=1)*ROUND(Q139:AI139,15))),"►S",IF(AND(COUNTIF($P$11:$AI$11,"▼")=0,H139&gt;0,I139=""),"◄M","")))))</f>
        <v>#NAME?</v>
      </c>
      <c r="K139" s="652"/>
      <c r="L139" s="165" t="s">
        <v>764</v>
      </c>
      <c r="M139" s="166">
        <f ca="1">IF($D139&lt;&gt;"Serviço","",
          IF(AUTOEVENTO="manual",$A139,
                IF(ISERROR(MATCH($A139,$A$15:OFFSET($A139,-1,0),0)),MAX($M$15:OFFSET(M139,-1,0))+1,
                      INDEX($M$15:OFFSET(M139,-1,0),MATCH($A139,$A$15:OFFSET($A139,-1,0),0)))))</f>
        <v>19</v>
      </c>
      <c r="N139" s="167" t="str">
        <f ca="1">IF($D139&lt;&gt;"Serviço","",
         IF(AUTOEVENTO="Manual",
                IF($A139=0,"&lt;-- defina o número do agrupador",
                       OFFSET(EVENTOS!$D$15,$A139-$A$15,0)),
                OFFSET($F$15,$A139,0)))</f>
        <v>DRENAGEM</v>
      </c>
      <c r="O139" s="168"/>
      <c r="Q139" s="168"/>
      <c r="R139" s="169"/>
      <c r="S139" s="169"/>
      <c r="T139" s="169"/>
      <c r="U139" s="169"/>
      <c r="V139" s="169">
        <v>390</v>
      </c>
      <c r="W139" s="169"/>
      <c r="X139" s="169"/>
      <c r="Y139" s="169"/>
      <c r="Z139" s="170"/>
      <c r="AA139" s="169"/>
      <c r="AB139" s="169"/>
      <c r="AC139" s="169"/>
      <c r="AD139" s="169"/>
      <c r="AE139" s="169"/>
      <c r="AF139" s="169"/>
      <c r="AG139" s="169"/>
      <c r="AH139" s="170"/>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L139" s="453">
        <f ca="1">IF(AND($D139="Serviço",AL$12&lt;&gt;0,$H139&gt;0,OR(AUTOEVENTO&lt;&gt;"manual",$M139&lt;&gt;$A$15)),
        IF(Import.TipoArredondamento&lt;&gt;"TransfereGOV",
              ROUND(OFFSET($P139,0,AL$13),15-13*ORÇAMENTO!$AF$7)/$H139*OFFSET(ORÇAMENTO!$X$15,ROW(AL139)-ROW(AL$15),0),
              ROUND(ROUND(OFFSET($P139,0,AL$13),15-13*ORÇAMENTO!$AF$7)*OFFSET(ORÇAMENTO!$W$15,ROW(AL139)-ROW(AL$15),0),15-13*ORÇAMENTO!$AF$11)),
         0)</f>
        <v>0</v>
      </c>
      <c r="AM139" s="453">
        <f ca="1">IF(AND($D139="Serviço",AM$12&lt;&gt;0,$H139&gt;0,OR(AUTOEVENTO&lt;&gt;"manual",$M139&lt;&gt;$A$15)),
        IF(Import.TipoArredondamento&lt;&gt;"TransfereGOV",
              ROUND(OFFSET($P139,0,AM$13),15-13*ORÇAMENTO!$AF$7)/$H139*OFFSET(ORÇAMENTO!$X$15,ROW(AM139)-ROW(AM$15),0),
              ROUND(ROUND(OFFSET($P139,0,AM$13),15-13*ORÇAMENTO!$AF$7)*OFFSET(ORÇAMENTO!$W$15,ROW(AM139)-ROW(AM$15),0),15-13*ORÇAMENTO!$AF$11)),
         0)</f>
        <v>0</v>
      </c>
      <c r="AN139" s="453">
        <f ca="1">IF(AND($D139="Serviço",AN$12&lt;&gt;0,$H139&gt;0,OR(AUTOEVENTO&lt;&gt;"manual",$M139&lt;&gt;$A$15)),
        IF(Import.TipoArredondamento&lt;&gt;"TransfereGOV",
              ROUND(OFFSET($P139,0,AN$13),15-13*ORÇAMENTO!$AF$7)/$H139*OFFSET(ORÇAMENTO!$X$15,ROW(AN139)-ROW(AN$15),0),
              ROUND(ROUND(OFFSET($P139,0,AN$13),15-13*ORÇAMENTO!$AF$7)*OFFSET(ORÇAMENTO!$W$15,ROW(AN139)-ROW(AN$15),0),15-13*ORÇAMENTO!$AF$11)),
         0)</f>
        <v>0</v>
      </c>
      <c r="AO139" s="453">
        <f ca="1">IF(AND($D139="Serviço",AO$12&lt;&gt;0,$H139&gt;0,OR(AUTOEVENTO&lt;&gt;"manual",$M139&lt;&gt;$A$15)),
        IF(Import.TipoArredondamento&lt;&gt;"TransfereGOV",
              ROUND(OFFSET($P139,0,AO$13),15-13*ORÇAMENTO!$AF$7)/$H139*OFFSET(ORÇAMENTO!$X$15,ROW(AO139)-ROW(AO$15),0),
              ROUND(ROUND(OFFSET($P139,0,AO$13),15-13*ORÇAMENTO!$AF$7)*OFFSET(ORÇAMENTO!$W$15,ROW(AO139)-ROW(AO$15),0),15-13*ORÇAMENTO!$AF$11)),
         0)</f>
        <v>11438.7</v>
      </c>
      <c r="AP139" s="453">
        <f ca="1">IF(AND($D139="Serviço",AP$12&lt;&gt;0,$H139&gt;0,OR(AUTOEVENTO&lt;&gt;"manual",$M139&lt;&gt;$A$15)),
        IF(Import.TipoArredondamento&lt;&gt;"TransfereGOV",
              ROUND(OFFSET($P139,0,AP$13),15-13*ORÇAMENTO!$AF$7)/$H139*OFFSET(ORÇAMENTO!$X$15,ROW(AP139)-ROW(AP$15),0),
              ROUND(ROUND(OFFSET($P139,0,AP$13),15-13*ORÇAMENTO!$AF$7)*OFFSET(ORÇAMENTO!$W$15,ROW(AP139)-ROW(AP$15),0),15-13*ORÇAMENTO!$AF$11)),
         0)</f>
        <v>0</v>
      </c>
      <c r="AQ139" s="453">
        <f ca="1">IF(AND($D139="Serviço",AQ$12&lt;&gt;0,$H139&gt;0,OR(AUTOEVENTO&lt;&gt;"manual",$M139&lt;&gt;$A$15)),
        IF(Import.TipoArredondamento&lt;&gt;"TransfereGOV",
              ROUND(OFFSET($P139,0,AQ$13),15-13*ORÇAMENTO!$AF$7)/$H139*OFFSET(ORÇAMENTO!$X$15,ROW(AQ139)-ROW(AQ$15),0),
              ROUND(ROUND(OFFSET($P139,0,AQ$13),15-13*ORÇAMENTO!$AF$7)*OFFSET(ORÇAMENTO!$W$15,ROW(AQ139)-ROW(AQ$15),0),15-13*ORÇAMENTO!$AF$11)),
         0)</f>
        <v>0</v>
      </c>
      <c r="AR139" s="453">
        <f ca="1">IF(AND($D139="Serviço",AR$12&lt;&gt;0,$H139&gt;0,OR(AUTOEVENTO&lt;&gt;"manual",$M139&lt;&gt;$A$15)),
        IF(Import.TipoArredondamento&lt;&gt;"TransfereGOV",
              ROUND(OFFSET($P139,0,AR$13),15-13*ORÇAMENTO!$AF$7)/$H139*OFFSET(ORÇAMENTO!$X$15,ROW(AR139)-ROW(AR$15),0),
              ROUND(ROUND(OFFSET($P139,0,AR$13),15-13*ORÇAMENTO!$AF$7)*OFFSET(ORÇAMENTO!$W$15,ROW(AR139)-ROW(AR$15),0),15-13*ORÇAMENTO!$AF$11)),
         0)</f>
        <v>0</v>
      </c>
      <c r="AS139" s="453">
        <f ca="1">IF(AND($D139="Serviço",AS$12&lt;&gt;0,$H139&gt;0,OR(AUTOEVENTO&lt;&gt;"manual",$M139&lt;&gt;$A$15)),
        IF(Import.TipoArredondamento&lt;&gt;"TransfereGOV",
              ROUND(OFFSET($P139,0,AS$13),15-13*ORÇAMENTO!$AF$7)/$H139*OFFSET(ORÇAMENTO!$X$15,ROW(AS139)-ROW(AS$15),0),
              ROUND(ROUND(OFFSET($P139,0,AS$13),15-13*ORÇAMENTO!$AF$7)*OFFSET(ORÇAMENTO!$W$15,ROW(AS139)-ROW(AS$15),0),15-13*ORÇAMENTO!$AF$11)),
         0)</f>
        <v>0</v>
      </c>
      <c r="AT139" s="453">
        <f ca="1">IF(AND($D139="Serviço",AT$12&lt;&gt;0,$H139&gt;0,OR(AUTOEVENTO&lt;&gt;"manual",$M139&lt;&gt;$A$15)),
        IF(Import.TipoArredondamento&lt;&gt;"TransfereGOV",
              ROUND(OFFSET($P139,0,AT$13),15-13*ORÇAMENTO!$AF$7)/$H139*OFFSET(ORÇAMENTO!$X$15,ROW(AT139)-ROW(AT$15),0),
              ROUND(ROUND(OFFSET($P139,0,AT$13),15-13*ORÇAMENTO!$AF$7)*OFFSET(ORÇAMENTO!$W$15,ROW(AT139)-ROW(AT$15),0),15-13*ORÇAMENTO!$AF$11)),
         0)</f>
        <v>0</v>
      </c>
      <c r="AU139" s="453">
        <f ca="1">IF(AND($D139="Serviço",AU$12&lt;&gt;0,$H139&gt;0,OR(AUTOEVENTO&lt;&gt;"manual",$M139&lt;&gt;$A$15)),
        IF(Import.TipoArredondamento&lt;&gt;"TransfereGOV",
              ROUND(OFFSET($P139,0,AU$13),15-13*ORÇAMENTO!$AF$7)/$H139*OFFSET(ORÇAMENTO!$X$15,ROW(AU139)-ROW(AU$15),0),
              ROUND(ROUND(OFFSET($P139,0,AU$13),15-13*ORÇAMENTO!$AF$7)*OFFSET(ORÇAMENTO!$W$15,ROW(AU139)-ROW(AU$15),0),15-13*ORÇAMENTO!$AF$11)),
         0)</f>
        <v>0</v>
      </c>
      <c r="AV139" s="453">
        <f ca="1">IF(AND($D139="Serviço",AV$12&lt;&gt;0,$H139&gt;0,OR(AUTOEVENTO&lt;&gt;"manual",$M139&lt;&gt;$A$15)),
        IF(Import.TipoArredondamento&lt;&gt;"TransfereGOV",
              ROUND(OFFSET($P139,0,AV$13),15-13*ORÇAMENTO!$AF$7)/$H139*OFFSET(ORÇAMENTO!$X$15,ROW(AV139)-ROW(AV$15),0),
              ROUND(ROUND(OFFSET($P139,0,AV$13),15-13*ORÇAMENTO!$AF$7)*OFFSET(ORÇAMENTO!$W$15,ROW(AV139)-ROW(AV$15),0),15-13*ORÇAMENTO!$AF$11)),
         0)</f>
        <v>0</v>
      </c>
      <c r="AW139" s="453">
        <f ca="1">IF(AND($D139="Serviço",AW$12&lt;&gt;0,$H139&gt;0,OR(AUTOEVENTO&lt;&gt;"manual",$M139&lt;&gt;$A$15)),
        IF(Import.TipoArredondamento&lt;&gt;"TransfereGOV",
              ROUND(OFFSET($P139,0,AW$13),15-13*ORÇAMENTO!$AF$7)/$H139*OFFSET(ORÇAMENTO!$X$15,ROW(AW139)-ROW(AW$15),0),
              ROUND(ROUND(OFFSET($P139,0,AW$13),15-13*ORÇAMENTO!$AF$7)*OFFSET(ORÇAMENTO!$W$15,ROW(AW139)-ROW(AW$15),0),15-13*ORÇAMENTO!$AF$11)),
         0)</f>
        <v>0</v>
      </c>
      <c r="AX139" s="453">
        <f ca="1">IF(AND($D139="Serviço",AX$12&lt;&gt;0,$H139&gt;0,OR(AUTOEVENTO&lt;&gt;"manual",$M139&lt;&gt;$A$15)),
        IF(Import.TipoArredondamento&lt;&gt;"TransfereGOV",
              ROUND(OFFSET($P139,0,AX$13),15-13*ORÇAMENTO!$AF$7)/$H139*OFFSET(ORÇAMENTO!$X$15,ROW(AX139)-ROW(AX$15),0),
              ROUND(ROUND(OFFSET($P139,0,AX$13),15-13*ORÇAMENTO!$AF$7)*OFFSET(ORÇAMENTO!$W$15,ROW(AX139)-ROW(AX$15),0),15-13*ORÇAMENTO!$AF$11)),
         0)</f>
        <v>0</v>
      </c>
      <c r="AY139" s="453">
        <f ca="1">IF(AND($D139="Serviço",AY$12&lt;&gt;0,$H139&gt;0,OR(AUTOEVENTO&lt;&gt;"manual",$M139&lt;&gt;$A$15)),
        IF(Import.TipoArredondamento&lt;&gt;"TransfereGOV",
              ROUND(OFFSET($P139,0,AY$13),15-13*ORÇAMENTO!$AF$7)/$H139*OFFSET(ORÇAMENTO!$X$15,ROW(AY139)-ROW(AY$15),0),
              ROUND(ROUND(OFFSET($P139,0,AY$13),15-13*ORÇAMENTO!$AF$7)*OFFSET(ORÇAMENTO!$W$15,ROW(AY139)-ROW(AY$15),0),15-13*ORÇAMENTO!$AF$11)),
         0)</f>
        <v>0</v>
      </c>
      <c r="AZ139" s="453">
        <f ca="1">IF(AND($D139="Serviço",AZ$12&lt;&gt;0,$H139&gt;0,OR(AUTOEVENTO&lt;&gt;"manual",$M139&lt;&gt;$A$15)),
        IF(Import.TipoArredondamento&lt;&gt;"TransfereGOV",
              ROUND(OFFSET($P139,0,AZ$13),15-13*ORÇAMENTO!$AF$7)/$H139*OFFSET(ORÇAMENTO!$X$15,ROW(AZ139)-ROW(AZ$15),0),
              ROUND(ROUND(OFFSET($P139,0,AZ$13),15-13*ORÇAMENTO!$AF$7)*OFFSET(ORÇAMENTO!$W$15,ROW(AZ139)-ROW(AZ$15),0),15-13*ORÇAMENTO!$AF$11)),
         0)</f>
        <v>0</v>
      </c>
      <c r="BA139" s="453">
        <f ca="1">IF(AND($D139="Serviço",BA$12&lt;&gt;0,$H139&gt;0,OR(AUTOEVENTO&lt;&gt;"manual",$M139&lt;&gt;$A$15)),
        IF(Import.TipoArredondamento&lt;&gt;"TransfereGOV",
              ROUND(OFFSET($P139,0,BA$13),15-13*ORÇAMENTO!$AF$7)/$H139*OFFSET(ORÇAMENTO!$X$15,ROW(BA139)-ROW(BA$15),0),
              ROUND(ROUND(OFFSET($P139,0,BA$13),15-13*ORÇAMENTO!$AF$7)*OFFSET(ORÇAMENTO!$W$15,ROW(BA139)-ROW(BA$15),0),15-13*ORÇAMENTO!$AF$11)),
         0)</f>
        <v>0</v>
      </c>
      <c r="BC139" s="171">
        <f ca="1">IF(OR($D139&lt;&gt;"Serviço",AND(AUTOEVENTO="Manual",$M139=$A$15)),0,
         IF(OFFSET(CRONOPLE!$F$15,$M139-$A$15,BC$13)=0,10^12,OFFSET(CRONOPLE!$F$15,$M139-$A$15,BC$13)))</f>
        <v>1000000000000</v>
      </c>
      <c r="BD139" s="171">
        <f ca="1">IF(OR($D139&lt;&gt;"Serviço",AND(AUTOEVENTO="Manual",$M139=$A$15)),0,
         IF(OFFSET(CRONOPLE!$F$15,$M139-$A$15,BD$13)=0,10^12,OFFSET(CRONOPLE!$F$15,$M139-$A$15,BD$13)))</f>
        <v>1000000000000</v>
      </c>
      <c r="BE139" s="171">
        <f ca="1">IF(OR($D139&lt;&gt;"Serviço",AND(AUTOEVENTO="Manual",$M139=$A$15)),0,
         IF(OFFSET(CRONOPLE!$F$15,$M139-$A$15,BE$13)=0,10^12,OFFSET(CRONOPLE!$F$15,$M139-$A$15,BE$13)))</f>
        <v>1000000000000</v>
      </c>
      <c r="BF139" s="171">
        <f ca="1">IF(OR($D139&lt;&gt;"Serviço",AND(AUTOEVENTO="Manual",$M139=$A$15)),0,
         IF(OFFSET(CRONOPLE!$F$15,$M139-$A$15,BF$13)=0,10^12,OFFSET(CRONOPLE!$F$15,$M139-$A$15,BF$13)))</f>
        <v>1000000000000</v>
      </c>
      <c r="BG139" s="171">
        <f ca="1">IF(OR($D139&lt;&gt;"Serviço",AND(AUTOEVENTO="Manual",$M139=$A$15)),0,
         IF(OFFSET(CRONOPLE!$F$15,$M139-$A$15,BG$13)=0,10^12,OFFSET(CRONOPLE!$F$15,$M139-$A$15,BG$13)))</f>
        <v>1000000000000</v>
      </c>
      <c r="BH139" s="171">
        <f ca="1">IF(OR($D139&lt;&gt;"Serviço",AND(AUTOEVENTO="Manual",$M139=$A$15)),0,
         IF(OFFSET(CRONOPLE!$F$15,$M139-$A$15,BH$13)=0,10^12,OFFSET(CRONOPLE!$F$15,$M139-$A$15,BH$13)))</f>
        <v>5</v>
      </c>
      <c r="BI139" s="171">
        <f ca="1">IF(OR($D139&lt;&gt;"Serviço",AND(AUTOEVENTO="Manual",$M139=$A$15)),0,
         IF(OFFSET(CRONOPLE!$F$15,$M139-$A$15,BI$13)=0,10^12,OFFSET(CRONOPLE!$F$15,$M139-$A$15,BI$13)))</f>
        <v>1000000000000</v>
      </c>
      <c r="BJ139" s="171">
        <f ca="1">IF(OR($D139&lt;&gt;"Serviço",AND(AUTOEVENTO="Manual",$M139=$A$15)),0,
         IF(OFFSET(CRONOPLE!$F$15,$M139-$A$15,BJ$13)=0,10^12,OFFSET(CRONOPLE!$F$15,$M139-$A$15,BJ$13)))</f>
        <v>1000000000000</v>
      </c>
      <c r="BK139" s="171">
        <f ca="1">IF(OR($D139&lt;&gt;"Serviço",AND(AUTOEVENTO="Manual",$M139=$A$15)),0,
         IF(OFFSET(CRONOPLE!$F$15,$M139-$A$15,BK$13)=0,10^12,OFFSET(CRONOPLE!$F$15,$M139-$A$15,BK$13)))</f>
        <v>1000000000000</v>
      </c>
      <c r="BL139" s="171">
        <f ca="1">IF(OR($D139&lt;&gt;"Serviço",AND(AUTOEVENTO="Manual",$M139=$A$15)),0,
         IF(OFFSET(CRONOPLE!$F$15,$M139-$A$15,BL$13)=0,10^12,OFFSET(CRONOPLE!$F$15,$M139-$A$15,BL$13)))</f>
        <v>1000000000000</v>
      </c>
      <c r="BM139" s="171">
        <f ca="1">IF(OR($D139&lt;&gt;"Serviço",AND(AUTOEVENTO="Manual",$M139=$A$15)),0,
         IF(OFFSET(CRONOPLE!$F$15,$M139-$A$15,BM$13)=0,10^12,OFFSET(CRONOPLE!$F$15,$M139-$A$15,BM$13)))</f>
        <v>1000000000000</v>
      </c>
      <c r="BN139" s="171">
        <f ca="1">IF(OR($D139&lt;&gt;"Serviço",AND(AUTOEVENTO="Manual",$M139=$A$15)),0,
         IF(OFFSET(CRONOPLE!$F$15,$M139-$A$15,BN$13)=0,10^12,OFFSET(CRONOPLE!$F$15,$M139-$A$15,BN$13)))</f>
        <v>1000000000000</v>
      </c>
      <c r="BO139" s="171">
        <f ca="1">IF(OR($D139&lt;&gt;"Serviço",AND(AUTOEVENTO="Manual",$M139=$A$15)),0,
         IF(OFFSET(CRONOPLE!$F$15,$M139-$A$15,BO$13)=0,10^12,OFFSET(CRONOPLE!$F$15,$M139-$A$15,BO$13)))</f>
        <v>1000000000000</v>
      </c>
      <c r="BP139" s="171">
        <f ca="1">IF(OR($D139&lt;&gt;"Serviço",AND(AUTOEVENTO="Manual",$M139=$A$15)),0,
         IF(OFFSET(CRONOPLE!$F$15,$M139-$A$15,BP$13)=0,10^12,OFFSET(CRONOPLE!$F$15,$M139-$A$15,BP$13)))</f>
        <v>1000000000000</v>
      </c>
      <c r="BQ139" s="171">
        <f ca="1">IF(OR($D139&lt;&gt;"Serviço",AND(AUTOEVENTO="Manual",$M139=$A$15)),0,
         IF(OFFSET(CRONOPLE!$F$15,$M139-$A$15,BQ$13)=0,10^12,OFFSET(CRONOPLE!$F$15,$M139-$A$15,BQ$13)))</f>
        <v>1000000000000</v>
      </c>
      <c r="BR139" s="171">
        <f ca="1">IF(OR($D139&lt;&gt;"Serviço",AND(AUTOEVENTO="Manual",$M139=$A$15)),0,
         IF(OFFSET(CRONOPLE!$F$15,$M139-$A$15,BR$13)=0,10^12,OFFSET(CRONOPLE!$F$15,$M139-$A$15,BR$13)))</f>
        <v>1000000000000</v>
      </c>
      <c r="BS139" s="171">
        <f ca="1">IF(OR($D139&lt;&gt;"Serviço",AND(AUTOEVENTO="Manual",$M139=$A$15)),0,
         IF(OFFSET(CRONOPLE!$F$15,$M139-$A$15,BS$13)=0,10^12,OFFSET(CRONOPLE!$F$15,$M139-$A$15,BS$13)))</f>
        <v>1000000000000</v>
      </c>
      <c r="BT139" s="171">
        <f ca="1">IF(OR($D139&lt;&gt;"Serviço",AND(AUTOEVENTO="Manual",$M139=$A$15)),0,
         IF(OFFSET(CRONOPLE!$F$15,$M139-$A$15,BT$13)=0,10^12,OFFSET(CRONOPLE!$F$15,$M139-$A$15,BT$13)))</f>
        <v>1000000000000</v>
      </c>
      <c r="BV139" s="172">
        <f ca="1">IF(OR($D139&lt;&gt;"Serviço",AND(AUTOEVENTO="Manual",$M139=$A$15),$M139&gt;(ROW(PLE.lastrow)-ROW(PLE.firstrow))),0,
           IF(OFFSET(PLE!$G$15,$M139-$A$15,BV$13)="",10^12,OFFSET(PLE!$G$15,$M139-$A$15,BV$13)))</f>
        <v>1000000000000</v>
      </c>
      <c r="BW139" s="172">
        <f ca="1">IF(OR($D139&lt;&gt;"Serviço",AND(AUTOEVENTO="Manual",$M139=$A$15),$M139&gt;(ROW(PLE.lastrow)-ROW(PLE.firstrow))),0,
           IF(OFFSET(PLE!$G$15,$M139-$A$15,BW$13)="",10^12,OFFSET(PLE!$G$15,$M139-$A$15,BW$13)))</f>
        <v>1000000000000</v>
      </c>
      <c r="BX139" s="172">
        <f ca="1">IF(OR($D139&lt;&gt;"Serviço",AND(AUTOEVENTO="Manual",$M139=$A$15),$M139&gt;(ROW(PLE.lastrow)-ROW(PLE.firstrow))),0,
           IF(OFFSET(PLE!$G$15,$M139-$A$15,BX$13)="",10^12,OFFSET(PLE!$G$15,$M139-$A$15,BX$13)))</f>
        <v>1000000000000</v>
      </c>
      <c r="BY139" s="172">
        <f ca="1">IF(OR($D139&lt;&gt;"Serviço",AND(AUTOEVENTO="Manual",$M139=$A$15),$M139&gt;(ROW(PLE.lastrow)-ROW(PLE.firstrow))),0,
           IF(OFFSET(PLE!$G$15,$M139-$A$15,BY$13)="",10^12,OFFSET(PLE!$G$15,$M139-$A$15,BY$13)))</f>
        <v>1000000000000</v>
      </c>
      <c r="BZ139" s="172">
        <f ca="1">IF(OR($D139&lt;&gt;"Serviço",AND(AUTOEVENTO="Manual",$M139=$A$15),$M139&gt;(ROW(PLE.lastrow)-ROW(PLE.firstrow))),0,
           IF(OFFSET(PLE!$G$15,$M139-$A$15,BZ$13)="",10^12,OFFSET(PLE!$G$15,$M139-$A$15,BZ$13)))</f>
        <v>1000000000000</v>
      </c>
      <c r="CA139" s="172">
        <f ca="1">IF(OR($D139&lt;&gt;"Serviço",AND(AUTOEVENTO="Manual",$M139=$A$15),$M139&gt;(ROW(PLE.lastrow)-ROW(PLE.firstrow))),0,
           IF(OFFSET(PLE!$G$15,$M139-$A$15,CA$13)="",10^12,OFFSET(PLE!$G$15,$M139-$A$15,CA$13)))</f>
        <v>1000000000000</v>
      </c>
      <c r="CB139" s="172">
        <f ca="1">IF(OR($D139&lt;&gt;"Serviço",AND(AUTOEVENTO="Manual",$M139=$A$15),$M139&gt;(ROW(PLE.lastrow)-ROW(PLE.firstrow))),0,
           IF(OFFSET(PLE!$G$15,$M139-$A$15,CB$13)="",10^12,OFFSET(PLE!$G$15,$M139-$A$15,CB$13)))</f>
        <v>1000000000000</v>
      </c>
      <c r="CC139" s="172">
        <f ca="1">IF(OR($D139&lt;&gt;"Serviço",AND(AUTOEVENTO="Manual",$M139=$A$15),$M139&gt;(ROW(PLE.lastrow)-ROW(PLE.firstrow))),0,
           IF(OFFSET(PLE!$G$15,$M139-$A$15,CC$13)="",10^12,OFFSET(PLE!$G$15,$M139-$A$15,CC$13)))</f>
        <v>1000000000000</v>
      </c>
      <c r="CD139" s="172">
        <f ca="1">IF(OR($D139&lt;&gt;"Serviço",AND(AUTOEVENTO="Manual",$M139=$A$15),$M139&gt;(ROW(PLE.lastrow)-ROW(PLE.firstrow))),0,
           IF(OFFSET(PLE!$G$15,$M139-$A$15,CD$13)="",10^12,OFFSET(PLE!$G$15,$M139-$A$15,CD$13)))</f>
        <v>1000000000000</v>
      </c>
      <c r="CE139" s="172">
        <f ca="1">IF(OR($D139&lt;&gt;"Serviço",AND(AUTOEVENTO="Manual",$M139=$A$15),$M139&gt;(ROW(PLE.lastrow)-ROW(PLE.firstrow))),0,
           IF(OFFSET(PLE!$G$15,$M139-$A$15,CE$13)="",10^12,OFFSET(PLE!$G$15,$M139-$A$15,CE$13)))</f>
        <v>1000000000000</v>
      </c>
      <c r="CF139" s="172">
        <f ca="1">IF(OR($D139&lt;&gt;"Serviço",AND(AUTOEVENTO="Manual",$M139=$A$15),$M139&gt;(ROW(PLE.lastrow)-ROW(PLE.firstrow))),0,
           IF(OFFSET(PLE!$G$15,$M139-$A$15,CF$13)="",10^12,OFFSET(PLE!$G$15,$M139-$A$15,CF$13)))</f>
        <v>1000000000000</v>
      </c>
      <c r="CG139" s="172">
        <f ca="1">IF(OR($D139&lt;&gt;"Serviço",AND(AUTOEVENTO="Manual",$M139=$A$15),$M139&gt;(ROW(PLE.lastrow)-ROW(PLE.firstrow))),0,
           IF(OFFSET(PLE!$G$15,$M139-$A$15,CG$13)="",10^12,OFFSET(PLE!$G$15,$M139-$A$15,CG$13)))</f>
        <v>1000000000000</v>
      </c>
      <c r="CH139" s="172">
        <f ca="1">IF(OR($D139&lt;&gt;"Serviço",AND(AUTOEVENTO="Manual",$M139=$A$15),$M139&gt;(ROW(PLE.lastrow)-ROW(PLE.firstrow))),0,
           IF(OFFSET(PLE!$G$15,$M139-$A$15,CH$13)="",10^12,OFFSET(PLE!$G$15,$M139-$A$15,CH$13)))</f>
        <v>1000000000000</v>
      </c>
      <c r="CI139" s="172">
        <f ca="1">IF(OR($D139&lt;&gt;"Serviço",AND(AUTOEVENTO="Manual",$M139=$A$15),$M139&gt;(ROW(PLE.lastrow)-ROW(PLE.firstrow))),0,
           IF(OFFSET(PLE!$G$15,$M139-$A$15,CI$13)="",10^12,OFFSET(PLE!$G$15,$M139-$A$15,CI$13)))</f>
        <v>1000000000000</v>
      </c>
      <c r="CJ139" s="172">
        <f ca="1">IF(OR($D139&lt;&gt;"Serviço",AND(AUTOEVENTO="Manual",$M139=$A$15),$M139&gt;(ROW(PLE.lastrow)-ROW(PLE.firstrow))),0,
           IF(OFFSET(PLE!$G$15,$M139-$A$15,CJ$13)="",10^12,OFFSET(PLE!$G$15,$M139-$A$15,CJ$13)))</f>
        <v>1000000000000</v>
      </c>
      <c r="CK139" s="172">
        <f ca="1">IF(OR($D139&lt;&gt;"Serviço",AND(AUTOEVENTO="Manual",$M139=$A$15),$M139&gt;(ROW(PLE.lastrow)-ROW(PLE.firstrow))),0,
           IF(OFFSET(PLE!$G$15,$M139-$A$15,CK$13)="",10^12,OFFSET(PLE!$G$15,$M139-$A$15,CK$13)))</f>
        <v>1000000000000</v>
      </c>
      <c r="CL139" s="172">
        <f ca="1">IF(OR($D139&lt;&gt;"Serviço",AND(AUTOEVENTO="Manual",$M139=$A$15),$M139&gt;(ROW(PLE.lastrow)-ROW(PLE.firstrow))),0,
           IF(OFFSET(PLE!$G$15,$M139-$A$15,CL$13)="",10^12,OFFSET(PLE!$G$15,$M139-$A$15,CL$13)))</f>
        <v>1000000000000</v>
      </c>
      <c r="CM139" s="172">
        <f ca="1">IF(OR($D139&lt;&gt;"Serviço",AND(AUTOEVENTO="Manual",$M139=$A$15),$M139&gt;(ROW(PLE.lastrow)-ROW(PLE.firstrow))),0,
           IF(OFFSET(PLE!$G$15,$M139-$A$15,CM$13)="",10^12,OFFSET(PLE!$G$15,$M139-$A$15,CM$13)))</f>
        <v>1000000000000</v>
      </c>
    </row>
    <row r="140" spans="1:91" ht="13.2" x14ac:dyDescent="0.25">
      <c r="A140" s="7" t="str">
        <f t="shared" ca="1" si="11"/>
        <v>119</v>
      </c>
      <c r="B140" s="7" t="str">
        <f ca="1">OFFSET(ORÇAMENTO!C$15,ROW(B140)-ROW(B$15),0)</f>
        <v>S</v>
      </c>
      <c r="C140" s="7" t="str">
        <f ca="1">OFFSET(ORÇAMENTO!L$15,ROW(C140)-ROW(C$15),0)</f>
        <v>F</v>
      </c>
      <c r="D140" s="116" t="str">
        <f ca="1">OFFSET(ORÇAMENTO!N$15,ROW(D140)-ROW(D$15),0)</f>
        <v>Serviço</v>
      </c>
      <c r="E140" s="117" t="str">
        <f ca="1">OFFSET(ORÇAMENTO!O$15,ROW(E140)-ROW(E$15),0)</f>
        <v>4.1.6.</v>
      </c>
      <c r="F140" s="163" t="str">
        <f ca="1">OFFSET(ORÇAMENTO!R$15,ROW(F140)-ROW(F$15),0)</f>
        <v>Caiação manual com fixador de cal</v>
      </c>
      <c r="G140" s="164" t="str">
        <f ca="1">IF($D140&lt;&gt;"Serviço","",OFFSET(ORÇAMENTO!S$15,ROW(G140)-ROW(G$15),0))</f>
        <v>m²</v>
      </c>
      <c r="H140" s="122" cm="1">
        <f t="array" aca="1" ref="H140" ca="1">IF($D140&lt;&gt;"Serviço",0,IF(ACOMPANHAMENTO="BM",ROUND(OFFSET(ORÇAMENTO!AJ$15,ROW(H140)-ROW(H$15),0),15-13*ORÇAMENTO!$AF$7),SUMPRODUCT(($Q$1:$AI$1=1)*ROUND($Q140:$AI140,15-13*ORÇAMENTO!$AF$7))))</f>
        <v>163.80000000000001</v>
      </c>
      <c r="I140" s="468"/>
      <c r="J140" s="651" t="e" cm="1">
        <f t="array" aca="1" ref="J140" ca="1">IF(OR(B140&lt;&gt;"S",CÁLCULO.FrentesPreenchidas=0),"",IF(AND(ACOMPANHAMENTO="PLE",AUTOEVENTO="Manual",OR(H140&gt;0,ORÇAMENTO!AC140="QUANT."),OR(K140="",M140=0,N140="")),"►E",IF(AND(ACOMPANHAMENTO="PLE",ORÇAMENTO!AC140="QUANT."),"►Q",IF(AND(ACOMPANHAMENTO="PLE",H140&lt;&gt;SUMPRODUCT(($Q$1:$AI$1=1)*ROUND(Q140:AI140,15))),"►S",IF(AND(COUNTIF($P$11:$AI$11,"▼")=0,H140&gt;0,I140=""),"◄M","")))))</f>
        <v>#NAME?</v>
      </c>
      <c r="K140" s="652"/>
      <c r="L140" s="165" t="s">
        <v>764</v>
      </c>
      <c r="M140" s="166">
        <f ca="1">IF($D140&lt;&gt;"Serviço","",
          IF(AUTOEVENTO="manual",$A140,
                IF(ISERROR(MATCH($A140,$A$15:OFFSET($A140,-1,0),0)),MAX($M$15:OFFSET(M140,-1,0))+1,
                      INDEX($M$15:OFFSET(M140,-1,0),MATCH($A140,$A$15:OFFSET($A140,-1,0),0)))))</f>
        <v>19</v>
      </c>
      <c r="N140" s="167" t="str">
        <f ca="1">IF($D140&lt;&gt;"Serviço","",
         IF(AUTOEVENTO="Manual",
                IF($A140=0,"&lt;-- defina o número do agrupador",
                       OFFSET(EVENTOS!$D$15,$A140-$A$15,0)),
                OFFSET($F$15,$A140,0)))</f>
        <v>DRENAGEM</v>
      </c>
      <c r="O140" s="168"/>
      <c r="Q140" s="168"/>
      <c r="R140" s="169"/>
      <c r="S140" s="169"/>
      <c r="T140" s="169"/>
      <c r="U140" s="169"/>
      <c r="V140" s="169">
        <f>(0.15+0.15+0.12)*V139</f>
        <v>163.79999999999998</v>
      </c>
      <c r="W140" s="169"/>
      <c r="X140" s="169"/>
      <c r="Y140" s="169"/>
      <c r="Z140" s="170"/>
      <c r="AA140" s="169"/>
      <c r="AB140" s="169"/>
      <c r="AC140" s="169"/>
      <c r="AD140" s="169"/>
      <c r="AE140" s="169"/>
      <c r="AF140" s="169"/>
      <c r="AG140" s="169"/>
      <c r="AH140" s="170"/>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L140" s="453">
        <f ca="1">IF(AND($D140="Serviço",AL$12&lt;&gt;0,$H140&gt;0,OR(AUTOEVENTO&lt;&gt;"manual",$M140&lt;&gt;$A$15)),
        IF(Import.TipoArredondamento&lt;&gt;"TransfereGOV",
              ROUND(OFFSET($P140,0,AL$13),15-13*ORÇAMENTO!$AF$7)/$H140*OFFSET(ORÇAMENTO!$X$15,ROW(AL140)-ROW(AL$15),0),
              ROUND(ROUND(OFFSET($P140,0,AL$13),15-13*ORÇAMENTO!$AF$7)*OFFSET(ORÇAMENTO!$W$15,ROW(AL140)-ROW(AL$15),0),15-13*ORÇAMENTO!$AF$11)),
         0)</f>
        <v>0</v>
      </c>
      <c r="AM140" s="453">
        <f ca="1">IF(AND($D140="Serviço",AM$12&lt;&gt;0,$H140&gt;0,OR(AUTOEVENTO&lt;&gt;"manual",$M140&lt;&gt;$A$15)),
        IF(Import.TipoArredondamento&lt;&gt;"TransfereGOV",
              ROUND(OFFSET($P140,0,AM$13),15-13*ORÇAMENTO!$AF$7)/$H140*OFFSET(ORÇAMENTO!$X$15,ROW(AM140)-ROW(AM$15),0),
              ROUND(ROUND(OFFSET($P140,0,AM$13),15-13*ORÇAMENTO!$AF$7)*OFFSET(ORÇAMENTO!$W$15,ROW(AM140)-ROW(AM$15),0),15-13*ORÇAMENTO!$AF$11)),
         0)</f>
        <v>0</v>
      </c>
      <c r="AN140" s="453">
        <f ca="1">IF(AND($D140="Serviço",AN$12&lt;&gt;0,$H140&gt;0,OR(AUTOEVENTO&lt;&gt;"manual",$M140&lt;&gt;$A$15)),
        IF(Import.TipoArredondamento&lt;&gt;"TransfereGOV",
              ROUND(OFFSET($P140,0,AN$13),15-13*ORÇAMENTO!$AF$7)/$H140*OFFSET(ORÇAMENTO!$X$15,ROW(AN140)-ROW(AN$15),0),
              ROUND(ROUND(OFFSET($P140,0,AN$13),15-13*ORÇAMENTO!$AF$7)*OFFSET(ORÇAMENTO!$W$15,ROW(AN140)-ROW(AN$15),0),15-13*ORÇAMENTO!$AF$11)),
         0)</f>
        <v>0</v>
      </c>
      <c r="AO140" s="453">
        <f ca="1">IF(AND($D140="Serviço",AO$12&lt;&gt;0,$H140&gt;0,OR(AUTOEVENTO&lt;&gt;"manual",$M140&lt;&gt;$A$15)),
        IF(Import.TipoArredondamento&lt;&gt;"TransfereGOV",
              ROUND(OFFSET($P140,0,AO$13),15-13*ORÇAMENTO!$AF$7)/$H140*OFFSET(ORÇAMENTO!$X$15,ROW(AO140)-ROW(AO$15),0),
              ROUND(ROUND(OFFSET($P140,0,AO$13),15-13*ORÇAMENTO!$AF$7)*OFFSET(ORÇAMENTO!$W$15,ROW(AO140)-ROW(AO$15),0),15-13*ORÇAMENTO!$AF$11)),
         0)</f>
        <v>730.55</v>
      </c>
      <c r="AP140" s="453">
        <f ca="1">IF(AND($D140="Serviço",AP$12&lt;&gt;0,$H140&gt;0,OR(AUTOEVENTO&lt;&gt;"manual",$M140&lt;&gt;$A$15)),
        IF(Import.TipoArredondamento&lt;&gt;"TransfereGOV",
              ROUND(OFFSET($P140,0,AP$13),15-13*ORÇAMENTO!$AF$7)/$H140*OFFSET(ORÇAMENTO!$X$15,ROW(AP140)-ROW(AP$15),0),
              ROUND(ROUND(OFFSET($P140,0,AP$13),15-13*ORÇAMENTO!$AF$7)*OFFSET(ORÇAMENTO!$W$15,ROW(AP140)-ROW(AP$15),0),15-13*ORÇAMENTO!$AF$11)),
         0)</f>
        <v>0</v>
      </c>
      <c r="AQ140" s="453">
        <f ca="1">IF(AND($D140="Serviço",AQ$12&lt;&gt;0,$H140&gt;0,OR(AUTOEVENTO&lt;&gt;"manual",$M140&lt;&gt;$A$15)),
        IF(Import.TipoArredondamento&lt;&gt;"TransfereGOV",
              ROUND(OFFSET($P140,0,AQ$13),15-13*ORÇAMENTO!$AF$7)/$H140*OFFSET(ORÇAMENTO!$X$15,ROW(AQ140)-ROW(AQ$15),0),
              ROUND(ROUND(OFFSET($P140,0,AQ$13),15-13*ORÇAMENTO!$AF$7)*OFFSET(ORÇAMENTO!$W$15,ROW(AQ140)-ROW(AQ$15),0),15-13*ORÇAMENTO!$AF$11)),
         0)</f>
        <v>0</v>
      </c>
      <c r="AR140" s="453">
        <f ca="1">IF(AND($D140="Serviço",AR$12&lt;&gt;0,$H140&gt;0,OR(AUTOEVENTO&lt;&gt;"manual",$M140&lt;&gt;$A$15)),
        IF(Import.TipoArredondamento&lt;&gt;"TransfereGOV",
              ROUND(OFFSET($P140,0,AR$13),15-13*ORÇAMENTO!$AF$7)/$H140*OFFSET(ORÇAMENTO!$X$15,ROW(AR140)-ROW(AR$15),0),
              ROUND(ROUND(OFFSET($P140,0,AR$13),15-13*ORÇAMENTO!$AF$7)*OFFSET(ORÇAMENTO!$W$15,ROW(AR140)-ROW(AR$15),0),15-13*ORÇAMENTO!$AF$11)),
         0)</f>
        <v>0</v>
      </c>
      <c r="AS140" s="453">
        <f ca="1">IF(AND($D140="Serviço",AS$12&lt;&gt;0,$H140&gt;0,OR(AUTOEVENTO&lt;&gt;"manual",$M140&lt;&gt;$A$15)),
        IF(Import.TipoArredondamento&lt;&gt;"TransfereGOV",
              ROUND(OFFSET($P140,0,AS$13),15-13*ORÇAMENTO!$AF$7)/$H140*OFFSET(ORÇAMENTO!$X$15,ROW(AS140)-ROW(AS$15),0),
              ROUND(ROUND(OFFSET($P140,0,AS$13),15-13*ORÇAMENTO!$AF$7)*OFFSET(ORÇAMENTO!$W$15,ROW(AS140)-ROW(AS$15),0),15-13*ORÇAMENTO!$AF$11)),
         0)</f>
        <v>0</v>
      </c>
      <c r="AT140" s="453">
        <f ca="1">IF(AND($D140="Serviço",AT$12&lt;&gt;0,$H140&gt;0,OR(AUTOEVENTO&lt;&gt;"manual",$M140&lt;&gt;$A$15)),
        IF(Import.TipoArredondamento&lt;&gt;"TransfereGOV",
              ROUND(OFFSET($P140,0,AT$13),15-13*ORÇAMENTO!$AF$7)/$H140*OFFSET(ORÇAMENTO!$X$15,ROW(AT140)-ROW(AT$15),0),
              ROUND(ROUND(OFFSET($P140,0,AT$13),15-13*ORÇAMENTO!$AF$7)*OFFSET(ORÇAMENTO!$W$15,ROW(AT140)-ROW(AT$15),0),15-13*ORÇAMENTO!$AF$11)),
         0)</f>
        <v>0</v>
      </c>
      <c r="AU140" s="453">
        <f ca="1">IF(AND($D140="Serviço",AU$12&lt;&gt;0,$H140&gt;0,OR(AUTOEVENTO&lt;&gt;"manual",$M140&lt;&gt;$A$15)),
        IF(Import.TipoArredondamento&lt;&gt;"TransfereGOV",
              ROUND(OFFSET($P140,0,AU$13),15-13*ORÇAMENTO!$AF$7)/$H140*OFFSET(ORÇAMENTO!$X$15,ROW(AU140)-ROW(AU$15),0),
              ROUND(ROUND(OFFSET($P140,0,AU$13),15-13*ORÇAMENTO!$AF$7)*OFFSET(ORÇAMENTO!$W$15,ROW(AU140)-ROW(AU$15),0),15-13*ORÇAMENTO!$AF$11)),
         0)</f>
        <v>0</v>
      </c>
      <c r="AV140" s="453">
        <f ca="1">IF(AND($D140="Serviço",AV$12&lt;&gt;0,$H140&gt;0,OR(AUTOEVENTO&lt;&gt;"manual",$M140&lt;&gt;$A$15)),
        IF(Import.TipoArredondamento&lt;&gt;"TransfereGOV",
              ROUND(OFFSET($P140,0,AV$13),15-13*ORÇAMENTO!$AF$7)/$H140*OFFSET(ORÇAMENTO!$X$15,ROW(AV140)-ROW(AV$15),0),
              ROUND(ROUND(OFFSET($P140,0,AV$13),15-13*ORÇAMENTO!$AF$7)*OFFSET(ORÇAMENTO!$W$15,ROW(AV140)-ROW(AV$15),0),15-13*ORÇAMENTO!$AF$11)),
         0)</f>
        <v>0</v>
      </c>
      <c r="AW140" s="453">
        <f ca="1">IF(AND($D140="Serviço",AW$12&lt;&gt;0,$H140&gt;0,OR(AUTOEVENTO&lt;&gt;"manual",$M140&lt;&gt;$A$15)),
        IF(Import.TipoArredondamento&lt;&gt;"TransfereGOV",
              ROUND(OFFSET($P140,0,AW$13),15-13*ORÇAMENTO!$AF$7)/$H140*OFFSET(ORÇAMENTO!$X$15,ROW(AW140)-ROW(AW$15),0),
              ROUND(ROUND(OFFSET($P140,0,AW$13),15-13*ORÇAMENTO!$AF$7)*OFFSET(ORÇAMENTO!$W$15,ROW(AW140)-ROW(AW$15),0),15-13*ORÇAMENTO!$AF$11)),
         0)</f>
        <v>0</v>
      </c>
      <c r="AX140" s="453">
        <f ca="1">IF(AND($D140="Serviço",AX$12&lt;&gt;0,$H140&gt;0,OR(AUTOEVENTO&lt;&gt;"manual",$M140&lt;&gt;$A$15)),
        IF(Import.TipoArredondamento&lt;&gt;"TransfereGOV",
              ROUND(OFFSET($P140,0,AX$13),15-13*ORÇAMENTO!$AF$7)/$H140*OFFSET(ORÇAMENTO!$X$15,ROW(AX140)-ROW(AX$15),0),
              ROUND(ROUND(OFFSET($P140,0,AX$13),15-13*ORÇAMENTO!$AF$7)*OFFSET(ORÇAMENTO!$W$15,ROW(AX140)-ROW(AX$15),0),15-13*ORÇAMENTO!$AF$11)),
         0)</f>
        <v>0</v>
      </c>
      <c r="AY140" s="453">
        <f ca="1">IF(AND($D140="Serviço",AY$12&lt;&gt;0,$H140&gt;0,OR(AUTOEVENTO&lt;&gt;"manual",$M140&lt;&gt;$A$15)),
        IF(Import.TipoArredondamento&lt;&gt;"TransfereGOV",
              ROUND(OFFSET($P140,0,AY$13),15-13*ORÇAMENTO!$AF$7)/$H140*OFFSET(ORÇAMENTO!$X$15,ROW(AY140)-ROW(AY$15),0),
              ROUND(ROUND(OFFSET($P140,0,AY$13),15-13*ORÇAMENTO!$AF$7)*OFFSET(ORÇAMENTO!$W$15,ROW(AY140)-ROW(AY$15),0),15-13*ORÇAMENTO!$AF$11)),
         0)</f>
        <v>0</v>
      </c>
      <c r="AZ140" s="453">
        <f ca="1">IF(AND($D140="Serviço",AZ$12&lt;&gt;0,$H140&gt;0,OR(AUTOEVENTO&lt;&gt;"manual",$M140&lt;&gt;$A$15)),
        IF(Import.TipoArredondamento&lt;&gt;"TransfereGOV",
              ROUND(OFFSET($P140,0,AZ$13),15-13*ORÇAMENTO!$AF$7)/$H140*OFFSET(ORÇAMENTO!$X$15,ROW(AZ140)-ROW(AZ$15),0),
              ROUND(ROUND(OFFSET($P140,0,AZ$13),15-13*ORÇAMENTO!$AF$7)*OFFSET(ORÇAMENTO!$W$15,ROW(AZ140)-ROW(AZ$15),0),15-13*ORÇAMENTO!$AF$11)),
         0)</f>
        <v>0</v>
      </c>
      <c r="BA140" s="453">
        <f ca="1">IF(AND($D140="Serviço",BA$12&lt;&gt;0,$H140&gt;0,OR(AUTOEVENTO&lt;&gt;"manual",$M140&lt;&gt;$A$15)),
        IF(Import.TipoArredondamento&lt;&gt;"TransfereGOV",
              ROUND(OFFSET($P140,0,BA$13),15-13*ORÇAMENTO!$AF$7)/$H140*OFFSET(ORÇAMENTO!$X$15,ROW(BA140)-ROW(BA$15),0),
              ROUND(ROUND(OFFSET($P140,0,BA$13),15-13*ORÇAMENTO!$AF$7)*OFFSET(ORÇAMENTO!$W$15,ROW(BA140)-ROW(BA$15),0),15-13*ORÇAMENTO!$AF$11)),
         0)</f>
        <v>0</v>
      </c>
      <c r="BC140" s="171">
        <f ca="1">IF(OR($D140&lt;&gt;"Serviço",AND(AUTOEVENTO="Manual",$M140=$A$15)),0,
         IF(OFFSET(CRONOPLE!$F$15,$M140-$A$15,BC$13)=0,10^12,OFFSET(CRONOPLE!$F$15,$M140-$A$15,BC$13)))</f>
        <v>1000000000000</v>
      </c>
      <c r="BD140" s="171">
        <f ca="1">IF(OR($D140&lt;&gt;"Serviço",AND(AUTOEVENTO="Manual",$M140=$A$15)),0,
         IF(OFFSET(CRONOPLE!$F$15,$M140-$A$15,BD$13)=0,10^12,OFFSET(CRONOPLE!$F$15,$M140-$A$15,BD$13)))</f>
        <v>1000000000000</v>
      </c>
      <c r="BE140" s="171">
        <f ca="1">IF(OR($D140&lt;&gt;"Serviço",AND(AUTOEVENTO="Manual",$M140=$A$15)),0,
         IF(OFFSET(CRONOPLE!$F$15,$M140-$A$15,BE$13)=0,10^12,OFFSET(CRONOPLE!$F$15,$M140-$A$15,BE$13)))</f>
        <v>1000000000000</v>
      </c>
      <c r="BF140" s="171">
        <f ca="1">IF(OR($D140&lt;&gt;"Serviço",AND(AUTOEVENTO="Manual",$M140=$A$15)),0,
         IF(OFFSET(CRONOPLE!$F$15,$M140-$A$15,BF$13)=0,10^12,OFFSET(CRONOPLE!$F$15,$M140-$A$15,BF$13)))</f>
        <v>1000000000000</v>
      </c>
      <c r="BG140" s="171">
        <f ca="1">IF(OR($D140&lt;&gt;"Serviço",AND(AUTOEVENTO="Manual",$M140=$A$15)),0,
         IF(OFFSET(CRONOPLE!$F$15,$M140-$A$15,BG$13)=0,10^12,OFFSET(CRONOPLE!$F$15,$M140-$A$15,BG$13)))</f>
        <v>1000000000000</v>
      </c>
      <c r="BH140" s="171">
        <f ca="1">IF(OR($D140&lt;&gt;"Serviço",AND(AUTOEVENTO="Manual",$M140=$A$15)),0,
         IF(OFFSET(CRONOPLE!$F$15,$M140-$A$15,BH$13)=0,10^12,OFFSET(CRONOPLE!$F$15,$M140-$A$15,BH$13)))</f>
        <v>5</v>
      </c>
      <c r="BI140" s="171">
        <f ca="1">IF(OR($D140&lt;&gt;"Serviço",AND(AUTOEVENTO="Manual",$M140=$A$15)),0,
         IF(OFFSET(CRONOPLE!$F$15,$M140-$A$15,BI$13)=0,10^12,OFFSET(CRONOPLE!$F$15,$M140-$A$15,BI$13)))</f>
        <v>1000000000000</v>
      </c>
      <c r="BJ140" s="171">
        <f ca="1">IF(OR($D140&lt;&gt;"Serviço",AND(AUTOEVENTO="Manual",$M140=$A$15)),0,
         IF(OFFSET(CRONOPLE!$F$15,$M140-$A$15,BJ$13)=0,10^12,OFFSET(CRONOPLE!$F$15,$M140-$A$15,BJ$13)))</f>
        <v>1000000000000</v>
      </c>
      <c r="BK140" s="171">
        <f ca="1">IF(OR($D140&lt;&gt;"Serviço",AND(AUTOEVENTO="Manual",$M140=$A$15)),0,
         IF(OFFSET(CRONOPLE!$F$15,$M140-$A$15,BK$13)=0,10^12,OFFSET(CRONOPLE!$F$15,$M140-$A$15,BK$13)))</f>
        <v>1000000000000</v>
      </c>
      <c r="BL140" s="171">
        <f ca="1">IF(OR($D140&lt;&gt;"Serviço",AND(AUTOEVENTO="Manual",$M140=$A$15)),0,
         IF(OFFSET(CRONOPLE!$F$15,$M140-$A$15,BL$13)=0,10^12,OFFSET(CRONOPLE!$F$15,$M140-$A$15,BL$13)))</f>
        <v>1000000000000</v>
      </c>
      <c r="BM140" s="171">
        <f ca="1">IF(OR($D140&lt;&gt;"Serviço",AND(AUTOEVENTO="Manual",$M140=$A$15)),0,
         IF(OFFSET(CRONOPLE!$F$15,$M140-$A$15,BM$13)=0,10^12,OFFSET(CRONOPLE!$F$15,$M140-$A$15,BM$13)))</f>
        <v>1000000000000</v>
      </c>
      <c r="BN140" s="171">
        <f ca="1">IF(OR($D140&lt;&gt;"Serviço",AND(AUTOEVENTO="Manual",$M140=$A$15)),0,
         IF(OFFSET(CRONOPLE!$F$15,$M140-$A$15,BN$13)=0,10^12,OFFSET(CRONOPLE!$F$15,$M140-$A$15,BN$13)))</f>
        <v>1000000000000</v>
      </c>
      <c r="BO140" s="171">
        <f ca="1">IF(OR($D140&lt;&gt;"Serviço",AND(AUTOEVENTO="Manual",$M140=$A$15)),0,
         IF(OFFSET(CRONOPLE!$F$15,$M140-$A$15,BO$13)=0,10^12,OFFSET(CRONOPLE!$F$15,$M140-$A$15,BO$13)))</f>
        <v>1000000000000</v>
      </c>
      <c r="BP140" s="171">
        <f ca="1">IF(OR($D140&lt;&gt;"Serviço",AND(AUTOEVENTO="Manual",$M140=$A$15)),0,
         IF(OFFSET(CRONOPLE!$F$15,$M140-$A$15,BP$13)=0,10^12,OFFSET(CRONOPLE!$F$15,$M140-$A$15,BP$13)))</f>
        <v>1000000000000</v>
      </c>
      <c r="BQ140" s="171">
        <f ca="1">IF(OR($D140&lt;&gt;"Serviço",AND(AUTOEVENTO="Manual",$M140=$A$15)),0,
         IF(OFFSET(CRONOPLE!$F$15,$M140-$A$15,BQ$13)=0,10^12,OFFSET(CRONOPLE!$F$15,$M140-$A$15,BQ$13)))</f>
        <v>1000000000000</v>
      </c>
      <c r="BR140" s="171">
        <f ca="1">IF(OR($D140&lt;&gt;"Serviço",AND(AUTOEVENTO="Manual",$M140=$A$15)),0,
         IF(OFFSET(CRONOPLE!$F$15,$M140-$A$15,BR$13)=0,10^12,OFFSET(CRONOPLE!$F$15,$M140-$A$15,BR$13)))</f>
        <v>1000000000000</v>
      </c>
      <c r="BS140" s="171">
        <f ca="1">IF(OR($D140&lt;&gt;"Serviço",AND(AUTOEVENTO="Manual",$M140=$A$15)),0,
         IF(OFFSET(CRONOPLE!$F$15,$M140-$A$15,BS$13)=0,10^12,OFFSET(CRONOPLE!$F$15,$M140-$A$15,BS$13)))</f>
        <v>1000000000000</v>
      </c>
      <c r="BT140" s="171">
        <f ca="1">IF(OR($D140&lt;&gt;"Serviço",AND(AUTOEVENTO="Manual",$M140=$A$15)),0,
         IF(OFFSET(CRONOPLE!$F$15,$M140-$A$15,BT$13)=0,10^12,OFFSET(CRONOPLE!$F$15,$M140-$A$15,BT$13)))</f>
        <v>1000000000000</v>
      </c>
      <c r="BV140" s="172">
        <f ca="1">IF(OR($D140&lt;&gt;"Serviço",AND(AUTOEVENTO="Manual",$M140=$A$15),$M140&gt;(ROW(PLE.lastrow)-ROW(PLE.firstrow))),0,
           IF(OFFSET(PLE!$G$15,$M140-$A$15,BV$13)="",10^12,OFFSET(PLE!$G$15,$M140-$A$15,BV$13)))</f>
        <v>1000000000000</v>
      </c>
      <c r="BW140" s="172">
        <f ca="1">IF(OR($D140&lt;&gt;"Serviço",AND(AUTOEVENTO="Manual",$M140=$A$15),$M140&gt;(ROW(PLE.lastrow)-ROW(PLE.firstrow))),0,
           IF(OFFSET(PLE!$G$15,$M140-$A$15,BW$13)="",10^12,OFFSET(PLE!$G$15,$M140-$A$15,BW$13)))</f>
        <v>1000000000000</v>
      </c>
      <c r="BX140" s="172">
        <f ca="1">IF(OR($D140&lt;&gt;"Serviço",AND(AUTOEVENTO="Manual",$M140=$A$15),$M140&gt;(ROW(PLE.lastrow)-ROW(PLE.firstrow))),0,
           IF(OFFSET(PLE!$G$15,$M140-$A$15,BX$13)="",10^12,OFFSET(PLE!$G$15,$M140-$A$15,BX$13)))</f>
        <v>1000000000000</v>
      </c>
      <c r="BY140" s="172">
        <f ca="1">IF(OR($D140&lt;&gt;"Serviço",AND(AUTOEVENTO="Manual",$M140=$A$15),$M140&gt;(ROW(PLE.lastrow)-ROW(PLE.firstrow))),0,
           IF(OFFSET(PLE!$G$15,$M140-$A$15,BY$13)="",10^12,OFFSET(PLE!$G$15,$M140-$A$15,BY$13)))</f>
        <v>1000000000000</v>
      </c>
      <c r="BZ140" s="172">
        <f ca="1">IF(OR($D140&lt;&gt;"Serviço",AND(AUTOEVENTO="Manual",$M140=$A$15),$M140&gt;(ROW(PLE.lastrow)-ROW(PLE.firstrow))),0,
           IF(OFFSET(PLE!$G$15,$M140-$A$15,BZ$13)="",10^12,OFFSET(PLE!$G$15,$M140-$A$15,BZ$13)))</f>
        <v>1000000000000</v>
      </c>
      <c r="CA140" s="172">
        <f ca="1">IF(OR($D140&lt;&gt;"Serviço",AND(AUTOEVENTO="Manual",$M140=$A$15),$M140&gt;(ROW(PLE.lastrow)-ROW(PLE.firstrow))),0,
           IF(OFFSET(PLE!$G$15,$M140-$A$15,CA$13)="",10^12,OFFSET(PLE!$G$15,$M140-$A$15,CA$13)))</f>
        <v>1000000000000</v>
      </c>
      <c r="CB140" s="172">
        <f ca="1">IF(OR($D140&lt;&gt;"Serviço",AND(AUTOEVENTO="Manual",$M140=$A$15),$M140&gt;(ROW(PLE.lastrow)-ROW(PLE.firstrow))),0,
           IF(OFFSET(PLE!$G$15,$M140-$A$15,CB$13)="",10^12,OFFSET(PLE!$G$15,$M140-$A$15,CB$13)))</f>
        <v>1000000000000</v>
      </c>
      <c r="CC140" s="172">
        <f ca="1">IF(OR($D140&lt;&gt;"Serviço",AND(AUTOEVENTO="Manual",$M140=$A$15),$M140&gt;(ROW(PLE.lastrow)-ROW(PLE.firstrow))),0,
           IF(OFFSET(PLE!$G$15,$M140-$A$15,CC$13)="",10^12,OFFSET(PLE!$G$15,$M140-$A$15,CC$13)))</f>
        <v>1000000000000</v>
      </c>
      <c r="CD140" s="172">
        <f ca="1">IF(OR($D140&lt;&gt;"Serviço",AND(AUTOEVENTO="Manual",$M140=$A$15),$M140&gt;(ROW(PLE.lastrow)-ROW(PLE.firstrow))),0,
           IF(OFFSET(PLE!$G$15,$M140-$A$15,CD$13)="",10^12,OFFSET(PLE!$G$15,$M140-$A$15,CD$13)))</f>
        <v>1000000000000</v>
      </c>
      <c r="CE140" s="172">
        <f ca="1">IF(OR($D140&lt;&gt;"Serviço",AND(AUTOEVENTO="Manual",$M140=$A$15),$M140&gt;(ROW(PLE.lastrow)-ROW(PLE.firstrow))),0,
           IF(OFFSET(PLE!$G$15,$M140-$A$15,CE$13)="",10^12,OFFSET(PLE!$G$15,$M140-$A$15,CE$13)))</f>
        <v>1000000000000</v>
      </c>
      <c r="CF140" s="172">
        <f ca="1">IF(OR($D140&lt;&gt;"Serviço",AND(AUTOEVENTO="Manual",$M140=$A$15),$M140&gt;(ROW(PLE.lastrow)-ROW(PLE.firstrow))),0,
           IF(OFFSET(PLE!$G$15,$M140-$A$15,CF$13)="",10^12,OFFSET(PLE!$G$15,$M140-$A$15,CF$13)))</f>
        <v>1000000000000</v>
      </c>
      <c r="CG140" s="172">
        <f ca="1">IF(OR($D140&lt;&gt;"Serviço",AND(AUTOEVENTO="Manual",$M140=$A$15),$M140&gt;(ROW(PLE.lastrow)-ROW(PLE.firstrow))),0,
           IF(OFFSET(PLE!$G$15,$M140-$A$15,CG$13)="",10^12,OFFSET(PLE!$G$15,$M140-$A$15,CG$13)))</f>
        <v>1000000000000</v>
      </c>
      <c r="CH140" s="172">
        <f ca="1">IF(OR($D140&lt;&gt;"Serviço",AND(AUTOEVENTO="Manual",$M140=$A$15),$M140&gt;(ROW(PLE.lastrow)-ROW(PLE.firstrow))),0,
           IF(OFFSET(PLE!$G$15,$M140-$A$15,CH$13)="",10^12,OFFSET(PLE!$G$15,$M140-$A$15,CH$13)))</f>
        <v>1000000000000</v>
      </c>
      <c r="CI140" s="172">
        <f ca="1">IF(OR($D140&lt;&gt;"Serviço",AND(AUTOEVENTO="Manual",$M140=$A$15),$M140&gt;(ROW(PLE.lastrow)-ROW(PLE.firstrow))),0,
           IF(OFFSET(PLE!$G$15,$M140-$A$15,CI$13)="",10^12,OFFSET(PLE!$G$15,$M140-$A$15,CI$13)))</f>
        <v>1000000000000</v>
      </c>
      <c r="CJ140" s="172">
        <f ca="1">IF(OR($D140&lt;&gt;"Serviço",AND(AUTOEVENTO="Manual",$M140=$A$15),$M140&gt;(ROW(PLE.lastrow)-ROW(PLE.firstrow))),0,
           IF(OFFSET(PLE!$G$15,$M140-$A$15,CJ$13)="",10^12,OFFSET(PLE!$G$15,$M140-$A$15,CJ$13)))</f>
        <v>1000000000000</v>
      </c>
      <c r="CK140" s="172">
        <f ca="1">IF(OR($D140&lt;&gt;"Serviço",AND(AUTOEVENTO="Manual",$M140=$A$15),$M140&gt;(ROW(PLE.lastrow)-ROW(PLE.firstrow))),0,
           IF(OFFSET(PLE!$G$15,$M140-$A$15,CK$13)="",10^12,OFFSET(PLE!$G$15,$M140-$A$15,CK$13)))</f>
        <v>1000000000000</v>
      </c>
      <c r="CL140" s="172">
        <f ca="1">IF(OR($D140&lt;&gt;"Serviço",AND(AUTOEVENTO="Manual",$M140=$A$15),$M140&gt;(ROW(PLE.lastrow)-ROW(PLE.firstrow))),0,
           IF(OFFSET(PLE!$G$15,$M140-$A$15,CL$13)="",10^12,OFFSET(PLE!$G$15,$M140-$A$15,CL$13)))</f>
        <v>1000000000000</v>
      </c>
      <c r="CM140" s="172">
        <f ca="1">IF(OR($D140&lt;&gt;"Serviço",AND(AUTOEVENTO="Manual",$M140=$A$15),$M140&gt;(ROW(PLE.lastrow)-ROW(PLE.firstrow))),0,
           IF(OFFSET(PLE!$G$15,$M140-$A$15,CM$13)="",10^12,OFFSET(PLE!$G$15,$M140-$A$15,CM$13)))</f>
        <v>1000000000000</v>
      </c>
    </row>
    <row r="141" spans="1:91" ht="13.2" x14ac:dyDescent="0.25">
      <c r="A141" s="7" t="str">
        <f t="shared" ca="1" si="11"/>
        <v>126.</v>
      </c>
      <c r="B141" s="7">
        <f ca="1">OFFSET(ORÇAMENTO!C$15,ROW(B141)-ROW(B$15),0)</f>
        <v>2</v>
      </c>
      <c r="C141" s="7" t="str">
        <f ca="1">OFFSET(ORÇAMENTO!L$15,ROW(C141)-ROW(C$15),0)</f>
        <v>F</v>
      </c>
      <c r="D141" s="116" t="str">
        <f ca="1">OFFSET(ORÇAMENTO!N$15,ROW(D141)-ROW(D$15),0)</f>
        <v>Nível 2</v>
      </c>
      <c r="E141" s="117" t="str">
        <f ca="1">OFFSET(ORÇAMENTO!O$15,ROW(E141)-ROW(E$15),0)</f>
        <v>4.2.</v>
      </c>
      <c r="F141" s="163" t="str">
        <f ca="1">OFFSET(ORÇAMENTO!R$15,ROW(F141)-ROW(F$15),0)</f>
        <v>PAVIMENTAÇÃO</v>
      </c>
      <c r="G141" s="164" t="str">
        <f ca="1">IF($D141&lt;&gt;"Serviço","",OFFSET(ORÇAMENTO!S$15,ROW(G141)-ROW(G$15),0))</f>
        <v/>
      </c>
      <c r="H141" s="122" cm="1">
        <f t="array" aca="1" ref="H141" ca="1">IF($D141&lt;&gt;"Serviço",0,IF(ACOMPANHAMENTO="BM",ROUND(OFFSET(ORÇAMENTO!AJ$15,ROW(H141)-ROW(H$15),0),15-13*ORÇAMENTO!$AF$7),SUMPRODUCT(($Q$1:$AI$1=1)*ROUND($Q141:$AI141,15-13*ORÇAMENTO!$AF$7))))</f>
        <v>0</v>
      </c>
      <c r="I141" s="468"/>
      <c r="J141" s="651" t="str" cm="1">
        <f t="array" aca="1" ref="J141" ca="1">IF(OR(B141&lt;&gt;"S",CÁLCULO.FrentesPreenchidas=0),"",IF(AND(ACOMPANHAMENTO="PLE",AUTOEVENTO="Manual",OR(H141&gt;0,ORÇAMENTO!AC141="QUANT."),OR(K141="",M141=0,N141="")),"►E",IF(AND(ACOMPANHAMENTO="PLE",ORÇAMENTO!AC141="QUANT."),"►Q",IF(AND(ACOMPANHAMENTO="PLE",H141&lt;&gt;SUMPRODUCT(($Q$1:$AI$1=1)*ROUND(Q141:AI141,15))),"►S",IF(AND(COUNTIF($P$11:$AI$11,"▼")=0,H141&gt;0,I141=""),"◄M","")))))</f>
        <v/>
      </c>
      <c r="K141" s="652"/>
      <c r="L141" s="165" t="s">
        <v>764</v>
      </c>
      <c r="M141" s="166" t="str">
        <f ca="1">IF($D141&lt;&gt;"Serviço","",
          IF(AUTOEVENTO="manual",$A141,
                IF(ISERROR(MATCH($A141,$A$15:OFFSET($A141,-1,0),0)),MAX($M$15:OFFSET(M141,-1,0))+1,
                      INDEX($M$15:OFFSET(M141,-1,0),MATCH($A141,$A$15:OFFSET($A141,-1,0),0)))))</f>
        <v/>
      </c>
      <c r="N141" s="167" t="str">
        <f ca="1">IF($D141&lt;&gt;"Serviço","",
         IF(AUTOEVENTO="Manual",
                IF($A141=0,"&lt;-- defina o número do agrupador",
                       OFFSET(EVENTOS!$D$15,$A141-$A$15,0)),
                OFFSET($F$15,$A141,0)))</f>
        <v/>
      </c>
      <c r="O141" s="168"/>
      <c r="Q141" s="168"/>
      <c r="R141" s="169"/>
      <c r="S141" s="169"/>
      <c r="T141" s="169"/>
      <c r="U141" s="169"/>
      <c r="V141" s="169"/>
      <c r="W141" s="169"/>
      <c r="X141" s="169"/>
      <c r="Y141" s="169"/>
      <c r="Z141" s="170"/>
      <c r="AA141" s="169"/>
      <c r="AB141" s="169"/>
      <c r="AC141" s="169"/>
      <c r="AD141" s="169"/>
      <c r="AE141" s="169"/>
      <c r="AF141" s="169"/>
      <c r="AG141" s="169"/>
      <c r="AH141" s="170"/>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L141" s="453">
        <f ca="1">IF(AND($D141="Serviço",AL$12&lt;&gt;0,$H141&gt;0,OR(AUTOEVENTO&lt;&gt;"manual",$M141&lt;&gt;$A$15)),
        IF(Import.TipoArredondamento&lt;&gt;"TransfereGOV",
              ROUND(OFFSET($P141,0,AL$13),15-13*ORÇAMENTO!$AF$7)/$H141*OFFSET(ORÇAMENTO!$X$15,ROW(AL141)-ROW(AL$15),0),
              ROUND(ROUND(OFFSET($P141,0,AL$13),15-13*ORÇAMENTO!$AF$7)*OFFSET(ORÇAMENTO!$W$15,ROW(AL141)-ROW(AL$15),0),15-13*ORÇAMENTO!$AF$11)),
         0)</f>
        <v>0</v>
      </c>
      <c r="AM141" s="453">
        <f ca="1">IF(AND($D141="Serviço",AM$12&lt;&gt;0,$H141&gt;0,OR(AUTOEVENTO&lt;&gt;"manual",$M141&lt;&gt;$A$15)),
        IF(Import.TipoArredondamento&lt;&gt;"TransfereGOV",
              ROUND(OFFSET($P141,0,AM$13),15-13*ORÇAMENTO!$AF$7)/$H141*OFFSET(ORÇAMENTO!$X$15,ROW(AM141)-ROW(AM$15),0),
              ROUND(ROUND(OFFSET($P141,0,AM$13),15-13*ORÇAMENTO!$AF$7)*OFFSET(ORÇAMENTO!$W$15,ROW(AM141)-ROW(AM$15),0),15-13*ORÇAMENTO!$AF$11)),
         0)</f>
        <v>0</v>
      </c>
      <c r="AN141" s="453">
        <f ca="1">IF(AND($D141="Serviço",AN$12&lt;&gt;0,$H141&gt;0,OR(AUTOEVENTO&lt;&gt;"manual",$M141&lt;&gt;$A$15)),
        IF(Import.TipoArredondamento&lt;&gt;"TransfereGOV",
              ROUND(OFFSET($P141,0,AN$13),15-13*ORÇAMENTO!$AF$7)/$H141*OFFSET(ORÇAMENTO!$X$15,ROW(AN141)-ROW(AN$15),0),
              ROUND(ROUND(OFFSET($P141,0,AN$13),15-13*ORÇAMENTO!$AF$7)*OFFSET(ORÇAMENTO!$W$15,ROW(AN141)-ROW(AN$15),0),15-13*ORÇAMENTO!$AF$11)),
         0)</f>
        <v>0</v>
      </c>
      <c r="AO141" s="453">
        <f ca="1">IF(AND($D141="Serviço",AO$12&lt;&gt;0,$H141&gt;0,OR(AUTOEVENTO&lt;&gt;"manual",$M141&lt;&gt;$A$15)),
        IF(Import.TipoArredondamento&lt;&gt;"TransfereGOV",
              ROUND(OFFSET($P141,0,AO$13),15-13*ORÇAMENTO!$AF$7)/$H141*OFFSET(ORÇAMENTO!$X$15,ROW(AO141)-ROW(AO$15),0),
              ROUND(ROUND(OFFSET($P141,0,AO$13),15-13*ORÇAMENTO!$AF$7)*OFFSET(ORÇAMENTO!$W$15,ROW(AO141)-ROW(AO$15),0),15-13*ORÇAMENTO!$AF$11)),
         0)</f>
        <v>0</v>
      </c>
      <c r="AP141" s="453">
        <f ca="1">IF(AND($D141="Serviço",AP$12&lt;&gt;0,$H141&gt;0,OR(AUTOEVENTO&lt;&gt;"manual",$M141&lt;&gt;$A$15)),
        IF(Import.TipoArredondamento&lt;&gt;"TransfereGOV",
              ROUND(OFFSET($P141,0,AP$13),15-13*ORÇAMENTO!$AF$7)/$H141*OFFSET(ORÇAMENTO!$X$15,ROW(AP141)-ROW(AP$15),0),
              ROUND(ROUND(OFFSET($P141,0,AP$13),15-13*ORÇAMENTO!$AF$7)*OFFSET(ORÇAMENTO!$W$15,ROW(AP141)-ROW(AP$15),0),15-13*ORÇAMENTO!$AF$11)),
         0)</f>
        <v>0</v>
      </c>
      <c r="AQ141" s="453">
        <f ca="1">IF(AND($D141="Serviço",AQ$12&lt;&gt;0,$H141&gt;0,OR(AUTOEVENTO&lt;&gt;"manual",$M141&lt;&gt;$A$15)),
        IF(Import.TipoArredondamento&lt;&gt;"TransfereGOV",
              ROUND(OFFSET($P141,0,AQ$13),15-13*ORÇAMENTO!$AF$7)/$H141*OFFSET(ORÇAMENTO!$X$15,ROW(AQ141)-ROW(AQ$15),0),
              ROUND(ROUND(OFFSET($P141,0,AQ$13),15-13*ORÇAMENTO!$AF$7)*OFFSET(ORÇAMENTO!$W$15,ROW(AQ141)-ROW(AQ$15),0),15-13*ORÇAMENTO!$AF$11)),
         0)</f>
        <v>0</v>
      </c>
      <c r="AR141" s="453">
        <f ca="1">IF(AND($D141="Serviço",AR$12&lt;&gt;0,$H141&gt;0,OR(AUTOEVENTO&lt;&gt;"manual",$M141&lt;&gt;$A$15)),
        IF(Import.TipoArredondamento&lt;&gt;"TransfereGOV",
              ROUND(OFFSET($P141,0,AR$13),15-13*ORÇAMENTO!$AF$7)/$H141*OFFSET(ORÇAMENTO!$X$15,ROW(AR141)-ROW(AR$15),0),
              ROUND(ROUND(OFFSET($P141,0,AR$13),15-13*ORÇAMENTO!$AF$7)*OFFSET(ORÇAMENTO!$W$15,ROW(AR141)-ROW(AR$15),0),15-13*ORÇAMENTO!$AF$11)),
         0)</f>
        <v>0</v>
      </c>
      <c r="AS141" s="453">
        <f ca="1">IF(AND($D141="Serviço",AS$12&lt;&gt;0,$H141&gt;0,OR(AUTOEVENTO&lt;&gt;"manual",$M141&lt;&gt;$A$15)),
        IF(Import.TipoArredondamento&lt;&gt;"TransfereGOV",
              ROUND(OFFSET($P141,0,AS$13),15-13*ORÇAMENTO!$AF$7)/$H141*OFFSET(ORÇAMENTO!$X$15,ROW(AS141)-ROW(AS$15),0),
              ROUND(ROUND(OFFSET($P141,0,AS$13),15-13*ORÇAMENTO!$AF$7)*OFFSET(ORÇAMENTO!$W$15,ROW(AS141)-ROW(AS$15),0),15-13*ORÇAMENTO!$AF$11)),
         0)</f>
        <v>0</v>
      </c>
      <c r="AT141" s="453">
        <f ca="1">IF(AND($D141="Serviço",AT$12&lt;&gt;0,$H141&gt;0,OR(AUTOEVENTO&lt;&gt;"manual",$M141&lt;&gt;$A$15)),
        IF(Import.TipoArredondamento&lt;&gt;"TransfereGOV",
              ROUND(OFFSET($P141,0,AT$13),15-13*ORÇAMENTO!$AF$7)/$H141*OFFSET(ORÇAMENTO!$X$15,ROW(AT141)-ROW(AT$15),0),
              ROUND(ROUND(OFFSET($P141,0,AT$13),15-13*ORÇAMENTO!$AF$7)*OFFSET(ORÇAMENTO!$W$15,ROW(AT141)-ROW(AT$15),0),15-13*ORÇAMENTO!$AF$11)),
         0)</f>
        <v>0</v>
      </c>
      <c r="AU141" s="453">
        <f ca="1">IF(AND($D141="Serviço",AU$12&lt;&gt;0,$H141&gt;0,OR(AUTOEVENTO&lt;&gt;"manual",$M141&lt;&gt;$A$15)),
        IF(Import.TipoArredondamento&lt;&gt;"TransfereGOV",
              ROUND(OFFSET($P141,0,AU$13),15-13*ORÇAMENTO!$AF$7)/$H141*OFFSET(ORÇAMENTO!$X$15,ROW(AU141)-ROW(AU$15),0),
              ROUND(ROUND(OFFSET($P141,0,AU$13),15-13*ORÇAMENTO!$AF$7)*OFFSET(ORÇAMENTO!$W$15,ROW(AU141)-ROW(AU$15),0),15-13*ORÇAMENTO!$AF$11)),
         0)</f>
        <v>0</v>
      </c>
      <c r="AV141" s="453">
        <f ca="1">IF(AND($D141="Serviço",AV$12&lt;&gt;0,$H141&gt;0,OR(AUTOEVENTO&lt;&gt;"manual",$M141&lt;&gt;$A$15)),
        IF(Import.TipoArredondamento&lt;&gt;"TransfereGOV",
              ROUND(OFFSET($P141,0,AV$13),15-13*ORÇAMENTO!$AF$7)/$H141*OFFSET(ORÇAMENTO!$X$15,ROW(AV141)-ROW(AV$15),0),
              ROUND(ROUND(OFFSET($P141,0,AV$13),15-13*ORÇAMENTO!$AF$7)*OFFSET(ORÇAMENTO!$W$15,ROW(AV141)-ROW(AV$15),0),15-13*ORÇAMENTO!$AF$11)),
         0)</f>
        <v>0</v>
      </c>
      <c r="AW141" s="453">
        <f ca="1">IF(AND($D141="Serviço",AW$12&lt;&gt;0,$H141&gt;0,OR(AUTOEVENTO&lt;&gt;"manual",$M141&lt;&gt;$A$15)),
        IF(Import.TipoArredondamento&lt;&gt;"TransfereGOV",
              ROUND(OFFSET($P141,0,AW$13),15-13*ORÇAMENTO!$AF$7)/$H141*OFFSET(ORÇAMENTO!$X$15,ROW(AW141)-ROW(AW$15),0),
              ROUND(ROUND(OFFSET($P141,0,AW$13),15-13*ORÇAMENTO!$AF$7)*OFFSET(ORÇAMENTO!$W$15,ROW(AW141)-ROW(AW$15),0),15-13*ORÇAMENTO!$AF$11)),
         0)</f>
        <v>0</v>
      </c>
      <c r="AX141" s="453">
        <f ca="1">IF(AND($D141="Serviço",AX$12&lt;&gt;0,$H141&gt;0,OR(AUTOEVENTO&lt;&gt;"manual",$M141&lt;&gt;$A$15)),
        IF(Import.TipoArredondamento&lt;&gt;"TransfereGOV",
              ROUND(OFFSET($P141,0,AX$13),15-13*ORÇAMENTO!$AF$7)/$H141*OFFSET(ORÇAMENTO!$X$15,ROW(AX141)-ROW(AX$15),0),
              ROUND(ROUND(OFFSET($P141,0,AX$13),15-13*ORÇAMENTO!$AF$7)*OFFSET(ORÇAMENTO!$W$15,ROW(AX141)-ROW(AX$15),0),15-13*ORÇAMENTO!$AF$11)),
         0)</f>
        <v>0</v>
      </c>
      <c r="AY141" s="453">
        <f ca="1">IF(AND($D141="Serviço",AY$12&lt;&gt;0,$H141&gt;0,OR(AUTOEVENTO&lt;&gt;"manual",$M141&lt;&gt;$A$15)),
        IF(Import.TipoArredondamento&lt;&gt;"TransfereGOV",
              ROUND(OFFSET($P141,0,AY$13),15-13*ORÇAMENTO!$AF$7)/$H141*OFFSET(ORÇAMENTO!$X$15,ROW(AY141)-ROW(AY$15),0),
              ROUND(ROUND(OFFSET($P141,0,AY$13),15-13*ORÇAMENTO!$AF$7)*OFFSET(ORÇAMENTO!$W$15,ROW(AY141)-ROW(AY$15),0),15-13*ORÇAMENTO!$AF$11)),
         0)</f>
        <v>0</v>
      </c>
      <c r="AZ141" s="453">
        <f ca="1">IF(AND($D141="Serviço",AZ$12&lt;&gt;0,$H141&gt;0,OR(AUTOEVENTO&lt;&gt;"manual",$M141&lt;&gt;$A$15)),
        IF(Import.TipoArredondamento&lt;&gt;"TransfereGOV",
              ROUND(OFFSET($P141,0,AZ$13),15-13*ORÇAMENTO!$AF$7)/$H141*OFFSET(ORÇAMENTO!$X$15,ROW(AZ141)-ROW(AZ$15),0),
              ROUND(ROUND(OFFSET($P141,0,AZ$13),15-13*ORÇAMENTO!$AF$7)*OFFSET(ORÇAMENTO!$W$15,ROW(AZ141)-ROW(AZ$15),0),15-13*ORÇAMENTO!$AF$11)),
         0)</f>
        <v>0</v>
      </c>
      <c r="BA141" s="453">
        <f ca="1">IF(AND($D141="Serviço",BA$12&lt;&gt;0,$H141&gt;0,OR(AUTOEVENTO&lt;&gt;"manual",$M141&lt;&gt;$A$15)),
        IF(Import.TipoArredondamento&lt;&gt;"TransfereGOV",
              ROUND(OFFSET($P141,0,BA$13),15-13*ORÇAMENTO!$AF$7)/$H141*OFFSET(ORÇAMENTO!$X$15,ROW(BA141)-ROW(BA$15),0),
              ROUND(ROUND(OFFSET($P141,0,BA$13),15-13*ORÇAMENTO!$AF$7)*OFFSET(ORÇAMENTO!$W$15,ROW(BA141)-ROW(BA$15),0),15-13*ORÇAMENTO!$AF$11)),
         0)</f>
        <v>0</v>
      </c>
      <c r="BC141" s="171">
        <f ca="1">IF(OR($D141&lt;&gt;"Serviço",AND(AUTOEVENTO="Manual",$M141=$A$15)),0,
         IF(OFFSET(CRONOPLE!$F$15,$M141-$A$15,BC$13)=0,10^12,OFFSET(CRONOPLE!$F$15,$M141-$A$15,BC$13)))</f>
        <v>0</v>
      </c>
      <c r="BD141" s="171">
        <f ca="1">IF(OR($D141&lt;&gt;"Serviço",AND(AUTOEVENTO="Manual",$M141=$A$15)),0,
         IF(OFFSET(CRONOPLE!$F$15,$M141-$A$15,BD$13)=0,10^12,OFFSET(CRONOPLE!$F$15,$M141-$A$15,BD$13)))</f>
        <v>0</v>
      </c>
      <c r="BE141" s="171">
        <f ca="1">IF(OR($D141&lt;&gt;"Serviço",AND(AUTOEVENTO="Manual",$M141=$A$15)),0,
         IF(OFFSET(CRONOPLE!$F$15,$M141-$A$15,BE$13)=0,10^12,OFFSET(CRONOPLE!$F$15,$M141-$A$15,BE$13)))</f>
        <v>0</v>
      </c>
      <c r="BF141" s="171">
        <f ca="1">IF(OR($D141&lt;&gt;"Serviço",AND(AUTOEVENTO="Manual",$M141=$A$15)),0,
         IF(OFFSET(CRONOPLE!$F$15,$M141-$A$15,BF$13)=0,10^12,OFFSET(CRONOPLE!$F$15,$M141-$A$15,BF$13)))</f>
        <v>0</v>
      </c>
      <c r="BG141" s="171">
        <f ca="1">IF(OR($D141&lt;&gt;"Serviço",AND(AUTOEVENTO="Manual",$M141=$A$15)),0,
         IF(OFFSET(CRONOPLE!$F$15,$M141-$A$15,BG$13)=0,10^12,OFFSET(CRONOPLE!$F$15,$M141-$A$15,BG$13)))</f>
        <v>0</v>
      </c>
      <c r="BH141" s="171">
        <f ca="1">IF(OR($D141&lt;&gt;"Serviço",AND(AUTOEVENTO="Manual",$M141=$A$15)),0,
         IF(OFFSET(CRONOPLE!$F$15,$M141-$A$15,BH$13)=0,10^12,OFFSET(CRONOPLE!$F$15,$M141-$A$15,BH$13)))</f>
        <v>0</v>
      </c>
      <c r="BI141" s="171">
        <f ca="1">IF(OR($D141&lt;&gt;"Serviço",AND(AUTOEVENTO="Manual",$M141=$A$15)),0,
         IF(OFFSET(CRONOPLE!$F$15,$M141-$A$15,BI$13)=0,10^12,OFFSET(CRONOPLE!$F$15,$M141-$A$15,BI$13)))</f>
        <v>0</v>
      </c>
      <c r="BJ141" s="171">
        <f ca="1">IF(OR($D141&lt;&gt;"Serviço",AND(AUTOEVENTO="Manual",$M141=$A$15)),0,
         IF(OFFSET(CRONOPLE!$F$15,$M141-$A$15,BJ$13)=0,10^12,OFFSET(CRONOPLE!$F$15,$M141-$A$15,BJ$13)))</f>
        <v>0</v>
      </c>
      <c r="BK141" s="171">
        <f ca="1">IF(OR($D141&lt;&gt;"Serviço",AND(AUTOEVENTO="Manual",$M141=$A$15)),0,
         IF(OFFSET(CRONOPLE!$F$15,$M141-$A$15,BK$13)=0,10^12,OFFSET(CRONOPLE!$F$15,$M141-$A$15,BK$13)))</f>
        <v>0</v>
      </c>
      <c r="BL141" s="171">
        <f ca="1">IF(OR($D141&lt;&gt;"Serviço",AND(AUTOEVENTO="Manual",$M141=$A$15)),0,
         IF(OFFSET(CRONOPLE!$F$15,$M141-$A$15,BL$13)=0,10^12,OFFSET(CRONOPLE!$F$15,$M141-$A$15,BL$13)))</f>
        <v>0</v>
      </c>
      <c r="BM141" s="171">
        <f ca="1">IF(OR($D141&lt;&gt;"Serviço",AND(AUTOEVENTO="Manual",$M141=$A$15)),0,
         IF(OFFSET(CRONOPLE!$F$15,$M141-$A$15,BM$13)=0,10^12,OFFSET(CRONOPLE!$F$15,$M141-$A$15,BM$13)))</f>
        <v>0</v>
      </c>
      <c r="BN141" s="171">
        <f ca="1">IF(OR($D141&lt;&gt;"Serviço",AND(AUTOEVENTO="Manual",$M141=$A$15)),0,
         IF(OFFSET(CRONOPLE!$F$15,$M141-$A$15,BN$13)=0,10^12,OFFSET(CRONOPLE!$F$15,$M141-$A$15,BN$13)))</f>
        <v>0</v>
      </c>
      <c r="BO141" s="171">
        <f ca="1">IF(OR($D141&lt;&gt;"Serviço",AND(AUTOEVENTO="Manual",$M141=$A$15)),0,
         IF(OFFSET(CRONOPLE!$F$15,$M141-$A$15,BO$13)=0,10^12,OFFSET(CRONOPLE!$F$15,$M141-$A$15,BO$13)))</f>
        <v>0</v>
      </c>
      <c r="BP141" s="171">
        <f ca="1">IF(OR($D141&lt;&gt;"Serviço",AND(AUTOEVENTO="Manual",$M141=$A$15)),0,
         IF(OFFSET(CRONOPLE!$F$15,$M141-$A$15,BP$13)=0,10^12,OFFSET(CRONOPLE!$F$15,$M141-$A$15,BP$13)))</f>
        <v>0</v>
      </c>
      <c r="BQ141" s="171">
        <f ca="1">IF(OR($D141&lt;&gt;"Serviço",AND(AUTOEVENTO="Manual",$M141=$A$15)),0,
         IF(OFFSET(CRONOPLE!$F$15,$M141-$A$15,BQ$13)=0,10^12,OFFSET(CRONOPLE!$F$15,$M141-$A$15,BQ$13)))</f>
        <v>0</v>
      </c>
      <c r="BR141" s="171">
        <f ca="1">IF(OR($D141&lt;&gt;"Serviço",AND(AUTOEVENTO="Manual",$M141=$A$15)),0,
         IF(OFFSET(CRONOPLE!$F$15,$M141-$A$15,BR$13)=0,10^12,OFFSET(CRONOPLE!$F$15,$M141-$A$15,BR$13)))</f>
        <v>0</v>
      </c>
      <c r="BS141" s="171">
        <f ca="1">IF(OR($D141&lt;&gt;"Serviço",AND(AUTOEVENTO="Manual",$M141=$A$15)),0,
         IF(OFFSET(CRONOPLE!$F$15,$M141-$A$15,BS$13)=0,10^12,OFFSET(CRONOPLE!$F$15,$M141-$A$15,BS$13)))</f>
        <v>0</v>
      </c>
      <c r="BT141" s="171">
        <f ca="1">IF(OR($D141&lt;&gt;"Serviço",AND(AUTOEVENTO="Manual",$M141=$A$15)),0,
         IF(OFFSET(CRONOPLE!$F$15,$M141-$A$15,BT$13)=0,10^12,OFFSET(CRONOPLE!$F$15,$M141-$A$15,BT$13)))</f>
        <v>0</v>
      </c>
      <c r="BV141" s="172">
        <f ca="1">IF(OR($D141&lt;&gt;"Serviço",AND(AUTOEVENTO="Manual",$M141=$A$15),$M141&gt;(ROW(PLE.lastrow)-ROW(PLE.firstrow))),0,
           IF(OFFSET(PLE!$G$15,$M141-$A$15,BV$13)="",10^12,OFFSET(PLE!$G$15,$M141-$A$15,BV$13)))</f>
        <v>0</v>
      </c>
      <c r="BW141" s="172">
        <f ca="1">IF(OR($D141&lt;&gt;"Serviço",AND(AUTOEVENTO="Manual",$M141=$A$15),$M141&gt;(ROW(PLE.lastrow)-ROW(PLE.firstrow))),0,
           IF(OFFSET(PLE!$G$15,$M141-$A$15,BW$13)="",10^12,OFFSET(PLE!$G$15,$M141-$A$15,BW$13)))</f>
        <v>0</v>
      </c>
      <c r="BX141" s="172">
        <f ca="1">IF(OR($D141&lt;&gt;"Serviço",AND(AUTOEVENTO="Manual",$M141=$A$15),$M141&gt;(ROW(PLE.lastrow)-ROW(PLE.firstrow))),0,
           IF(OFFSET(PLE!$G$15,$M141-$A$15,BX$13)="",10^12,OFFSET(PLE!$G$15,$M141-$A$15,BX$13)))</f>
        <v>0</v>
      </c>
      <c r="BY141" s="172">
        <f ca="1">IF(OR($D141&lt;&gt;"Serviço",AND(AUTOEVENTO="Manual",$M141=$A$15),$M141&gt;(ROW(PLE.lastrow)-ROW(PLE.firstrow))),0,
           IF(OFFSET(PLE!$G$15,$M141-$A$15,BY$13)="",10^12,OFFSET(PLE!$G$15,$M141-$A$15,BY$13)))</f>
        <v>0</v>
      </c>
      <c r="BZ141" s="172">
        <f ca="1">IF(OR($D141&lt;&gt;"Serviço",AND(AUTOEVENTO="Manual",$M141=$A$15),$M141&gt;(ROW(PLE.lastrow)-ROW(PLE.firstrow))),0,
           IF(OFFSET(PLE!$G$15,$M141-$A$15,BZ$13)="",10^12,OFFSET(PLE!$G$15,$M141-$A$15,BZ$13)))</f>
        <v>0</v>
      </c>
      <c r="CA141" s="172">
        <f ca="1">IF(OR($D141&lt;&gt;"Serviço",AND(AUTOEVENTO="Manual",$M141=$A$15),$M141&gt;(ROW(PLE.lastrow)-ROW(PLE.firstrow))),0,
           IF(OFFSET(PLE!$G$15,$M141-$A$15,CA$13)="",10^12,OFFSET(PLE!$G$15,$M141-$A$15,CA$13)))</f>
        <v>0</v>
      </c>
      <c r="CB141" s="172">
        <f ca="1">IF(OR($D141&lt;&gt;"Serviço",AND(AUTOEVENTO="Manual",$M141=$A$15),$M141&gt;(ROW(PLE.lastrow)-ROW(PLE.firstrow))),0,
           IF(OFFSET(PLE!$G$15,$M141-$A$15,CB$13)="",10^12,OFFSET(PLE!$G$15,$M141-$A$15,CB$13)))</f>
        <v>0</v>
      </c>
      <c r="CC141" s="172">
        <f ca="1">IF(OR($D141&lt;&gt;"Serviço",AND(AUTOEVENTO="Manual",$M141=$A$15),$M141&gt;(ROW(PLE.lastrow)-ROW(PLE.firstrow))),0,
           IF(OFFSET(PLE!$G$15,$M141-$A$15,CC$13)="",10^12,OFFSET(PLE!$G$15,$M141-$A$15,CC$13)))</f>
        <v>0</v>
      </c>
      <c r="CD141" s="172">
        <f ca="1">IF(OR($D141&lt;&gt;"Serviço",AND(AUTOEVENTO="Manual",$M141=$A$15),$M141&gt;(ROW(PLE.lastrow)-ROW(PLE.firstrow))),0,
           IF(OFFSET(PLE!$G$15,$M141-$A$15,CD$13)="",10^12,OFFSET(PLE!$G$15,$M141-$A$15,CD$13)))</f>
        <v>0</v>
      </c>
      <c r="CE141" s="172">
        <f ca="1">IF(OR($D141&lt;&gt;"Serviço",AND(AUTOEVENTO="Manual",$M141=$A$15),$M141&gt;(ROW(PLE.lastrow)-ROW(PLE.firstrow))),0,
           IF(OFFSET(PLE!$G$15,$M141-$A$15,CE$13)="",10^12,OFFSET(PLE!$G$15,$M141-$A$15,CE$13)))</f>
        <v>0</v>
      </c>
      <c r="CF141" s="172">
        <f ca="1">IF(OR($D141&lt;&gt;"Serviço",AND(AUTOEVENTO="Manual",$M141=$A$15),$M141&gt;(ROW(PLE.lastrow)-ROW(PLE.firstrow))),0,
           IF(OFFSET(PLE!$G$15,$M141-$A$15,CF$13)="",10^12,OFFSET(PLE!$G$15,$M141-$A$15,CF$13)))</f>
        <v>0</v>
      </c>
      <c r="CG141" s="172">
        <f ca="1">IF(OR($D141&lt;&gt;"Serviço",AND(AUTOEVENTO="Manual",$M141=$A$15),$M141&gt;(ROW(PLE.lastrow)-ROW(PLE.firstrow))),0,
           IF(OFFSET(PLE!$G$15,$M141-$A$15,CG$13)="",10^12,OFFSET(PLE!$G$15,$M141-$A$15,CG$13)))</f>
        <v>0</v>
      </c>
      <c r="CH141" s="172">
        <f ca="1">IF(OR($D141&lt;&gt;"Serviço",AND(AUTOEVENTO="Manual",$M141=$A$15),$M141&gt;(ROW(PLE.lastrow)-ROW(PLE.firstrow))),0,
           IF(OFFSET(PLE!$G$15,$M141-$A$15,CH$13)="",10^12,OFFSET(PLE!$G$15,$M141-$A$15,CH$13)))</f>
        <v>0</v>
      </c>
      <c r="CI141" s="172">
        <f ca="1">IF(OR($D141&lt;&gt;"Serviço",AND(AUTOEVENTO="Manual",$M141=$A$15),$M141&gt;(ROW(PLE.lastrow)-ROW(PLE.firstrow))),0,
           IF(OFFSET(PLE!$G$15,$M141-$A$15,CI$13)="",10^12,OFFSET(PLE!$G$15,$M141-$A$15,CI$13)))</f>
        <v>0</v>
      </c>
      <c r="CJ141" s="172">
        <f ca="1">IF(OR($D141&lt;&gt;"Serviço",AND(AUTOEVENTO="Manual",$M141=$A$15),$M141&gt;(ROW(PLE.lastrow)-ROW(PLE.firstrow))),0,
           IF(OFFSET(PLE!$G$15,$M141-$A$15,CJ$13)="",10^12,OFFSET(PLE!$G$15,$M141-$A$15,CJ$13)))</f>
        <v>0</v>
      </c>
      <c r="CK141" s="172">
        <f ca="1">IF(OR($D141&lt;&gt;"Serviço",AND(AUTOEVENTO="Manual",$M141=$A$15),$M141&gt;(ROW(PLE.lastrow)-ROW(PLE.firstrow))),0,
           IF(OFFSET(PLE!$G$15,$M141-$A$15,CK$13)="",10^12,OFFSET(PLE!$G$15,$M141-$A$15,CK$13)))</f>
        <v>0</v>
      </c>
      <c r="CL141" s="172">
        <f ca="1">IF(OR($D141&lt;&gt;"Serviço",AND(AUTOEVENTO="Manual",$M141=$A$15),$M141&gt;(ROW(PLE.lastrow)-ROW(PLE.firstrow))),0,
           IF(OFFSET(PLE!$G$15,$M141-$A$15,CL$13)="",10^12,OFFSET(PLE!$G$15,$M141-$A$15,CL$13)))</f>
        <v>0</v>
      </c>
      <c r="CM141" s="172">
        <f ca="1">IF(OR($D141&lt;&gt;"Serviço",AND(AUTOEVENTO="Manual",$M141=$A$15),$M141&gt;(ROW(PLE.lastrow)-ROW(PLE.firstrow))),0,
           IF(OFFSET(PLE!$G$15,$M141-$A$15,CM$13)="",10^12,OFFSET(PLE!$G$15,$M141-$A$15,CM$13)))</f>
        <v>0</v>
      </c>
    </row>
    <row r="142" spans="1:91" ht="26.4" x14ac:dyDescent="0.25">
      <c r="A142" s="7" t="str">
        <f t="shared" ca="1" si="11"/>
        <v>126</v>
      </c>
      <c r="B142" s="7" t="str">
        <f ca="1">OFFSET(ORÇAMENTO!C$15,ROW(B142)-ROW(B$15),0)</f>
        <v>S</v>
      </c>
      <c r="C142" s="7" t="str">
        <f ca="1">OFFSET(ORÇAMENTO!L$15,ROW(C142)-ROW(C$15),0)</f>
        <v>F</v>
      </c>
      <c r="D142" s="116" t="str">
        <f ca="1">OFFSET(ORÇAMENTO!N$15,ROW(D142)-ROW(D$15),0)</f>
        <v>Serviço</v>
      </c>
      <c r="E142" s="117" t="str">
        <f ca="1">OFFSET(ORÇAMENTO!O$15,ROW(E142)-ROW(E$15),0)</f>
        <v>4.2.1.</v>
      </c>
      <c r="F142" s="163" t="str">
        <f ca="1">OFFSET(ORÇAMENTO!R$15,ROW(F142)-ROW(F$15),0)</f>
        <v>Base ou sub-base de macadame seco com brita comercial - 100% Proctor modificado</v>
      </c>
      <c r="G142" s="164" t="str">
        <f ca="1">IF($D142&lt;&gt;"Serviço","",OFFSET(ORÇAMENTO!S$15,ROW(G142)-ROW(G$15),0))</f>
        <v>m³</v>
      </c>
      <c r="H142" s="122" cm="1">
        <f t="array" aca="1" ref="H142" ca="1">IF($D142&lt;&gt;"Serviço",0,IF(ACOMPANHAMENTO="BM",ROUND(OFFSET(ORÇAMENTO!AJ$15,ROW(H142)-ROW(H$15),0),15-13*ORÇAMENTO!$AF$7),SUMPRODUCT(($Q$1:$AI$1=1)*ROUND($Q142:$AI142,15-13*ORÇAMENTO!$AF$7))))</f>
        <v>341.1</v>
      </c>
      <c r="I142" s="468"/>
      <c r="J142" s="651" t="e" cm="1">
        <f t="array" aca="1" ref="J142" ca="1">IF(OR(B142&lt;&gt;"S",CÁLCULO.FrentesPreenchidas=0),"",IF(AND(ACOMPANHAMENTO="PLE",AUTOEVENTO="Manual",OR(H142&gt;0,ORÇAMENTO!AC142="QUANT."),OR(K142="",M142=0,N142="")),"►E",IF(AND(ACOMPANHAMENTO="PLE",ORÇAMENTO!AC142="QUANT."),"►Q",IF(AND(ACOMPANHAMENTO="PLE",H142&lt;&gt;SUMPRODUCT(($Q$1:$AI$1=1)*ROUND(Q142:AI142,15))),"►S",IF(AND(COUNTIF($P$11:$AI$11,"▼")=0,H142&gt;0,I142=""),"◄M","")))))</f>
        <v>#NAME?</v>
      </c>
      <c r="K142" s="652"/>
      <c r="L142" s="165" t="s">
        <v>764</v>
      </c>
      <c r="M142" s="166">
        <f ca="1">IF($D142&lt;&gt;"Serviço","",
          IF(AUTOEVENTO="manual",$A142,
                IF(ISERROR(MATCH($A142,$A$15:OFFSET($A142,-1,0),0)),MAX($M$15:OFFSET(M142,-1,0))+1,
                      INDEX($M$15:OFFSET(M142,-1,0),MATCH($A142,$A$15:OFFSET($A142,-1,0),0)))))</f>
        <v>20</v>
      </c>
      <c r="N142" s="167" t="str">
        <f ca="1">IF($D142&lt;&gt;"Serviço","",
         IF(AUTOEVENTO="Manual",
                IF($A142=0,"&lt;-- defina o número do agrupador",
                       OFFSET(EVENTOS!$D$15,$A142-$A$15,0)),
                OFFSET($F$15,$A142,0)))</f>
        <v>PAVIMENTAÇÃO</v>
      </c>
      <c r="O142" s="168"/>
      <c r="Q142" s="168"/>
      <c r="R142" s="169"/>
      <c r="S142" s="169"/>
      <c r="T142" s="169"/>
      <c r="U142" s="169"/>
      <c r="V142" s="169">
        <f>2274*0.15</f>
        <v>341.09999999999997</v>
      </c>
      <c r="W142" s="169"/>
      <c r="X142" s="169"/>
      <c r="Y142" s="169"/>
      <c r="Z142" s="170"/>
      <c r="AA142" s="169"/>
      <c r="AB142" s="169"/>
      <c r="AC142" s="169"/>
      <c r="AD142" s="169"/>
      <c r="AE142" s="169"/>
      <c r="AF142" s="169"/>
      <c r="AG142" s="169"/>
      <c r="AH142" s="170"/>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L142" s="453">
        <f ca="1">IF(AND($D142="Serviço",AL$12&lt;&gt;0,$H142&gt;0,OR(AUTOEVENTO&lt;&gt;"manual",$M142&lt;&gt;$A$15)),
        IF(Import.TipoArredondamento&lt;&gt;"TransfereGOV",
              ROUND(OFFSET($P142,0,AL$13),15-13*ORÇAMENTO!$AF$7)/$H142*OFFSET(ORÇAMENTO!$X$15,ROW(AL142)-ROW(AL$15),0),
              ROUND(ROUND(OFFSET($P142,0,AL$13),15-13*ORÇAMENTO!$AF$7)*OFFSET(ORÇAMENTO!$W$15,ROW(AL142)-ROW(AL$15),0),15-13*ORÇAMENTO!$AF$11)),
         0)</f>
        <v>0</v>
      </c>
      <c r="AM142" s="453">
        <f ca="1">IF(AND($D142="Serviço",AM$12&lt;&gt;0,$H142&gt;0,OR(AUTOEVENTO&lt;&gt;"manual",$M142&lt;&gt;$A$15)),
        IF(Import.TipoArredondamento&lt;&gt;"TransfereGOV",
              ROUND(OFFSET($P142,0,AM$13),15-13*ORÇAMENTO!$AF$7)/$H142*OFFSET(ORÇAMENTO!$X$15,ROW(AM142)-ROW(AM$15),0),
              ROUND(ROUND(OFFSET($P142,0,AM$13),15-13*ORÇAMENTO!$AF$7)*OFFSET(ORÇAMENTO!$W$15,ROW(AM142)-ROW(AM$15),0),15-13*ORÇAMENTO!$AF$11)),
         0)</f>
        <v>0</v>
      </c>
      <c r="AN142" s="453">
        <f ca="1">IF(AND($D142="Serviço",AN$12&lt;&gt;0,$H142&gt;0,OR(AUTOEVENTO&lt;&gt;"manual",$M142&lt;&gt;$A$15)),
        IF(Import.TipoArredondamento&lt;&gt;"TransfereGOV",
              ROUND(OFFSET($P142,0,AN$13),15-13*ORÇAMENTO!$AF$7)/$H142*OFFSET(ORÇAMENTO!$X$15,ROW(AN142)-ROW(AN$15),0),
              ROUND(ROUND(OFFSET($P142,0,AN$13),15-13*ORÇAMENTO!$AF$7)*OFFSET(ORÇAMENTO!$W$15,ROW(AN142)-ROW(AN$15),0),15-13*ORÇAMENTO!$AF$11)),
         0)</f>
        <v>0</v>
      </c>
      <c r="AO142" s="453">
        <f ca="1">IF(AND($D142="Serviço",AO$12&lt;&gt;0,$H142&gt;0,OR(AUTOEVENTO&lt;&gt;"manual",$M142&lt;&gt;$A$15)),
        IF(Import.TipoArredondamento&lt;&gt;"TransfereGOV",
              ROUND(OFFSET($P142,0,AO$13),15-13*ORÇAMENTO!$AF$7)/$H142*OFFSET(ORÇAMENTO!$X$15,ROW(AO142)-ROW(AO$15),0),
              ROUND(ROUND(OFFSET($P142,0,AO$13),15-13*ORÇAMENTO!$AF$7)*OFFSET(ORÇAMENTO!$W$15,ROW(AO142)-ROW(AO$15),0),15-13*ORÇAMENTO!$AF$11)),
         0)</f>
        <v>83405.77</v>
      </c>
      <c r="AP142" s="453">
        <f ca="1">IF(AND($D142="Serviço",AP$12&lt;&gt;0,$H142&gt;0,OR(AUTOEVENTO&lt;&gt;"manual",$M142&lt;&gt;$A$15)),
        IF(Import.TipoArredondamento&lt;&gt;"TransfereGOV",
              ROUND(OFFSET($P142,0,AP$13),15-13*ORÇAMENTO!$AF$7)/$H142*OFFSET(ORÇAMENTO!$X$15,ROW(AP142)-ROW(AP$15),0),
              ROUND(ROUND(OFFSET($P142,0,AP$13),15-13*ORÇAMENTO!$AF$7)*OFFSET(ORÇAMENTO!$W$15,ROW(AP142)-ROW(AP$15),0),15-13*ORÇAMENTO!$AF$11)),
         0)</f>
        <v>0</v>
      </c>
      <c r="AQ142" s="453">
        <f ca="1">IF(AND($D142="Serviço",AQ$12&lt;&gt;0,$H142&gt;0,OR(AUTOEVENTO&lt;&gt;"manual",$M142&lt;&gt;$A$15)),
        IF(Import.TipoArredondamento&lt;&gt;"TransfereGOV",
              ROUND(OFFSET($P142,0,AQ$13),15-13*ORÇAMENTO!$AF$7)/$H142*OFFSET(ORÇAMENTO!$X$15,ROW(AQ142)-ROW(AQ$15),0),
              ROUND(ROUND(OFFSET($P142,0,AQ$13),15-13*ORÇAMENTO!$AF$7)*OFFSET(ORÇAMENTO!$W$15,ROW(AQ142)-ROW(AQ$15),0),15-13*ORÇAMENTO!$AF$11)),
         0)</f>
        <v>0</v>
      </c>
      <c r="AR142" s="453">
        <f ca="1">IF(AND($D142="Serviço",AR$12&lt;&gt;0,$H142&gt;0,OR(AUTOEVENTO&lt;&gt;"manual",$M142&lt;&gt;$A$15)),
        IF(Import.TipoArredondamento&lt;&gt;"TransfereGOV",
              ROUND(OFFSET($P142,0,AR$13),15-13*ORÇAMENTO!$AF$7)/$H142*OFFSET(ORÇAMENTO!$X$15,ROW(AR142)-ROW(AR$15),0),
              ROUND(ROUND(OFFSET($P142,0,AR$13),15-13*ORÇAMENTO!$AF$7)*OFFSET(ORÇAMENTO!$W$15,ROW(AR142)-ROW(AR$15),0),15-13*ORÇAMENTO!$AF$11)),
         0)</f>
        <v>0</v>
      </c>
      <c r="AS142" s="453">
        <f ca="1">IF(AND($D142="Serviço",AS$12&lt;&gt;0,$H142&gt;0,OR(AUTOEVENTO&lt;&gt;"manual",$M142&lt;&gt;$A$15)),
        IF(Import.TipoArredondamento&lt;&gt;"TransfereGOV",
              ROUND(OFFSET($P142,0,AS$13),15-13*ORÇAMENTO!$AF$7)/$H142*OFFSET(ORÇAMENTO!$X$15,ROW(AS142)-ROW(AS$15),0),
              ROUND(ROUND(OFFSET($P142,0,AS$13),15-13*ORÇAMENTO!$AF$7)*OFFSET(ORÇAMENTO!$W$15,ROW(AS142)-ROW(AS$15),0),15-13*ORÇAMENTO!$AF$11)),
         0)</f>
        <v>0</v>
      </c>
      <c r="AT142" s="453">
        <f ca="1">IF(AND($D142="Serviço",AT$12&lt;&gt;0,$H142&gt;0,OR(AUTOEVENTO&lt;&gt;"manual",$M142&lt;&gt;$A$15)),
        IF(Import.TipoArredondamento&lt;&gt;"TransfereGOV",
              ROUND(OFFSET($P142,0,AT$13),15-13*ORÇAMENTO!$AF$7)/$H142*OFFSET(ORÇAMENTO!$X$15,ROW(AT142)-ROW(AT$15),0),
              ROUND(ROUND(OFFSET($P142,0,AT$13),15-13*ORÇAMENTO!$AF$7)*OFFSET(ORÇAMENTO!$W$15,ROW(AT142)-ROW(AT$15),0),15-13*ORÇAMENTO!$AF$11)),
         0)</f>
        <v>0</v>
      </c>
      <c r="AU142" s="453">
        <f ca="1">IF(AND($D142="Serviço",AU$12&lt;&gt;0,$H142&gt;0,OR(AUTOEVENTO&lt;&gt;"manual",$M142&lt;&gt;$A$15)),
        IF(Import.TipoArredondamento&lt;&gt;"TransfereGOV",
              ROUND(OFFSET($P142,0,AU$13),15-13*ORÇAMENTO!$AF$7)/$H142*OFFSET(ORÇAMENTO!$X$15,ROW(AU142)-ROW(AU$15),0),
              ROUND(ROUND(OFFSET($P142,0,AU$13),15-13*ORÇAMENTO!$AF$7)*OFFSET(ORÇAMENTO!$W$15,ROW(AU142)-ROW(AU$15),0),15-13*ORÇAMENTO!$AF$11)),
         0)</f>
        <v>0</v>
      </c>
      <c r="AV142" s="453">
        <f ca="1">IF(AND($D142="Serviço",AV$12&lt;&gt;0,$H142&gt;0,OR(AUTOEVENTO&lt;&gt;"manual",$M142&lt;&gt;$A$15)),
        IF(Import.TipoArredondamento&lt;&gt;"TransfereGOV",
              ROUND(OFFSET($P142,0,AV$13),15-13*ORÇAMENTO!$AF$7)/$H142*OFFSET(ORÇAMENTO!$X$15,ROW(AV142)-ROW(AV$15),0),
              ROUND(ROUND(OFFSET($P142,0,AV$13),15-13*ORÇAMENTO!$AF$7)*OFFSET(ORÇAMENTO!$W$15,ROW(AV142)-ROW(AV$15),0),15-13*ORÇAMENTO!$AF$11)),
         0)</f>
        <v>0</v>
      </c>
      <c r="AW142" s="453">
        <f ca="1">IF(AND($D142="Serviço",AW$12&lt;&gt;0,$H142&gt;0,OR(AUTOEVENTO&lt;&gt;"manual",$M142&lt;&gt;$A$15)),
        IF(Import.TipoArredondamento&lt;&gt;"TransfereGOV",
              ROUND(OFFSET($P142,0,AW$13),15-13*ORÇAMENTO!$AF$7)/$H142*OFFSET(ORÇAMENTO!$X$15,ROW(AW142)-ROW(AW$15),0),
              ROUND(ROUND(OFFSET($P142,0,AW$13),15-13*ORÇAMENTO!$AF$7)*OFFSET(ORÇAMENTO!$W$15,ROW(AW142)-ROW(AW$15),0),15-13*ORÇAMENTO!$AF$11)),
         0)</f>
        <v>0</v>
      </c>
      <c r="AX142" s="453">
        <f ca="1">IF(AND($D142="Serviço",AX$12&lt;&gt;0,$H142&gt;0,OR(AUTOEVENTO&lt;&gt;"manual",$M142&lt;&gt;$A$15)),
        IF(Import.TipoArredondamento&lt;&gt;"TransfereGOV",
              ROUND(OFFSET($P142,0,AX$13),15-13*ORÇAMENTO!$AF$7)/$H142*OFFSET(ORÇAMENTO!$X$15,ROW(AX142)-ROW(AX$15),0),
              ROUND(ROUND(OFFSET($P142,0,AX$13),15-13*ORÇAMENTO!$AF$7)*OFFSET(ORÇAMENTO!$W$15,ROW(AX142)-ROW(AX$15),0),15-13*ORÇAMENTO!$AF$11)),
         0)</f>
        <v>0</v>
      </c>
      <c r="AY142" s="453">
        <f ca="1">IF(AND($D142="Serviço",AY$12&lt;&gt;0,$H142&gt;0,OR(AUTOEVENTO&lt;&gt;"manual",$M142&lt;&gt;$A$15)),
        IF(Import.TipoArredondamento&lt;&gt;"TransfereGOV",
              ROUND(OFFSET($P142,0,AY$13),15-13*ORÇAMENTO!$AF$7)/$H142*OFFSET(ORÇAMENTO!$X$15,ROW(AY142)-ROW(AY$15),0),
              ROUND(ROUND(OFFSET($P142,0,AY$13),15-13*ORÇAMENTO!$AF$7)*OFFSET(ORÇAMENTO!$W$15,ROW(AY142)-ROW(AY$15),0),15-13*ORÇAMENTO!$AF$11)),
         0)</f>
        <v>0</v>
      </c>
      <c r="AZ142" s="453">
        <f ca="1">IF(AND($D142="Serviço",AZ$12&lt;&gt;0,$H142&gt;0,OR(AUTOEVENTO&lt;&gt;"manual",$M142&lt;&gt;$A$15)),
        IF(Import.TipoArredondamento&lt;&gt;"TransfereGOV",
              ROUND(OFFSET($P142,0,AZ$13),15-13*ORÇAMENTO!$AF$7)/$H142*OFFSET(ORÇAMENTO!$X$15,ROW(AZ142)-ROW(AZ$15),0),
              ROUND(ROUND(OFFSET($P142,0,AZ$13),15-13*ORÇAMENTO!$AF$7)*OFFSET(ORÇAMENTO!$W$15,ROW(AZ142)-ROW(AZ$15),0),15-13*ORÇAMENTO!$AF$11)),
         0)</f>
        <v>0</v>
      </c>
      <c r="BA142" s="453">
        <f ca="1">IF(AND($D142="Serviço",BA$12&lt;&gt;0,$H142&gt;0,OR(AUTOEVENTO&lt;&gt;"manual",$M142&lt;&gt;$A$15)),
        IF(Import.TipoArredondamento&lt;&gt;"TransfereGOV",
              ROUND(OFFSET($P142,0,BA$13),15-13*ORÇAMENTO!$AF$7)/$H142*OFFSET(ORÇAMENTO!$X$15,ROW(BA142)-ROW(BA$15),0),
              ROUND(ROUND(OFFSET($P142,0,BA$13),15-13*ORÇAMENTO!$AF$7)*OFFSET(ORÇAMENTO!$W$15,ROW(BA142)-ROW(BA$15),0),15-13*ORÇAMENTO!$AF$11)),
         0)</f>
        <v>0</v>
      </c>
      <c r="BC142" s="171">
        <f ca="1">IF(OR($D142&lt;&gt;"Serviço",AND(AUTOEVENTO="Manual",$M142=$A$15)),0,
         IF(OFFSET(CRONOPLE!$F$15,$M142-$A$15,BC$13)=0,10^12,OFFSET(CRONOPLE!$F$15,$M142-$A$15,BC$13)))</f>
        <v>1000000000000</v>
      </c>
      <c r="BD142" s="171">
        <f ca="1">IF(OR($D142&lt;&gt;"Serviço",AND(AUTOEVENTO="Manual",$M142=$A$15)),0,
         IF(OFFSET(CRONOPLE!$F$15,$M142-$A$15,BD$13)=0,10^12,OFFSET(CRONOPLE!$F$15,$M142-$A$15,BD$13)))</f>
        <v>1000000000000</v>
      </c>
      <c r="BE142" s="171">
        <f ca="1">IF(OR($D142&lt;&gt;"Serviço",AND(AUTOEVENTO="Manual",$M142=$A$15)),0,
         IF(OFFSET(CRONOPLE!$F$15,$M142-$A$15,BE$13)=0,10^12,OFFSET(CRONOPLE!$F$15,$M142-$A$15,BE$13)))</f>
        <v>1000000000000</v>
      </c>
      <c r="BF142" s="171">
        <f ca="1">IF(OR($D142&lt;&gt;"Serviço",AND(AUTOEVENTO="Manual",$M142=$A$15)),0,
         IF(OFFSET(CRONOPLE!$F$15,$M142-$A$15,BF$13)=0,10^12,OFFSET(CRONOPLE!$F$15,$M142-$A$15,BF$13)))</f>
        <v>1000000000000</v>
      </c>
      <c r="BG142" s="171">
        <f ca="1">IF(OR($D142&lt;&gt;"Serviço",AND(AUTOEVENTO="Manual",$M142=$A$15)),0,
         IF(OFFSET(CRONOPLE!$F$15,$M142-$A$15,BG$13)=0,10^12,OFFSET(CRONOPLE!$F$15,$M142-$A$15,BG$13)))</f>
        <v>1000000000000</v>
      </c>
      <c r="BH142" s="171">
        <f ca="1">IF(OR($D142&lt;&gt;"Serviço",AND(AUTOEVENTO="Manual",$M142=$A$15)),0,
         IF(OFFSET(CRONOPLE!$F$15,$M142-$A$15,BH$13)=0,10^12,OFFSET(CRONOPLE!$F$15,$M142-$A$15,BH$13)))</f>
        <v>6</v>
      </c>
      <c r="BI142" s="171">
        <f ca="1">IF(OR($D142&lt;&gt;"Serviço",AND(AUTOEVENTO="Manual",$M142=$A$15)),0,
         IF(OFFSET(CRONOPLE!$F$15,$M142-$A$15,BI$13)=0,10^12,OFFSET(CRONOPLE!$F$15,$M142-$A$15,BI$13)))</f>
        <v>1000000000000</v>
      </c>
      <c r="BJ142" s="171">
        <f ca="1">IF(OR($D142&lt;&gt;"Serviço",AND(AUTOEVENTO="Manual",$M142=$A$15)),0,
         IF(OFFSET(CRONOPLE!$F$15,$M142-$A$15,BJ$13)=0,10^12,OFFSET(CRONOPLE!$F$15,$M142-$A$15,BJ$13)))</f>
        <v>1000000000000</v>
      </c>
      <c r="BK142" s="171">
        <f ca="1">IF(OR($D142&lt;&gt;"Serviço",AND(AUTOEVENTO="Manual",$M142=$A$15)),0,
         IF(OFFSET(CRONOPLE!$F$15,$M142-$A$15,BK$13)=0,10^12,OFFSET(CRONOPLE!$F$15,$M142-$A$15,BK$13)))</f>
        <v>1000000000000</v>
      </c>
      <c r="BL142" s="171">
        <f ca="1">IF(OR($D142&lt;&gt;"Serviço",AND(AUTOEVENTO="Manual",$M142=$A$15)),0,
         IF(OFFSET(CRONOPLE!$F$15,$M142-$A$15,BL$13)=0,10^12,OFFSET(CRONOPLE!$F$15,$M142-$A$15,BL$13)))</f>
        <v>1000000000000</v>
      </c>
      <c r="BM142" s="171">
        <f ca="1">IF(OR($D142&lt;&gt;"Serviço",AND(AUTOEVENTO="Manual",$M142=$A$15)),0,
         IF(OFFSET(CRONOPLE!$F$15,$M142-$A$15,BM$13)=0,10^12,OFFSET(CRONOPLE!$F$15,$M142-$A$15,BM$13)))</f>
        <v>1000000000000</v>
      </c>
      <c r="BN142" s="171">
        <f ca="1">IF(OR($D142&lt;&gt;"Serviço",AND(AUTOEVENTO="Manual",$M142=$A$15)),0,
         IF(OFFSET(CRONOPLE!$F$15,$M142-$A$15,BN$13)=0,10^12,OFFSET(CRONOPLE!$F$15,$M142-$A$15,BN$13)))</f>
        <v>1000000000000</v>
      </c>
      <c r="BO142" s="171">
        <f ca="1">IF(OR($D142&lt;&gt;"Serviço",AND(AUTOEVENTO="Manual",$M142=$A$15)),0,
         IF(OFFSET(CRONOPLE!$F$15,$M142-$A$15,BO$13)=0,10^12,OFFSET(CRONOPLE!$F$15,$M142-$A$15,BO$13)))</f>
        <v>1000000000000</v>
      </c>
      <c r="BP142" s="171">
        <f ca="1">IF(OR($D142&lt;&gt;"Serviço",AND(AUTOEVENTO="Manual",$M142=$A$15)),0,
         IF(OFFSET(CRONOPLE!$F$15,$M142-$A$15,BP$13)=0,10^12,OFFSET(CRONOPLE!$F$15,$M142-$A$15,BP$13)))</f>
        <v>1000000000000</v>
      </c>
      <c r="BQ142" s="171">
        <f ca="1">IF(OR($D142&lt;&gt;"Serviço",AND(AUTOEVENTO="Manual",$M142=$A$15)),0,
         IF(OFFSET(CRONOPLE!$F$15,$M142-$A$15,BQ$13)=0,10^12,OFFSET(CRONOPLE!$F$15,$M142-$A$15,BQ$13)))</f>
        <v>1000000000000</v>
      </c>
      <c r="BR142" s="171">
        <f ca="1">IF(OR($D142&lt;&gt;"Serviço",AND(AUTOEVENTO="Manual",$M142=$A$15)),0,
         IF(OFFSET(CRONOPLE!$F$15,$M142-$A$15,BR$13)=0,10^12,OFFSET(CRONOPLE!$F$15,$M142-$A$15,BR$13)))</f>
        <v>1000000000000</v>
      </c>
      <c r="BS142" s="171">
        <f ca="1">IF(OR($D142&lt;&gt;"Serviço",AND(AUTOEVENTO="Manual",$M142=$A$15)),0,
         IF(OFFSET(CRONOPLE!$F$15,$M142-$A$15,BS$13)=0,10^12,OFFSET(CRONOPLE!$F$15,$M142-$A$15,BS$13)))</f>
        <v>1000000000000</v>
      </c>
      <c r="BT142" s="171">
        <f ca="1">IF(OR($D142&lt;&gt;"Serviço",AND(AUTOEVENTO="Manual",$M142=$A$15)),0,
         IF(OFFSET(CRONOPLE!$F$15,$M142-$A$15,BT$13)=0,10^12,OFFSET(CRONOPLE!$F$15,$M142-$A$15,BT$13)))</f>
        <v>1000000000000</v>
      </c>
      <c r="BV142" s="172">
        <f ca="1">IF(OR($D142&lt;&gt;"Serviço",AND(AUTOEVENTO="Manual",$M142=$A$15),$M142&gt;(ROW(PLE.lastrow)-ROW(PLE.firstrow))),0,
           IF(OFFSET(PLE!$G$15,$M142-$A$15,BV$13)="",10^12,OFFSET(PLE!$G$15,$M142-$A$15,BV$13)))</f>
        <v>1000000000000</v>
      </c>
      <c r="BW142" s="172">
        <f ca="1">IF(OR($D142&lt;&gt;"Serviço",AND(AUTOEVENTO="Manual",$M142=$A$15),$M142&gt;(ROW(PLE.lastrow)-ROW(PLE.firstrow))),0,
           IF(OFFSET(PLE!$G$15,$M142-$A$15,BW$13)="",10^12,OFFSET(PLE!$G$15,$M142-$A$15,BW$13)))</f>
        <v>1000000000000</v>
      </c>
      <c r="BX142" s="172">
        <f ca="1">IF(OR($D142&lt;&gt;"Serviço",AND(AUTOEVENTO="Manual",$M142=$A$15),$M142&gt;(ROW(PLE.lastrow)-ROW(PLE.firstrow))),0,
           IF(OFFSET(PLE!$G$15,$M142-$A$15,BX$13)="",10^12,OFFSET(PLE!$G$15,$M142-$A$15,BX$13)))</f>
        <v>1000000000000</v>
      </c>
      <c r="BY142" s="172">
        <f ca="1">IF(OR($D142&lt;&gt;"Serviço",AND(AUTOEVENTO="Manual",$M142=$A$15),$M142&gt;(ROW(PLE.lastrow)-ROW(PLE.firstrow))),0,
           IF(OFFSET(PLE!$G$15,$M142-$A$15,BY$13)="",10^12,OFFSET(PLE!$G$15,$M142-$A$15,BY$13)))</f>
        <v>1000000000000</v>
      </c>
      <c r="BZ142" s="172">
        <f ca="1">IF(OR($D142&lt;&gt;"Serviço",AND(AUTOEVENTO="Manual",$M142=$A$15),$M142&gt;(ROW(PLE.lastrow)-ROW(PLE.firstrow))),0,
           IF(OFFSET(PLE!$G$15,$M142-$A$15,BZ$13)="",10^12,OFFSET(PLE!$G$15,$M142-$A$15,BZ$13)))</f>
        <v>1000000000000</v>
      </c>
      <c r="CA142" s="172">
        <f ca="1">IF(OR($D142&lt;&gt;"Serviço",AND(AUTOEVENTO="Manual",$M142=$A$15),$M142&gt;(ROW(PLE.lastrow)-ROW(PLE.firstrow))),0,
           IF(OFFSET(PLE!$G$15,$M142-$A$15,CA$13)="",10^12,OFFSET(PLE!$G$15,$M142-$A$15,CA$13)))</f>
        <v>1000000000000</v>
      </c>
      <c r="CB142" s="172">
        <f ca="1">IF(OR($D142&lt;&gt;"Serviço",AND(AUTOEVENTO="Manual",$M142=$A$15),$M142&gt;(ROW(PLE.lastrow)-ROW(PLE.firstrow))),0,
           IF(OFFSET(PLE!$G$15,$M142-$A$15,CB$13)="",10^12,OFFSET(PLE!$G$15,$M142-$A$15,CB$13)))</f>
        <v>1000000000000</v>
      </c>
      <c r="CC142" s="172">
        <f ca="1">IF(OR($D142&lt;&gt;"Serviço",AND(AUTOEVENTO="Manual",$M142=$A$15),$M142&gt;(ROW(PLE.lastrow)-ROW(PLE.firstrow))),0,
           IF(OFFSET(PLE!$G$15,$M142-$A$15,CC$13)="",10^12,OFFSET(PLE!$G$15,$M142-$A$15,CC$13)))</f>
        <v>1000000000000</v>
      </c>
      <c r="CD142" s="172">
        <f ca="1">IF(OR($D142&lt;&gt;"Serviço",AND(AUTOEVENTO="Manual",$M142=$A$15),$M142&gt;(ROW(PLE.lastrow)-ROW(PLE.firstrow))),0,
           IF(OFFSET(PLE!$G$15,$M142-$A$15,CD$13)="",10^12,OFFSET(PLE!$G$15,$M142-$A$15,CD$13)))</f>
        <v>1000000000000</v>
      </c>
      <c r="CE142" s="172">
        <f ca="1">IF(OR($D142&lt;&gt;"Serviço",AND(AUTOEVENTO="Manual",$M142=$A$15),$M142&gt;(ROW(PLE.lastrow)-ROW(PLE.firstrow))),0,
           IF(OFFSET(PLE!$G$15,$M142-$A$15,CE$13)="",10^12,OFFSET(PLE!$G$15,$M142-$A$15,CE$13)))</f>
        <v>1000000000000</v>
      </c>
      <c r="CF142" s="172">
        <f ca="1">IF(OR($D142&lt;&gt;"Serviço",AND(AUTOEVENTO="Manual",$M142=$A$15),$M142&gt;(ROW(PLE.lastrow)-ROW(PLE.firstrow))),0,
           IF(OFFSET(PLE!$G$15,$M142-$A$15,CF$13)="",10^12,OFFSET(PLE!$G$15,$M142-$A$15,CF$13)))</f>
        <v>1000000000000</v>
      </c>
      <c r="CG142" s="172">
        <f ca="1">IF(OR($D142&lt;&gt;"Serviço",AND(AUTOEVENTO="Manual",$M142=$A$15),$M142&gt;(ROW(PLE.lastrow)-ROW(PLE.firstrow))),0,
           IF(OFFSET(PLE!$G$15,$M142-$A$15,CG$13)="",10^12,OFFSET(PLE!$G$15,$M142-$A$15,CG$13)))</f>
        <v>1000000000000</v>
      </c>
      <c r="CH142" s="172">
        <f ca="1">IF(OR($D142&lt;&gt;"Serviço",AND(AUTOEVENTO="Manual",$M142=$A$15),$M142&gt;(ROW(PLE.lastrow)-ROW(PLE.firstrow))),0,
           IF(OFFSET(PLE!$G$15,$M142-$A$15,CH$13)="",10^12,OFFSET(PLE!$G$15,$M142-$A$15,CH$13)))</f>
        <v>1000000000000</v>
      </c>
      <c r="CI142" s="172">
        <f ca="1">IF(OR($D142&lt;&gt;"Serviço",AND(AUTOEVENTO="Manual",$M142=$A$15),$M142&gt;(ROW(PLE.lastrow)-ROW(PLE.firstrow))),0,
           IF(OFFSET(PLE!$G$15,$M142-$A$15,CI$13)="",10^12,OFFSET(PLE!$G$15,$M142-$A$15,CI$13)))</f>
        <v>1000000000000</v>
      </c>
      <c r="CJ142" s="172">
        <f ca="1">IF(OR($D142&lt;&gt;"Serviço",AND(AUTOEVENTO="Manual",$M142=$A$15),$M142&gt;(ROW(PLE.lastrow)-ROW(PLE.firstrow))),0,
           IF(OFFSET(PLE!$G$15,$M142-$A$15,CJ$13)="",10^12,OFFSET(PLE!$G$15,$M142-$A$15,CJ$13)))</f>
        <v>1000000000000</v>
      </c>
      <c r="CK142" s="172">
        <f ca="1">IF(OR($D142&lt;&gt;"Serviço",AND(AUTOEVENTO="Manual",$M142=$A$15),$M142&gt;(ROW(PLE.lastrow)-ROW(PLE.firstrow))),0,
           IF(OFFSET(PLE!$G$15,$M142-$A$15,CK$13)="",10^12,OFFSET(PLE!$G$15,$M142-$A$15,CK$13)))</f>
        <v>1000000000000</v>
      </c>
      <c r="CL142" s="172">
        <f ca="1">IF(OR($D142&lt;&gt;"Serviço",AND(AUTOEVENTO="Manual",$M142=$A$15),$M142&gt;(ROW(PLE.lastrow)-ROW(PLE.firstrow))),0,
           IF(OFFSET(PLE!$G$15,$M142-$A$15,CL$13)="",10^12,OFFSET(PLE!$G$15,$M142-$A$15,CL$13)))</f>
        <v>1000000000000</v>
      </c>
      <c r="CM142" s="172">
        <f ca="1">IF(OR($D142&lt;&gt;"Serviço",AND(AUTOEVENTO="Manual",$M142=$A$15),$M142&gt;(ROW(PLE.lastrow)-ROW(PLE.firstrow))),0,
           IF(OFFSET(PLE!$G$15,$M142-$A$15,CM$13)="",10^12,OFFSET(PLE!$G$15,$M142-$A$15,CM$13)))</f>
        <v>1000000000000</v>
      </c>
    </row>
    <row r="143" spans="1:91" ht="13.2" x14ac:dyDescent="0.25">
      <c r="A143" s="7" t="str">
        <f t="shared" ca="1" si="11"/>
        <v>126</v>
      </c>
      <c r="B143" s="7" t="str">
        <f ca="1">OFFSET(ORÇAMENTO!C$15,ROW(B143)-ROW(B$15),0)</f>
        <v>S</v>
      </c>
      <c r="C143" s="7" t="str">
        <f ca="1">OFFSET(ORÇAMENTO!L$15,ROW(C143)-ROW(C$15),0)</f>
        <v>F</v>
      </c>
      <c r="D143" s="116" t="str">
        <f ca="1">OFFSET(ORÇAMENTO!N$15,ROW(D143)-ROW(D$15),0)</f>
        <v>Serviço</v>
      </c>
      <c r="E143" s="117" t="str">
        <f ca="1">OFFSET(ORÇAMENTO!O$15,ROW(E143)-ROW(E$15),0)</f>
        <v>4.2.2.</v>
      </c>
      <c r="F143" s="163" t="str">
        <f ca="1">OFFSET(ORÇAMENTO!R$15,ROW(F143)-ROW(F$15),0)</f>
        <v>Transporte com caminhão basculante de 10 m³ - rodovia pavimentada</v>
      </c>
      <c r="G143" s="164" t="str">
        <f ca="1">IF($D143&lt;&gt;"Serviço","",OFFSET(ORÇAMENTO!S$15,ROW(G143)-ROW(G$15),0))</f>
        <v>tkm</v>
      </c>
      <c r="H143" s="122" cm="1">
        <f t="array" aca="1" ref="H143" ca="1">IF($D143&lt;&gt;"Serviço",0,IF(ACOMPANHAMENTO="BM",ROUND(OFFSET(ORÇAMENTO!AJ$15,ROW(H143)-ROW(H$15),0),15-13*ORÇAMENTO!$AF$7),SUMPRODUCT(($Q$1:$AI$1=1)*ROUND($Q143:$AI143,15-13*ORÇAMENTO!$AF$7))))</f>
        <v>10744.65</v>
      </c>
      <c r="I143" s="468"/>
      <c r="J143" s="651" t="e" cm="1">
        <f t="array" aca="1" ref="J143" ca="1">IF(OR(B143&lt;&gt;"S",CÁLCULO.FrentesPreenchidas=0),"",IF(AND(ACOMPANHAMENTO="PLE",AUTOEVENTO="Manual",OR(H143&gt;0,ORÇAMENTO!AC143="QUANT."),OR(K143="",M143=0,N143="")),"►E",IF(AND(ACOMPANHAMENTO="PLE",ORÇAMENTO!AC143="QUANT."),"►Q",IF(AND(ACOMPANHAMENTO="PLE",H143&lt;&gt;SUMPRODUCT(($Q$1:$AI$1=1)*ROUND(Q143:AI143,15))),"►S",IF(AND(COUNTIF($P$11:$AI$11,"▼")=0,H143&gt;0,I143=""),"◄M","")))))</f>
        <v>#NAME?</v>
      </c>
      <c r="K143" s="652"/>
      <c r="L143" s="165" t="s">
        <v>764</v>
      </c>
      <c r="M143" s="166">
        <f ca="1">IF($D143&lt;&gt;"Serviço","",
          IF(AUTOEVENTO="manual",$A143,
                IF(ISERROR(MATCH($A143,$A$15:OFFSET($A143,-1,0),0)),MAX($M$15:OFFSET(M143,-1,0))+1,
                      INDEX($M$15:OFFSET(M143,-1,0),MATCH($A143,$A$15:OFFSET($A143,-1,0),0)))))</f>
        <v>20</v>
      </c>
      <c r="N143" s="167" t="str">
        <f ca="1">IF($D143&lt;&gt;"Serviço","",
         IF(AUTOEVENTO="Manual",
                IF($A143=0,"&lt;-- defina o número do agrupador",
                       OFFSET(EVENTOS!$D$15,$A143-$A$15,0)),
                OFFSET($F$15,$A143,0)))</f>
        <v>PAVIMENTAÇÃO</v>
      </c>
      <c r="O143" s="168"/>
      <c r="Q143" s="168"/>
      <c r="R143" s="169"/>
      <c r="S143" s="169"/>
      <c r="T143" s="169"/>
      <c r="U143" s="169"/>
      <c r="V143" s="169">
        <f>V142*1.5*21</f>
        <v>10744.65</v>
      </c>
      <c r="W143" s="169"/>
      <c r="X143" s="169"/>
      <c r="Y143" s="169"/>
      <c r="Z143" s="170"/>
      <c r="AA143" s="169"/>
      <c r="AB143" s="169"/>
      <c r="AC143" s="169"/>
      <c r="AD143" s="169"/>
      <c r="AE143" s="169"/>
      <c r="AF143" s="169"/>
      <c r="AG143" s="169"/>
      <c r="AH143" s="170"/>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L143" s="453">
        <f ca="1">IF(AND($D143="Serviço",AL$12&lt;&gt;0,$H143&gt;0,OR(AUTOEVENTO&lt;&gt;"manual",$M143&lt;&gt;$A$15)),
        IF(Import.TipoArredondamento&lt;&gt;"TransfereGOV",
              ROUND(OFFSET($P143,0,AL$13),15-13*ORÇAMENTO!$AF$7)/$H143*OFFSET(ORÇAMENTO!$X$15,ROW(AL143)-ROW(AL$15),0),
              ROUND(ROUND(OFFSET($P143,0,AL$13),15-13*ORÇAMENTO!$AF$7)*OFFSET(ORÇAMENTO!$W$15,ROW(AL143)-ROW(AL$15),0),15-13*ORÇAMENTO!$AF$11)),
         0)</f>
        <v>0</v>
      </c>
      <c r="AM143" s="453">
        <f ca="1">IF(AND($D143="Serviço",AM$12&lt;&gt;0,$H143&gt;0,OR(AUTOEVENTO&lt;&gt;"manual",$M143&lt;&gt;$A$15)),
        IF(Import.TipoArredondamento&lt;&gt;"TransfereGOV",
              ROUND(OFFSET($P143,0,AM$13),15-13*ORÇAMENTO!$AF$7)/$H143*OFFSET(ORÇAMENTO!$X$15,ROW(AM143)-ROW(AM$15),0),
              ROUND(ROUND(OFFSET($P143,0,AM$13),15-13*ORÇAMENTO!$AF$7)*OFFSET(ORÇAMENTO!$W$15,ROW(AM143)-ROW(AM$15),0),15-13*ORÇAMENTO!$AF$11)),
         0)</f>
        <v>0</v>
      </c>
      <c r="AN143" s="453">
        <f ca="1">IF(AND($D143="Serviço",AN$12&lt;&gt;0,$H143&gt;0,OR(AUTOEVENTO&lt;&gt;"manual",$M143&lt;&gt;$A$15)),
        IF(Import.TipoArredondamento&lt;&gt;"TransfereGOV",
              ROUND(OFFSET($P143,0,AN$13),15-13*ORÇAMENTO!$AF$7)/$H143*OFFSET(ORÇAMENTO!$X$15,ROW(AN143)-ROW(AN$15),0),
              ROUND(ROUND(OFFSET($P143,0,AN$13),15-13*ORÇAMENTO!$AF$7)*OFFSET(ORÇAMENTO!$W$15,ROW(AN143)-ROW(AN$15),0),15-13*ORÇAMENTO!$AF$11)),
         0)</f>
        <v>0</v>
      </c>
      <c r="AO143" s="453">
        <f ca="1">IF(AND($D143="Serviço",AO$12&lt;&gt;0,$H143&gt;0,OR(AUTOEVENTO&lt;&gt;"manual",$M143&lt;&gt;$A$15)),
        IF(Import.TipoArredondamento&lt;&gt;"TransfereGOV",
              ROUND(OFFSET($P143,0,AO$13),15-13*ORÇAMENTO!$AF$7)/$H143*OFFSET(ORÇAMENTO!$X$15,ROW(AO143)-ROW(AO$15),0),
              ROUND(ROUND(OFFSET($P143,0,AO$13),15-13*ORÇAMENTO!$AF$7)*OFFSET(ORÇAMENTO!$W$15,ROW(AO143)-ROW(AO$15),0),15-13*ORÇAMENTO!$AF$11)),
         0)</f>
        <v>10852.1</v>
      </c>
      <c r="AP143" s="453">
        <f ca="1">IF(AND($D143="Serviço",AP$12&lt;&gt;0,$H143&gt;0,OR(AUTOEVENTO&lt;&gt;"manual",$M143&lt;&gt;$A$15)),
        IF(Import.TipoArredondamento&lt;&gt;"TransfereGOV",
              ROUND(OFFSET($P143,0,AP$13),15-13*ORÇAMENTO!$AF$7)/$H143*OFFSET(ORÇAMENTO!$X$15,ROW(AP143)-ROW(AP$15),0),
              ROUND(ROUND(OFFSET($P143,0,AP$13),15-13*ORÇAMENTO!$AF$7)*OFFSET(ORÇAMENTO!$W$15,ROW(AP143)-ROW(AP$15),0),15-13*ORÇAMENTO!$AF$11)),
         0)</f>
        <v>0</v>
      </c>
      <c r="AQ143" s="453">
        <f ca="1">IF(AND($D143="Serviço",AQ$12&lt;&gt;0,$H143&gt;0,OR(AUTOEVENTO&lt;&gt;"manual",$M143&lt;&gt;$A$15)),
        IF(Import.TipoArredondamento&lt;&gt;"TransfereGOV",
              ROUND(OFFSET($P143,0,AQ$13),15-13*ORÇAMENTO!$AF$7)/$H143*OFFSET(ORÇAMENTO!$X$15,ROW(AQ143)-ROW(AQ$15),0),
              ROUND(ROUND(OFFSET($P143,0,AQ$13),15-13*ORÇAMENTO!$AF$7)*OFFSET(ORÇAMENTO!$W$15,ROW(AQ143)-ROW(AQ$15),0),15-13*ORÇAMENTO!$AF$11)),
         0)</f>
        <v>0</v>
      </c>
      <c r="AR143" s="453">
        <f ca="1">IF(AND($D143="Serviço",AR$12&lt;&gt;0,$H143&gt;0,OR(AUTOEVENTO&lt;&gt;"manual",$M143&lt;&gt;$A$15)),
        IF(Import.TipoArredondamento&lt;&gt;"TransfereGOV",
              ROUND(OFFSET($P143,0,AR$13),15-13*ORÇAMENTO!$AF$7)/$H143*OFFSET(ORÇAMENTO!$X$15,ROW(AR143)-ROW(AR$15),0),
              ROUND(ROUND(OFFSET($P143,0,AR$13),15-13*ORÇAMENTO!$AF$7)*OFFSET(ORÇAMENTO!$W$15,ROW(AR143)-ROW(AR$15),0),15-13*ORÇAMENTO!$AF$11)),
         0)</f>
        <v>0</v>
      </c>
      <c r="AS143" s="453">
        <f ca="1">IF(AND($D143="Serviço",AS$12&lt;&gt;0,$H143&gt;0,OR(AUTOEVENTO&lt;&gt;"manual",$M143&lt;&gt;$A$15)),
        IF(Import.TipoArredondamento&lt;&gt;"TransfereGOV",
              ROUND(OFFSET($P143,0,AS$13),15-13*ORÇAMENTO!$AF$7)/$H143*OFFSET(ORÇAMENTO!$X$15,ROW(AS143)-ROW(AS$15),0),
              ROUND(ROUND(OFFSET($P143,0,AS$13),15-13*ORÇAMENTO!$AF$7)*OFFSET(ORÇAMENTO!$W$15,ROW(AS143)-ROW(AS$15),0),15-13*ORÇAMENTO!$AF$11)),
         0)</f>
        <v>0</v>
      </c>
      <c r="AT143" s="453">
        <f ca="1">IF(AND($D143="Serviço",AT$12&lt;&gt;0,$H143&gt;0,OR(AUTOEVENTO&lt;&gt;"manual",$M143&lt;&gt;$A$15)),
        IF(Import.TipoArredondamento&lt;&gt;"TransfereGOV",
              ROUND(OFFSET($P143,0,AT$13),15-13*ORÇAMENTO!$AF$7)/$H143*OFFSET(ORÇAMENTO!$X$15,ROW(AT143)-ROW(AT$15),0),
              ROUND(ROUND(OFFSET($P143,0,AT$13),15-13*ORÇAMENTO!$AF$7)*OFFSET(ORÇAMENTO!$W$15,ROW(AT143)-ROW(AT$15),0),15-13*ORÇAMENTO!$AF$11)),
         0)</f>
        <v>0</v>
      </c>
      <c r="AU143" s="453">
        <f ca="1">IF(AND($D143="Serviço",AU$12&lt;&gt;0,$H143&gt;0,OR(AUTOEVENTO&lt;&gt;"manual",$M143&lt;&gt;$A$15)),
        IF(Import.TipoArredondamento&lt;&gt;"TransfereGOV",
              ROUND(OFFSET($P143,0,AU$13),15-13*ORÇAMENTO!$AF$7)/$H143*OFFSET(ORÇAMENTO!$X$15,ROW(AU143)-ROW(AU$15),0),
              ROUND(ROUND(OFFSET($P143,0,AU$13),15-13*ORÇAMENTO!$AF$7)*OFFSET(ORÇAMENTO!$W$15,ROW(AU143)-ROW(AU$15),0),15-13*ORÇAMENTO!$AF$11)),
         0)</f>
        <v>0</v>
      </c>
      <c r="AV143" s="453">
        <f ca="1">IF(AND($D143="Serviço",AV$12&lt;&gt;0,$H143&gt;0,OR(AUTOEVENTO&lt;&gt;"manual",$M143&lt;&gt;$A$15)),
        IF(Import.TipoArredondamento&lt;&gt;"TransfereGOV",
              ROUND(OFFSET($P143,0,AV$13),15-13*ORÇAMENTO!$AF$7)/$H143*OFFSET(ORÇAMENTO!$X$15,ROW(AV143)-ROW(AV$15),0),
              ROUND(ROUND(OFFSET($P143,0,AV$13),15-13*ORÇAMENTO!$AF$7)*OFFSET(ORÇAMENTO!$W$15,ROW(AV143)-ROW(AV$15),0),15-13*ORÇAMENTO!$AF$11)),
         0)</f>
        <v>0</v>
      </c>
      <c r="AW143" s="453">
        <f ca="1">IF(AND($D143="Serviço",AW$12&lt;&gt;0,$H143&gt;0,OR(AUTOEVENTO&lt;&gt;"manual",$M143&lt;&gt;$A$15)),
        IF(Import.TipoArredondamento&lt;&gt;"TransfereGOV",
              ROUND(OFFSET($P143,0,AW$13),15-13*ORÇAMENTO!$AF$7)/$H143*OFFSET(ORÇAMENTO!$X$15,ROW(AW143)-ROW(AW$15),0),
              ROUND(ROUND(OFFSET($P143,0,AW$13),15-13*ORÇAMENTO!$AF$7)*OFFSET(ORÇAMENTO!$W$15,ROW(AW143)-ROW(AW$15),0),15-13*ORÇAMENTO!$AF$11)),
         0)</f>
        <v>0</v>
      </c>
      <c r="AX143" s="453">
        <f ca="1">IF(AND($D143="Serviço",AX$12&lt;&gt;0,$H143&gt;0,OR(AUTOEVENTO&lt;&gt;"manual",$M143&lt;&gt;$A$15)),
        IF(Import.TipoArredondamento&lt;&gt;"TransfereGOV",
              ROUND(OFFSET($P143,0,AX$13),15-13*ORÇAMENTO!$AF$7)/$H143*OFFSET(ORÇAMENTO!$X$15,ROW(AX143)-ROW(AX$15),0),
              ROUND(ROUND(OFFSET($P143,0,AX$13),15-13*ORÇAMENTO!$AF$7)*OFFSET(ORÇAMENTO!$W$15,ROW(AX143)-ROW(AX$15),0),15-13*ORÇAMENTO!$AF$11)),
         0)</f>
        <v>0</v>
      </c>
      <c r="AY143" s="453">
        <f ca="1">IF(AND($D143="Serviço",AY$12&lt;&gt;0,$H143&gt;0,OR(AUTOEVENTO&lt;&gt;"manual",$M143&lt;&gt;$A$15)),
        IF(Import.TipoArredondamento&lt;&gt;"TransfereGOV",
              ROUND(OFFSET($P143,0,AY$13),15-13*ORÇAMENTO!$AF$7)/$H143*OFFSET(ORÇAMENTO!$X$15,ROW(AY143)-ROW(AY$15),0),
              ROUND(ROUND(OFFSET($P143,0,AY$13),15-13*ORÇAMENTO!$AF$7)*OFFSET(ORÇAMENTO!$W$15,ROW(AY143)-ROW(AY$15),0),15-13*ORÇAMENTO!$AF$11)),
         0)</f>
        <v>0</v>
      </c>
      <c r="AZ143" s="453">
        <f ca="1">IF(AND($D143="Serviço",AZ$12&lt;&gt;0,$H143&gt;0,OR(AUTOEVENTO&lt;&gt;"manual",$M143&lt;&gt;$A$15)),
        IF(Import.TipoArredondamento&lt;&gt;"TransfereGOV",
              ROUND(OFFSET($P143,0,AZ$13),15-13*ORÇAMENTO!$AF$7)/$H143*OFFSET(ORÇAMENTO!$X$15,ROW(AZ143)-ROW(AZ$15),0),
              ROUND(ROUND(OFFSET($P143,0,AZ$13),15-13*ORÇAMENTO!$AF$7)*OFFSET(ORÇAMENTO!$W$15,ROW(AZ143)-ROW(AZ$15),0),15-13*ORÇAMENTO!$AF$11)),
         0)</f>
        <v>0</v>
      </c>
      <c r="BA143" s="453">
        <f ca="1">IF(AND($D143="Serviço",BA$12&lt;&gt;0,$H143&gt;0,OR(AUTOEVENTO&lt;&gt;"manual",$M143&lt;&gt;$A$15)),
        IF(Import.TipoArredondamento&lt;&gt;"TransfereGOV",
              ROUND(OFFSET($P143,0,BA$13),15-13*ORÇAMENTO!$AF$7)/$H143*OFFSET(ORÇAMENTO!$X$15,ROW(BA143)-ROW(BA$15),0),
              ROUND(ROUND(OFFSET($P143,0,BA$13),15-13*ORÇAMENTO!$AF$7)*OFFSET(ORÇAMENTO!$W$15,ROW(BA143)-ROW(BA$15),0),15-13*ORÇAMENTO!$AF$11)),
         0)</f>
        <v>0</v>
      </c>
      <c r="BC143" s="171">
        <f ca="1">IF(OR($D143&lt;&gt;"Serviço",AND(AUTOEVENTO="Manual",$M143=$A$15)),0,
         IF(OFFSET(CRONOPLE!$F$15,$M143-$A$15,BC$13)=0,10^12,OFFSET(CRONOPLE!$F$15,$M143-$A$15,BC$13)))</f>
        <v>1000000000000</v>
      </c>
      <c r="BD143" s="171">
        <f ca="1">IF(OR($D143&lt;&gt;"Serviço",AND(AUTOEVENTO="Manual",$M143=$A$15)),0,
         IF(OFFSET(CRONOPLE!$F$15,$M143-$A$15,BD$13)=0,10^12,OFFSET(CRONOPLE!$F$15,$M143-$A$15,BD$13)))</f>
        <v>1000000000000</v>
      </c>
      <c r="BE143" s="171">
        <f ca="1">IF(OR($D143&lt;&gt;"Serviço",AND(AUTOEVENTO="Manual",$M143=$A$15)),0,
         IF(OFFSET(CRONOPLE!$F$15,$M143-$A$15,BE$13)=0,10^12,OFFSET(CRONOPLE!$F$15,$M143-$A$15,BE$13)))</f>
        <v>1000000000000</v>
      </c>
      <c r="BF143" s="171">
        <f ca="1">IF(OR($D143&lt;&gt;"Serviço",AND(AUTOEVENTO="Manual",$M143=$A$15)),0,
         IF(OFFSET(CRONOPLE!$F$15,$M143-$A$15,BF$13)=0,10^12,OFFSET(CRONOPLE!$F$15,$M143-$A$15,BF$13)))</f>
        <v>1000000000000</v>
      </c>
      <c r="BG143" s="171">
        <f ca="1">IF(OR($D143&lt;&gt;"Serviço",AND(AUTOEVENTO="Manual",$M143=$A$15)),0,
         IF(OFFSET(CRONOPLE!$F$15,$M143-$A$15,BG$13)=0,10^12,OFFSET(CRONOPLE!$F$15,$M143-$A$15,BG$13)))</f>
        <v>1000000000000</v>
      </c>
      <c r="BH143" s="171">
        <f ca="1">IF(OR($D143&lt;&gt;"Serviço",AND(AUTOEVENTO="Manual",$M143=$A$15)),0,
         IF(OFFSET(CRONOPLE!$F$15,$M143-$A$15,BH$13)=0,10^12,OFFSET(CRONOPLE!$F$15,$M143-$A$15,BH$13)))</f>
        <v>6</v>
      </c>
      <c r="BI143" s="171">
        <f ca="1">IF(OR($D143&lt;&gt;"Serviço",AND(AUTOEVENTO="Manual",$M143=$A$15)),0,
         IF(OFFSET(CRONOPLE!$F$15,$M143-$A$15,BI$13)=0,10^12,OFFSET(CRONOPLE!$F$15,$M143-$A$15,BI$13)))</f>
        <v>1000000000000</v>
      </c>
      <c r="BJ143" s="171">
        <f ca="1">IF(OR($D143&lt;&gt;"Serviço",AND(AUTOEVENTO="Manual",$M143=$A$15)),0,
         IF(OFFSET(CRONOPLE!$F$15,$M143-$A$15,BJ$13)=0,10^12,OFFSET(CRONOPLE!$F$15,$M143-$A$15,BJ$13)))</f>
        <v>1000000000000</v>
      </c>
      <c r="BK143" s="171">
        <f ca="1">IF(OR($D143&lt;&gt;"Serviço",AND(AUTOEVENTO="Manual",$M143=$A$15)),0,
         IF(OFFSET(CRONOPLE!$F$15,$M143-$A$15,BK$13)=0,10^12,OFFSET(CRONOPLE!$F$15,$M143-$A$15,BK$13)))</f>
        <v>1000000000000</v>
      </c>
      <c r="BL143" s="171">
        <f ca="1">IF(OR($D143&lt;&gt;"Serviço",AND(AUTOEVENTO="Manual",$M143=$A$15)),0,
         IF(OFFSET(CRONOPLE!$F$15,$M143-$A$15,BL$13)=0,10^12,OFFSET(CRONOPLE!$F$15,$M143-$A$15,BL$13)))</f>
        <v>1000000000000</v>
      </c>
      <c r="BM143" s="171">
        <f ca="1">IF(OR($D143&lt;&gt;"Serviço",AND(AUTOEVENTO="Manual",$M143=$A$15)),0,
         IF(OFFSET(CRONOPLE!$F$15,$M143-$A$15,BM$13)=0,10^12,OFFSET(CRONOPLE!$F$15,$M143-$A$15,BM$13)))</f>
        <v>1000000000000</v>
      </c>
      <c r="BN143" s="171">
        <f ca="1">IF(OR($D143&lt;&gt;"Serviço",AND(AUTOEVENTO="Manual",$M143=$A$15)),0,
         IF(OFFSET(CRONOPLE!$F$15,$M143-$A$15,BN$13)=0,10^12,OFFSET(CRONOPLE!$F$15,$M143-$A$15,BN$13)))</f>
        <v>1000000000000</v>
      </c>
      <c r="BO143" s="171">
        <f ca="1">IF(OR($D143&lt;&gt;"Serviço",AND(AUTOEVENTO="Manual",$M143=$A$15)),0,
         IF(OFFSET(CRONOPLE!$F$15,$M143-$A$15,BO$13)=0,10^12,OFFSET(CRONOPLE!$F$15,$M143-$A$15,BO$13)))</f>
        <v>1000000000000</v>
      </c>
      <c r="BP143" s="171">
        <f ca="1">IF(OR($D143&lt;&gt;"Serviço",AND(AUTOEVENTO="Manual",$M143=$A$15)),0,
         IF(OFFSET(CRONOPLE!$F$15,$M143-$A$15,BP$13)=0,10^12,OFFSET(CRONOPLE!$F$15,$M143-$A$15,BP$13)))</f>
        <v>1000000000000</v>
      </c>
      <c r="BQ143" s="171">
        <f ca="1">IF(OR($D143&lt;&gt;"Serviço",AND(AUTOEVENTO="Manual",$M143=$A$15)),0,
         IF(OFFSET(CRONOPLE!$F$15,$M143-$A$15,BQ$13)=0,10^12,OFFSET(CRONOPLE!$F$15,$M143-$A$15,BQ$13)))</f>
        <v>1000000000000</v>
      </c>
      <c r="BR143" s="171">
        <f ca="1">IF(OR($D143&lt;&gt;"Serviço",AND(AUTOEVENTO="Manual",$M143=$A$15)),0,
         IF(OFFSET(CRONOPLE!$F$15,$M143-$A$15,BR$13)=0,10^12,OFFSET(CRONOPLE!$F$15,$M143-$A$15,BR$13)))</f>
        <v>1000000000000</v>
      </c>
      <c r="BS143" s="171">
        <f ca="1">IF(OR($D143&lt;&gt;"Serviço",AND(AUTOEVENTO="Manual",$M143=$A$15)),0,
         IF(OFFSET(CRONOPLE!$F$15,$M143-$A$15,BS$13)=0,10^12,OFFSET(CRONOPLE!$F$15,$M143-$A$15,BS$13)))</f>
        <v>1000000000000</v>
      </c>
      <c r="BT143" s="171">
        <f ca="1">IF(OR($D143&lt;&gt;"Serviço",AND(AUTOEVENTO="Manual",$M143=$A$15)),0,
         IF(OFFSET(CRONOPLE!$F$15,$M143-$A$15,BT$13)=0,10^12,OFFSET(CRONOPLE!$F$15,$M143-$A$15,BT$13)))</f>
        <v>1000000000000</v>
      </c>
      <c r="BV143" s="172">
        <f ca="1">IF(OR($D143&lt;&gt;"Serviço",AND(AUTOEVENTO="Manual",$M143=$A$15),$M143&gt;(ROW(PLE.lastrow)-ROW(PLE.firstrow))),0,
           IF(OFFSET(PLE!$G$15,$M143-$A$15,BV$13)="",10^12,OFFSET(PLE!$G$15,$M143-$A$15,BV$13)))</f>
        <v>1000000000000</v>
      </c>
      <c r="BW143" s="172">
        <f ca="1">IF(OR($D143&lt;&gt;"Serviço",AND(AUTOEVENTO="Manual",$M143=$A$15),$M143&gt;(ROW(PLE.lastrow)-ROW(PLE.firstrow))),0,
           IF(OFFSET(PLE!$G$15,$M143-$A$15,BW$13)="",10^12,OFFSET(PLE!$G$15,$M143-$A$15,BW$13)))</f>
        <v>1000000000000</v>
      </c>
      <c r="BX143" s="172">
        <f ca="1">IF(OR($D143&lt;&gt;"Serviço",AND(AUTOEVENTO="Manual",$M143=$A$15),$M143&gt;(ROW(PLE.lastrow)-ROW(PLE.firstrow))),0,
           IF(OFFSET(PLE!$G$15,$M143-$A$15,BX$13)="",10^12,OFFSET(PLE!$G$15,$M143-$A$15,BX$13)))</f>
        <v>1000000000000</v>
      </c>
      <c r="BY143" s="172">
        <f ca="1">IF(OR($D143&lt;&gt;"Serviço",AND(AUTOEVENTO="Manual",$M143=$A$15),$M143&gt;(ROW(PLE.lastrow)-ROW(PLE.firstrow))),0,
           IF(OFFSET(PLE!$G$15,$M143-$A$15,BY$13)="",10^12,OFFSET(PLE!$G$15,$M143-$A$15,BY$13)))</f>
        <v>1000000000000</v>
      </c>
      <c r="BZ143" s="172">
        <f ca="1">IF(OR($D143&lt;&gt;"Serviço",AND(AUTOEVENTO="Manual",$M143=$A$15),$M143&gt;(ROW(PLE.lastrow)-ROW(PLE.firstrow))),0,
           IF(OFFSET(PLE!$G$15,$M143-$A$15,BZ$13)="",10^12,OFFSET(PLE!$G$15,$M143-$A$15,BZ$13)))</f>
        <v>1000000000000</v>
      </c>
      <c r="CA143" s="172">
        <f ca="1">IF(OR($D143&lt;&gt;"Serviço",AND(AUTOEVENTO="Manual",$M143=$A$15),$M143&gt;(ROW(PLE.lastrow)-ROW(PLE.firstrow))),0,
           IF(OFFSET(PLE!$G$15,$M143-$A$15,CA$13)="",10^12,OFFSET(PLE!$G$15,$M143-$A$15,CA$13)))</f>
        <v>1000000000000</v>
      </c>
      <c r="CB143" s="172">
        <f ca="1">IF(OR($D143&lt;&gt;"Serviço",AND(AUTOEVENTO="Manual",$M143=$A$15),$M143&gt;(ROW(PLE.lastrow)-ROW(PLE.firstrow))),0,
           IF(OFFSET(PLE!$G$15,$M143-$A$15,CB$13)="",10^12,OFFSET(PLE!$G$15,$M143-$A$15,CB$13)))</f>
        <v>1000000000000</v>
      </c>
      <c r="CC143" s="172">
        <f ca="1">IF(OR($D143&lt;&gt;"Serviço",AND(AUTOEVENTO="Manual",$M143=$A$15),$M143&gt;(ROW(PLE.lastrow)-ROW(PLE.firstrow))),0,
           IF(OFFSET(PLE!$G$15,$M143-$A$15,CC$13)="",10^12,OFFSET(PLE!$G$15,$M143-$A$15,CC$13)))</f>
        <v>1000000000000</v>
      </c>
      <c r="CD143" s="172">
        <f ca="1">IF(OR($D143&lt;&gt;"Serviço",AND(AUTOEVENTO="Manual",$M143=$A$15),$M143&gt;(ROW(PLE.lastrow)-ROW(PLE.firstrow))),0,
           IF(OFFSET(PLE!$G$15,$M143-$A$15,CD$13)="",10^12,OFFSET(PLE!$G$15,$M143-$A$15,CD$13)))</f>
        <v>1000000000000</v>
      </c>
      <c r="CE143" s="172">
        <f ca="1">IF(OR($D143&lt;&gt;"Serviço",AND(AUTOEVENTO="Manual",$M143=$A$15),$M143&gt;(ROW(PLE.lastrow)-ROW(PLE.firstrow))),0,
           IF(OFFSET(PLE!$G$15,$M143-$A$15,CE$13)="",10^12,OFFSET(PLE!$G$15,$M143-$A$15,CE$13)))</f>
        <v>1000000000000</v>
      </c>
      <c r="CF143" s="172">
        <f ca="1">IF(OR($D143&lt;&gt;"Serviço",AND(AUTOEVENTO="Manual",$M143=$A$15),$M143&gt;(ROW(PLE.lastrow)-ROW(PLE.firstrow))),0,
           IF(OFFSET(PLE!$G$15,$M143-$A$15,CF$13)="",10^12,OFFSET(PLE!$G$15,$M143-$A$15,CF$13)))</f>
        <v>1000000000000</v>
      </c>
      <c r="CG143" s="172">
        <f ca="1">IF(OR($D143&lt;&gt;"Serviço",AND(AUTOEVENTO="Manual",$M143=$A$15),$M143&gt;(ROW(PLE.lastrow)-ROW(PLE.firstrow))),0,
           IF(OFFSET(PLE!$G$15,$M143-$A$15,CG$13)="",10^12,OFFSET(PLE!$G$15,$M143-$A$15,CG$13)))</f>
        <v>1000000000000</v>
      </c>
      <c r="CH143" s="172">
        <f ca="1">IF(OR($D143&lt;&gt;"Serviço",AND(AUTOEVENTO="Manual",$M143=$A$15),$M143&gt;(ROW(PLE.lastrow)-ROW(PLE.firstrow))),0,
           IF(OFFSET(PLE!$G$15,$M143-$A$15,CH$13)="",10^12,OFFSET(PLE!$G$15,$M143-$A$15,CH$13)))</f>
        <v>1000000000000</v>
      </c>
      <c r="CI143" s="172">
        <f ca="1">IF(OR($D143&lt;&gt;"Serviço",AND(AUTOEVENTO="Manual",$M143=$A$15),$M143&gt;(ROW(PLE.lastrow)-ROW(PLE.firstrow))),0,
           IF(OFFSET(PLE!$G$15,$M143-$A$15,CI$13)="",10^12,OFFSET(PLE!$G$15,$M143-$A$15,CI$13)))</f>
        <v>1000000000000</v>
      </c>
      <c r="CJ143" s="172">
        <f ca="1">IF(OR($D143&lt;&gt;"Serviço",AND(AUTOEVENTO="Manual",$M143=$A$15),$M143&gt;(ROW(PLE.lastrow)-ROW(PLE.firstrow))),0,
           IF(OFFSET(PLE!$G$15,$M143-$A$15,CJ$13)="",10^12,OFFSET(PLE!$G$15,$M143-$A$15,CJ$13)))</f>
        <v>1000000000000</v>
      </c>
      <c r="CK143" s="172">
        <f ca="1">IF(OR($D143&lt;&gt;"Serviço",AND(AUTOEVENTO="Manual",$M143=$A$15),$M143&gt;(ROW(PLE.lastrow)-ROW(PLE.firstrow))),0,
           IF(OFFSET(PLE!$G$15,$M143-$A$15,CK$13)="",10^12,OFFSET(PLE!$G$15,$M143-$A$15,CK$13)))</f>
        <v>1000000000000</v>
      </c>
      <c r="CL143" s="172">
        <f ca="1">IF(OR($D143&lt;&gt;"Serviço",AND(AUTOEVENTO="Manual",$M143=$A$15),$M143&gt;(ROW(PLE.lastrow)-ROW(PLE.firstrow))),0,
           IF(OFFSET(PLE!$G$15,$M143-$A$15,CL$13)="",10^12,OFFSET(PLE!$G$15,$M143-$A$15,CL$13)))</f>
        <v>1000000000000</v>
      </c>
      <c r="CM143" s="172">
        <f ca="1">IF(OR($D143&lt;&gt;"Serviço",AND(AUTOEVENTO="Manual",$M143=$A$15),$M143&gt;(ROW(PLE.lastrow)-ROW(PLE.firstrow))),0,
           IF(OFFSET(PLE!$G$15,$M143-$A$15,CM$13)="",10^12,OFFSET(PLE!$G$15,$M143-$A$15,CM$13)))</f>
        <v>1000000000000</v>
      </c>
    </row>
    <row r="144" spans="1:91" ht="26.4" x14ac:dyDescent="0.25">
      <c r="A144" s="7" t="str">
        <f t="shared" ca="1" si="11"/>
        <v>126</v>
      </c>
      <c r="B144" s="7" t="str">
        <f ca="1">OFFSET(ORÇAMENTO!C$15,ROW(B144)-ROW(B$15),0)</f>
        <v>S</v>
      </c>
      <c r="C144" s="7" t="str">
        <f ca="1">OFFSET(ORÇAMENTO!L$15,ROW(C144)-ROW(C$15),0)</f>
        <v>F</v>
      </c>
      <c r="D144" s="116" t="str">
        <f ca="1">OFFSET(ORÇAMENTO!N$15,ROW(D144)-ROW(D$15),0)</f>
        <v>Serviço</v>
      </c>
      <c r="E144" s="117" t="str">
        <f ca="1">OFFSET(ORÇAMENTO!O$15,ROW(E144)-ROW(E$15),0)</f>
        <v>4.2.3.</v>
      </c>
      <c r="F144" s="163" t="str">
        <f ca="1">OFFSET(ORÇAMENTO!R$15,ROW(F144)-ROW(F$15),0)</f>
        <v>Base ou sub-base de brita graduada com brita comercial - 100% Proctor modificado</v>
      </c>
      <c r="G144" s="164" t="str">
        <f ca="1">IF($D144&lt;&gt;"Serviço","",OFFSET(ORÇAMENTO!S$15,ROW(G144)-ROW(G$15),0))</f>
        <v>m³</v>
      </c>
      <c r="H144" s="122" cm="1">
        <f t="array" aca="1" ref="H144" ca="1">IF($D144&lt;&gt;"Serviço",0,IF(ACOMPANHAMENTO="BM",ROUND(OFFSET(ORÇAMENTO!AJ$15,ROW(H144)-ROW(H$15),0),15-13*ORÇAMENTO!$AF$7),SUMPRODUCT(($Q$1:$AI$1=1)*ROUND($Q144:$AI144,15-13*ORÇAMENTO!$AF$7))))</f>
        <v>272.88</v>
      </c>
      <c r="I144" s="468"/>
      <c r="J144" s="651" t="e" cm="1">
        <f t="array" aca="1" ref="J144" ca="1">IF(OR(B144&lt;&gt;"S",CÁLCULO.FrentesPreenchidas=0),"",IF(AND(ACOMPANHAMENTO="PLE",AUTOEVENTO="Manual",OR(H144&gt;0,ORÇAMENTO!AC144="QUANT."),OR(K144="",M144=0,N144="")),"►E",IF(AND(ACOMPANHAMENTO="PLE",ORÇAMENTO!AC144="QUANT."),"►Q",IF(AND(ACOMPANHAMENTO="PLE",H144&lt;&gt;SUMPRODUCT(($Q$1:$AI$1=1)*ROUND(Q144:AI144,15))),"►S",IF(AND(COUNTIF($P$11:$AI$11,"▼")=0,H144&gt;0,I144=""),"◄M","")))))</f>
        <v>#NAME?</v>
      </c>
      <c r="K144" s="652"/>
      <c r="L144" s="165" t="s">
        <v>764</v>
      </c>
      <c r="M144" s="166">
        <f ca="1">IF($D144&lt;&gt;"Serviço","",
          IF(AUTOEVENTO="manual",$A144,
                IF(ISERROR(MATCH($A144,$A$15:OFFSET($A144,-1,0),0)),MAX($M$15:OFFSET(M144,-1,0))+1,
                      INDEX($M$15:OFFSET(M144,-1,0),MATCH($A144,$A$15:OFFSET($A144,-1,0),0)))))</f>
        <v>20</v>
      </c>
      <c r="N144" s="167" t="str">
        <f ca="1">IF($D144&lt;&gt;"Serviço","",
         IF(AUTOEVENTO="Manual",
                IF($A144=0,"&lt;-- defina o número do agrupador",
                       OFFSET(EVENTOS!$D$15,$A144-$A$15,0)),
                OFFSET($F$15,$A144,0)))</f>
        <v>PAVIMENTAÇÃO</v>
      </c>
      <c r="O144" s="168"/>
      <c r="Q144" s="168"/>
      <c r="R144" s="169"/>
      <c r="S144" s="169"/>
      <c r="T144" s="169"/>
      <c r="U144" s="169"/>
      <c r="V144" s="169">
        <f>2274*0.12</f>
        <v>272.88</v>
      </c>
      <c r="W144" s="169"/>
      <c r="X144" s="169"/>
      <c r="Y144" s="169"/>
      <c r="Z144" s="170"/>
      <c r="AA144" s="169"/>
      <c r="AB144" s="169"/>
      <c r="AC144" s="169"/>
      <c r="AD144" s="169"/>
      <c r="AE144" s="169"/>
      <c r="AF144" s="169"/>
      <c r="AG144" s="169"/>
      <c r="AH144" s="170"/>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L144" s="453">
        <f ca="1">IF(AND($D144="Serviço",AL$12&lt;&gt;0,$H144&gt;0,OR(AUTOEVENTO&lt;&gt;"manual",$M144&lt;&gt;$A$15)),
        IF(Import.TipoArredondamento&lt;&gt;"TransfereGOV",
              ROUND(OFFSET($P144,0,AL$13),15-13*ORÇAMENTO!$AF$7)/$H144*OFFSET(ORÇAMENTO!$X$15,ROW(AL144)-ROW(AL$15),0),
              ROUND(ROUND(OFFSET($P144,0,AL$13),15-13*ORÇAMENTO!$AF$7)*OFFSET(ORÇAMENTO!$W$15,ROW(AL144)-ROW(AL$15),0),15-13*ORÇAMENTO!$AF$11)),
         0)</f>
        <v>0</v>
      </c>
      <c r="AM144" s="453">
        <f ca="1">IF(AND($D144="Serviço",AM$12&lt;&gt;0,$H144&gt;0,OR(AUTOEVENTO&lt;&gt;"manual",$M144&lt;&gt;$A$15)),
        IF(Import.TipoArredondamento&lt;&gt;"TransfereGOV",
              ROUND(OFFSET($P144,0,AM$13),15-13*ORÇAMENTO!$AF$7)/$H144*OFFSET(ORÇAMENTO!$X$15,ROW(AM144)-ROW(AM$15),0),
              ROUND(ROUND(OFFSET($P144,0,AM$13),15-13*ORÇAMENTO!$AF$7)*OFFSET(ORÇAMENTO!$W$15,ROW(AM144)-ROW(AM$15),0),15-13*ORÇAMENTO!$AF$11)),
         0)</f>
        <v>0</v>
      </c>
      <c r="AN144" s="453">
        <f ca="1">IF(AND($D144="Serviço",AN$12&lt;&gt;0,$H144&gt;0,OR(AUTOEVENTO&lt;&gt;"manual",$M144&lt;&gt;$A$15)),
        IF(Import.TipoArredondamento&lt;&gt;"TransfereGOV",
              ROUND(OFFSET($P144,0,AN$13),15-13*ORÇAMENTO!$AF$7)/$H144*OFFSET(ORÇAMENTO!$X$15,ROW(AN144)-ROW(AN$15),0),
              ROUND(ROUND(OFFSET($P144,0,AN$13),15-13*ORÇAMENTO!$AF$7)*OFFSET(ORÇAMENTO!$W$15,ROW(AN144)-ROW(AN$15),0),15-13*ORÇAMENTO!$AF$11)),
         0)</f>
        <v>0</v>
      </c>
      <c r="AO144" s="453">
        <f ca="1">IF(AND($D144="Serviço",AO$12&lt;&gt;0,$H144&gt;0,OR(AUTOEVENTO&lt;&gt;"manual",$M144&lt;&gt;$A$15)),
        IF(Import.TipoArredondamento&lt;&gt;"TransfereGOV",
              ROUND(OFFSET($P144,0,AO$13),15-13*ORÇAMENTO!$AF$7)/$H144*OFFSET(ORÇAMENTO!$X$15,ROW(AO144)-ROW(AO$15),0),
              ROUND(ROUND(OFFSET($P144,0,AO$13),15-13*ORÇAMENTO!$AF$7)*OFFSET(ORÇAMENTO!$W$15,ROW(AO144)-ROW(AO$15),0),15-13*ORÇAMENTO!$AF$11)),
         0)</f>
        <v>79601.820000000007</v>
      </c>
      <c r="AP144" s="453">
        <f ca="1">IF(AND($D144="Serviço",AP$12&lt;&gt;0,$H144&gt;0,OR(AUTOEVENTO&lt;&gt;"manual",$M144&lt;&gt;$A$15)),
        IF(Import.TipoArredondamento&lt;&gt;"TransfereGOV",
              ROUND(OFFSET($P144,0,AP$13),15-13*ORÇAMENTO!$AF$7)/$H144*OFFSET(ORÇAMENTO!$X$15,ROW(AP144)-ROW(AP$15),0),
              ROUND(ROUND(OFFSET($P144,0,AP$13),15-13*ORÇAMENTO!$AF$7)*OFFSET(ORÇAMENTO!$W$15,ROW(AP144)-ROW(AP$15),0),15-13*ORÇAMENTO!$AF$11)),
         0)</f>
        <v>0</v>
      </c>
      <c r="AQ144" s="453">
        <f ca="1">IF(AND($D144="Serviço",AQ$12&lt;&gt;0,$H144&gt;0,OR(AUTOEVENTO&lt;&gt;"manual",$M144&lt;&gt;$A$15)),
        IF(Import.TipoArredondamento&lt;&gt;"TransfereGOV",
              ROUND(OFFSET($P144,0,AQ$13),15-13*ORÇAMENTO!$AF$7)/$H144*OFFSET(ORÇAMENTO!$X$15,ROW(AQ144)-ROW(AQ$15),0),
              ROUND(ROUND(OFFSET($P144,0,AQ$13),15-13*ORÇAMENTO!$AF$7)*OFFSET(ORÇAMENTO!$W$15,ROW(AQ144)-ROW(AQ$15),0),15-13*ORÇAMENTO!$AF$11)),
         0)</f>
        <v>0</v>
      </c>
      <c r="AR144" s="453">
        <f ca="1">IF(AND($D144="Serviço",AR$12&lt;&gt;0,$H144&gt;0,OR(AUTOEVENTO&lt;&gt;"manual",$M144&lt;&gt;$A$15)),
        IF(Import.TipoArredondamento&lt;&gt;"TransfereGOV",
              ROUND(OFFSET($P144,0,AR$13),15-13*ORÇAMENTO!$AF$7)/$H144*OFFSET(ORÇAMENTO!$X$15,ROW(AR144)-ROW(AR$15),0),
              ROUND(ROUND(OFFSET($P144,0,AR$13),15-13*ORÇAMENTO!$AF$7)*OFFSET(ORÇAMENTO!$W$15,ROW(AR144)-ROW(AR$15),0),15-13*ORÇAMENTO!$AF$11)),
         0)</f>
        <v>0</v>
      </c>
      <c r="AS144" s="453">
        <f ca="1">IF(AND($D144="Serviço",AS$12&lt;&gt;0,$H144&gt;0,OR(AUTOEVENTO&lt;&gt;"manual",$M144&lt;&gt;$A$15)),
        IF(Import.TipoArredondamento&lt;&gt;"TransfereGOV",
              ROUND(OFFSET($P144,0,AS$13),15-13*ORÇAMENTO!$AF$7)/$H144*OFFSET(ORÇAMENTO!$X$15,ROW(AS144)-ROW(AS$15),0),
              ROUND(ROUND(OFFSET($P144,0,AS$13),15-13*ORÇAMENTO!$AF$7)*OFFSET(ORÇAMENTO!$W$15,ROW(AS144)-ROW(AS$15),0),15-13*ORÇAMENTO!$AF$11)),
         0)</f>
        <v>0</v>
      </c>
      <c r="AT144" s="453">
        <f ca="1">IF(AND($D144="Serviço",AT$12&lt;&gt;0,$H144&gt;0,OR(AUTOEVENTO&lt;&gt;"manual",$M144&lt;&gt;$A$15)),
        IF(Import.TipoArredondamento&lt;&gt;"TransfereGOV",
              ROUND(OFFSET($P144,0,AT$13),15-13*ORÇAMENTO!$AF$7)/$H144*OFFSET(ORÇAMENTO!$X$15,ROW(AT144)-ROW(AT$15),0),
              ROUND(ROUND(OFFSET($P144,0,AT$13),15-13*ORÇAMENTO!$AF$7)*OFFSET(ORÇAMENTO!$W$15,ROW(AT144)-ROW(AT$15),0),15-13*ORÇAMENTO!$AF$11)),
         0)</f>
        <v>0</v>
      </c>
      <c r="AU144" s="453">
        <f ca="1">IF(AND($D144="Serviço",AU$12&lt;&gt;0,$H144&gt;0,OR(AUTOEVENTO&lt;&gt;"manual",$M144&lt;&gt;$A$15)),
        IF(Import.TipoArredondamento&lt;&gt;"TransfereGOV",
              ROUND(OFFSET($P144,0,AU$13),15-13*ORÇAMENTO!$AF$7)/$H144*OFFSET(ORÇAMENTO!$X$15,ROW(AU144)-ROW(AU$15),0),
              ROUND(ROUND(OFFSET($P144,0,AU$13),15-13*ORÇAMENTO!$AF$7)*OFFSET(ORÇAMENTO!$W$15,ROW(AU144)-ROW(AU$15),0),15-13*ORÇAMENTO!$AF$11)),
         0)</f>
        <v>0</v>
      </c>
      <c r="AV144" s="453">
        <f ca="1">IF(AND($D144="Serviço",AV$12&lt;&gt;0,$H144&gt;0,OR(AUTOEVENTO&lt;&gt;"manual",$M144&lt;&gt;$A$15)),
        IF(Import.TipoArredondamento&lt;&gt;"TransfereGOV",
              ROUND(OFFSET($P144,0,AV$13),15-13*ORÇAMENTO!$AF$7)/$H144*OFFSET(ORÇAMENTO!$X$15,ROW(AV144)-ROW(AV$15),0),
              ROUND(ROUND(OFFSET($P144,0,AV$13),15-13*ORÇAMENTO!$AF$7)*OFFSET(ORÇAMENTO!$W$15,ROW(AV144)-ROW(AV$15),0),15-13*ORÇAMENTO!$AF$11)),
         0)</f>
        <v>0</v>
      </c>
      <c r="AW144" s="453">
        <f ca="1">IF(AND($D144="Serviço",AW$12&lt;&gt;0,$H144&gt;0,OR(AUTOEVENTO&lt;&gt;"manual",$M144&lt;&gt;$A$15)),
        IF(Import.TipoArredondamento&lt;&gt;"TransfereGOV",
              ROUND(OFFSET($P144,0,AW$13),15-13*ORÇAMENTO!$AF$7)/$H144*OFFSET(ORÇAMENTO!$X$15,ROW(AW144)-ROW(AW$15),0),
              ROUND(ROUND(OFFSET($P144,0,AW$13),15-13*ORÇAMENTO!$AF$7)*OFFSET(ORÇAMENTO!$W$15,ROW(AW144)-ROW(AW$15),0),15-13*ORÇAMENTO!$AF$11)),
         0)</f>
        <v>0</v>
      </c>
      <c r="AX144" s="453">
        <f ca="1">IF(AND($D144="Serviço",AX$12&lt;&gt;0,$H144&gt;0,OR(AUTOEVENTO&lt;&gt;"manual",$M144&lt;&gt;$A$15)),
        IF(Import.TipoArredondamento&lt;&gt;"TransfereGOV",
              ROUND(OFFSET($P144,0,AX$13),15-13*ORÇAMENTO!$AF$7)/$H144*OFFSET(ORÇAMENTO!$X$15,ROW(AX144)-ROW(AX$15),0),
              ROUND(ROUND(OFFSET($P144,0,AX$13),15-13*ORÇAMENTO!$AF$7)*OFFSET(ORÇAMENTO!$W$15,ROW(AX144)-ROW(AX$15),0),15-13*ORÇAMENTO!$AF$11)),
         0)</f>
        <v>0</v>
      </c>
      <c r="AY144" s="453">
        <f ca="1">IF(AND($D144="Serviço",AY$12&lt;&gt;0,$H144&gt;0,OR(AUTOEVENTO&lt;&gt;"manual",$M144&lt;&gt;$A$15)),
        IF(Import.TipoArredondamento&lt;&gt;"TransfereGOV",
              ROUND(OFFSET($P144,0,AY$13),15-13*ORÇAMENTO!$AF$7)/$H144*OFFSET(ORÇAMENTO!$X$15,ROW(AY144)-ROW(AY$15),0),
              ROUND(ROUND(OFFSET($P144,0,AY$13),15-13*ORÇAMENTO!$AF$7)*OFFSET(ORÇAMENTO!$W$15,ROW(AY144)-ROW(AY$15),0),15-13*ORÇAMENTO!$AF$11)),
         0)</f>
        <v>0</v>
      </c>
      <c r="AZ144" s="453">
        <f ca="1">IF(AND($D144="Serviço",AZ$12&lt;&gt;0,$H144&gt;0,OR(AUTOEVENTO&lt;&gt;"manual",$M144&lt;&gt;$A$15)),
        IF(Import.TipoArredondamento&lt;&gt;"TransfereGOV",
              ROUND(OFFSET($P144,0,AZ$13),15-13*ORÇAMENTO!$AF$7)/$H144*OFFSET(ORÇAMENTO!$X$15,ROW(AZ144)-ROW(AZ$15),0),
              ROUND(ROUND(OFFSET($P144,0,AZ$13),15-13*ORÇAMENTO!$AF$7)*OFFSET(ORÇAMENTO!$W$15,ROW(AZ144)-ROW(AZ$15),0),15-13*ORÇAMENTO!$AF$11)),
         0)</f>
        <v>0</v>
      </c>
      <c r="BA144" s="453">
        <f ca="1">IF(AND($D144="Serviço",BA$12&lt;&gt;0,$H144&gt;0,OR(AUTOEVENTO&lt;&gt;"manual",$M144&lt;&gt;$A$15)),
        IF(Import.TipoArredondamento&lt;&gt;"TransfereGOV",
              ROUND(OFFSET($P144,0,BA$13),15-13*ORÇAMENTO!$AF$7)/$H144*OFFSET(ORÇAMENTO!$X$15,ROW(BA144)-ROW(BA$15),0),
              ROUND(ROUND(OFFSET($P144,0,BA$13),15-13*ORÇAMENTO!$AF$7)*OFFSET(ORÇAMENTO!$W$15,ROW(BA144)-ROW(BA$15),0),15-13*ORÇAMENTO!$AF$11)),
         0)</f>
        <v>0</v>
      </c>
      <c r="BC144" s="171">
        <f ca="1">IF(OR($D144&lt;&gt;"Serviço",AND(AUTOEVENTO="Manual",$M144=$A$15)),0,
         IF(OFFSET(CRONOPLE!$F$15,$M144-$A$15,BC$13)=0,10^12,OFFSET(CRONOPLE!$F$15,$M144-$A$15,BC$13)))</f>
        <v>1000000000000</v>
      </c>
      <c r="BD144" s="171">
        <f ca="1">IF(OR($D144&lt;&gt;"Serviço",AND(AUTOEVENTO="Manual",$M144=$A$15)),0,
         IF(OFFSET(CRONOPLE!$F$15,$M144-$A$15,BD$13)=0,10^12,OFFSET(CRONOPLE!$F$15,$M144-$A$15,BD$13)))</f>
        <v>1000000000000</v>
      </c>
      <c r="BE144" s="171">
        <f ca="1">IF(OR($D144&lt;&gt;"Serviço",AND(AUTOEVENTO="Manual",$M144=$A$15)),0,
         IF(OFFSET(CRONOPLE!$F$15,$M144-$A$15,BE$13)=0,10^12,OFFSET(CRONOPLE!$F$15,$M144-$A$15,BE$13)))</f>
        <v>1000000000000</v>
      </c>
      <c r="BF144" s="171">
        <f ca="1">IF(OR($D144&lt;&gt;"Serviço",AND(AUTOEVENTO="Manual",$M144=$A$15)),0,
         IF(OFFSET(CRONOPLE!$F$15,$M144-$A$15,BF$13)=0,10^12,OFFSET(CRONOPLE!$F$15,$M144-$A$15,BF$13)))</f>
        <v>1000000000000</v>
      </c>
      <c r="BG144" s="171">
        <f ca="1">IF(OR($D144&lt;&gt;"Serviço",AND(AUTOEVENTO="Manual",$M144=$A$15)),0,
         IF(OFFSET(CRONOPLE!$F$15,$M144-$A$15,BG$13)=0,10^12,OFFSET(CRONOPLE!$F$15,$M144-$A$15,BG$13)))</f>
        <v>1000000000000</v>
      </c>
      <c r="BH144" s="171">
        <f ca="1">IF(OR($D144&lt;&gt;"Serviço",AND(AUTOEVENTO="Manual",$M144=$A$15)),0,
         IF(OFFSET(CRONOPLE!$F$15,$M144-$A$15,BH$13)=0,10^12,OFFSET(CRONOPLE!$F$15,$M144-$A$15,BH$13)))</f>
        <v>6</v>
      </c>
      <c r="BI144" s="171">
        <f ca="1">IF(OR($D144&lt;&gt;"Serviço",AND(AUTOEVENTO="Manual",$M144=$A$15)),0,
         IF(OFFSET(CRONOPLE!$F$15,$M144-$A$15,BI$13)=0,10^12,OFFSET(CRONOPLE!$F$15,$M144-$A$15,BI$13)))</f>
        <v>1000000000000</v>
      </c>
      <c r="BJ144" s="171">
        <f ca="1">IF(OR($D144&lt;&gt;"Serviço",AND(AUTOEVENTO="Manual",$M144=$A$15)),0,
         IF(OFFSET(CRONOPLE!$F$15,$M144-$A$15,BJ$13)=0,10^12,OFFSET(CRONOPLE!$F$15,$M144-$A$15,BJ$13)))</f>
        <v>1000000000000</v>
      </c>
      <c r="BK144" s="171">
        <f ca="1">IF(OR($D144&lt;&gt;"Serviço",AND(AUTOEVENTO="Manual",$M144=$A$15)),0,
         IF(OFFSET(CRONOPLE!$F$15,$M144-$A$15,BK$13)=0,10^12,OFFSET(CRONOPLE!$F$15,$M144-$A$15,BK$13)))</f>
        <v>1000000000000</v>
      </c>
      <c r="BL144" s="171">
        <f ca="1">IF(OR($D144&lt;&gt;"Serviço",AND(AUTOEVENTO="Manual",$M144=$A$15)),0,
         IF(OFFSET(CRONOPLE!$F$15,$M144-$A$15,BL$13)=0,10^12,OFFSET(CRONOPLE!$F$15,$M144-$A$15,BL$13)))</f>
        <v>1000000000000</v>
      </c>
      <c r="BM144" s="171">
        <f ca="1">IF(OR($D144&lt;&gt;"Serviço",AND(AUTOEVENTO="Manual",$M144=$A$15)),0,
         IF(OFFSET(CRONOPLE!$F$15,$M144-$A$15,BM$13)=0,10^12,OFFSET(CRONOPLE!$F$15,$M144-$A$15,BM$13)))</f>
        <v>1000000000000</v>
      </c>
      <c r="BN144" s="171">
        <f ca="1">IF(OR($D144&lt;&gt;"Serviço",AND(AUTOEVENTO="Manual",$M144=$A$15)),0,
         IF(OFFSET(CRONOPLE!$F$15,$M144-$A$15,BN$13)=0,10^12,OFFSET(CRONOPLE!$F$15,$M144-$A$15,BN$13)))</f>
        <v>1000000000000</v>
      </c>
      <c r="BO144" s="171">
        <f ca="1">IF(OR($D144&lt;&gt;"Serviço",AND(AUTOEVENTO="Manual",$M144=$A$15)),0,
         IF(OFFSET(CRONOPLE!$F$15,$M144-$A$15,BO$13)=0,10^12,OFFSET(CRONOPLE!$F$15,$M144-$A$15,BO$13)))</f>
        <v>1000000000000</v>
      </c>
      <c r="BP144" s="171">
        <f ca="1">IF(OR($D144&lt;&gt;"Serviço",AND(AUTOEVENTO="Manual",$M144=$A$15)),0,
         IF(OFFSET(CRONOPLE!$F$15,$M144-$A$15,BP$13)=0,10^12,OFFSET(CRONOPLE!$F$15,$M144-$A$15,BP$13)))</f>
        <v>1000000000000</v>
      </c>
      <c r="BQ144" s="171">
        <f ca="1">IF(OR($D144&lt;&gt;"Serviço",AND(AUTOEVENTO="Manual",$M144=$A$15)),0,
         IF(OFFSET(CRONOPLE!$F$15,$M144-$A$15,BQ$13)=0,10^12,OFFSET(CRONOPLE!$F$15,$M144-$A$15,BQ$13)))</f>
        <v>1000000000000</v>
      </c>
      <c r="BR144" s="171">
        <f ca="1">IF(OR($D144&lt;&gt;"Serviço",AND(AUTOEVENTO="Manual",$M144=$A$15)),0,
         IF(OFFSET(CRONOPLE!$F$15,$M144-$A$15,BR$13)=0,10^12,OFFSET(CRONOPLE!$F$15,$M144-$A$15,BR$13)))</f>
        <v>1000000000000</v>
      </c>
      <c r="BS144" s="171">
        <f ca="1">IF(OR($D144&lt;&gt;"Serviço",AND(AUTOEVENTO="Manual",$M144=$A$15)),0,
         IF(OFFSET(CRONOPLE!$F$15,$M144-$A$15,BS$13)=0,10^12,OFFSET(CRONOPLE!$F$15,$M144-$A$15,BS$13)))</f>
        <v>1000000000000</v>
      </c>
      <c r="BT144" s="171">
        <f ca="1">IF(OR($D144&lt;&gt;"Serviço",AND(AUTOEVENTO="Manual",$M144=$A$15)),0,
         IF(OFFSET(CRONOPLE!$F$15,$M144-$A$15,BT$13)=0,10^12,OFFSET(CRONOPLE!$F$15,$M144-$A$15,BT$13)))</f>
        <v>1000000000000</v>
      </c>
      <c r="BV144" s="172">
        <f ca="1">IF(OR($D144&lt;&gt;"Serviço",AND(AUTOEVENTO="Manual",$M144=$A$15),$M144&gt;(ROW(PLE.lastrow)-ROW(PLE.firstrow))),0,
           IF(OFFSET(PLE!$G$15,$M144-$A$15,BV$13)="",10^12,OFFSET(PLE!$G$15,$M144-$A$15,BV$13)))</f>
        <v>1000000000000</v>
      </c>
      <c r="BW144" s="172">
        <f ca="1">IF(OR($D144&lt;&gt;"Serviço",AND(AUTOEVENTO="Manual",$M144=$A$15),$M144&gt;(ROW(PLE.lastrow)-ROW(PLE.firstrow))),0,
           IF(OFFSET(PLE!$G$15,$M144-$A$15,BW$13)="",10^12,OFFSET(PLE!$G$15,$M144-$A$15,BW$13)))</f>
        <v>1000000000000</v>
      </c>
      <c r="BX144" s="172">
        <f ca="1">IF(OR($D144&lt;&gt;"Serviço",AND(AUTOEVENTO="Manual",$M144=$A$15),$M144&gt;(ROW(PLE.lastrow)-ROW(PLE.firstrow))),0,
           IF(OFFSET(PLE!$G$15,$M144-$A$15,BX$13)="",10^12,OFFSET(PLE!$G$15,$M144-$A$15,BX$13)))</f>
        <v>1000000000000</v>
      </c>
      <c r="BY144" s="172">
        <f ca="1">IF(OR($D144&lt;&gt;"Serviço",AND(AUTOEVENTO="Manual",$M144=$A$15),$M144&gt;(ROW(PLE.lastrow)-ROW(PLE.firstrow))),0,
           IF(OFFSET(PLE!$G$15,$M144-$A$15,BY$13)="",10^12,OFFSET(PLE!$G$15,$M144-$A$15,BY$13)))</f>
        <v>1000000000000</v>
      </c>
      <c r="BZ144" s="172">
        <f ca="1">IF(OR($D144&lt;&gt;"Serviço",AND(AUTOEVENTO="Manual",$M144=$A$15),$M144&gt;(ROW(PLE.lastrow)-ROW(PLE.firstrow))),0,
           IF(OFFSET(PLE!$G$15,$M144-$A$15,BZ$13)="",10^12,OFFSET(PLE!$G$15,$M144-$A$15,BZ$13)))</f>
        <v>1000000000000</v>
      </c>
      <c r="CA144" s="172">
        <f ca="1">IF(OR($D144&lt;&gt;"Serviço",AND(AUTOEVENTO="Manual",$M144=$A$15),$M144&gt;(ROW(PLE.lastrow)-ROW(PLE.firstrow))),0,
           IF(OFFSET(PLE!$G$15,$M144-$A$15,CA$13)="",10^12,OFFSET(PLE!$G$15,$M144-$A$15,CA$13)))</f>
        <v>1000000000000</v>
      </c>
      <c r="CB144" s="172">
        <f ca="1">IF(OR($D144&lt;&gt;"Serviço",AND(AUTOEVENTO="Manual",$M144=$A$15),$M144&gt;(ROW(PLE.lastrow)-ROW(PLE.firstrow))),0,
           IF(OFFSET(PLE!$G$15,$M144-$A$15,CB$13)="",10^12,OFFSET(PLE!$G$15,$M144-$A$15,CB$13)))</f>
        <v>1000000000000</v>
      </c>
      <c r="CC144" s="172">
        <f ca="1">IF(OR($D144&lt;&gt;"Serviço",AND(AUTOEVENTO="Manual",$M144=$A$15),$M144&gt;(ROW(PLE.lastrow)-ROW(PLE.firstrow))),0,
           IF(OFFSET(PLE!$G$15,$M144-$A$15,CC$13)="",10^12,OFFSET(PLE!$G$15,$M144-$A$15,CC$13)))</f>
        <v>1000000000000</v>
      </c>
      <c r="CD144" s="172">
        <f ca="1">IF(OR($D144&lt;&gt;"Serviço",AND(AUTOEVENTO="Manual",$M144=$A$15),$M144&gt;(ROW(PLE.lastrow)-ROW(PLE.firstrow))),0,
           IF(OFFSET(PLE!$G$15,$M144-$A$15,CD$13)="",10^12,OFFSET(PLE!$G$15,$M144-$A$15,CD$13)))</f>
        <v>1000000000000</v>
      </c>
      <c r="CE144" s="172">
        <f ca="1">IF(OR($D144&lt;&gt;"Serviço",AND(AUTOEVENTO="Manual",$M144=$A$15),$M144&gt;(ROW(PLE.lastrow)-ROW(PLE.firstrow))),0,
           IF(OFFSET(PLE!$G$15,$M144-$A$15,CE$13)="",10^12,OFFSET(PLE!$G$15,$M144-$A$15,CE$13)))</f>
        <v>1000000000000</v>
      </c>
      <c r="CF144" s="172">
        <f ca="1">IF(OR($D144&lt;&gt;"Serviço",AND(AUTOEVENTO="Manual",$M144=$A$15),$M144&gt;(ROW(PLE.lastrow)-ROW(PLE.firstrow))),0,
           IF(OFFSET(PLE!$G$15,$M144-$A$15,CF$13)="",10^12,OFFSET(PLE!$G$15,$M144-$A$15,CF$13)))</f>
        <v>1000000000000</v>
      </c>
      <c r="CG144" s="172">
        <f ca="1">IF(OR($D144&lt;&gt;"Serviço",AND(AUTOEVENTO="Manual",$M144=$A$15),$M144&gt;(ROW(PLE.lastrow)-ROW(PLE.firstrow))),0,
           IF(OFFSET(PLE!$G$15,$M144-$A$15,CG$13)="",10^12,OFFSET(PLE!$G$15,$M144-$A$15,CG$13)))</f>
        <v>1000000000000</v>
      </c>
      <c r="CH144" s="172">
        <f ca="1">IF(OR($D144&lt;&gt;"Serviço",AND(AUTOEVENTO="Manual",$M144=$A$15),$M144&gt;(ROW(PLE.lastrow)-ROW(PLE.firstrow))),0,
           IF(OFFSET(PLE!$G$15,$M144-$A$15,CH$13)="",10^12,OFFSET(PLE!$G$15,$M144-$A$15,CH$13)))</f>
        <v>1000000000000</v>
      </c>
      <c r="CI144" s="172">
        <f ca="1">IF(OR($D144&lt;&gt;"Serviço",AND(AUTOEVENTO="Manual",$M144=$A$15),$M144&gt;(ROW(PLE.lastrow)-ROW(PLE.firstrow))),0,
           IF(OFFSET(PLE!$G$15,$M144-$A$15,CI$13)="",10^12,OFFSET(PLE!$G$15,$M144-$A$15,CI$13)))</f>
        <v>1000000000000</v>
      </c>
      <c r="CJ144" s="172">
        <f ca="1">IF(OR($D144&lt;&gt;"Serviço",AND(AUTOEVENTO="Manual",$M144=$A$15),$M144&gt;(ROW(PLE.lastrow)-ROW(PLE.firstrow))),0,
           IF(OFFSET(PLE!$G$15,$M144-$A$15,CJ$13)="",10^12,OFFSET(PLE!$G$15,$M144-$A$15,CJ$13)))</f>
        <v>1000000000000</v>
      </c>
      <c r="CK144" s="172">
        <f ca="1">IF(OR($D144&lt;&gt;"Serviço",AND(AUTOEVENTO="Manual",$M144=$A$15),$M144&gt;(ROW(PLE.lastrow)-ROW(PLE.firstrow))),0,
           IF(OFFSET(PLE!$G$15,$M144-$A$15,CK$13)="",10^12,OFFSET(PLE!$G$15,$M144-$A$15,CK$13)))</f>
        <v>1000000000000</v>
      </c>
      <c r="CL144" s="172">
        <f ca="1">IF(OR($D144&lt;&gt;"Serviço",AND(AUTOEVENTO="Manual",$M144=$A$15),$M144&gt;(ROW(PLE.lastrow)-ROW(PLE.firstrow))),0,
           IF(OFFSET(PLE!$G$15,$M144-$A$15,CL$13)="",10^12,OFFSET(PLE!$G$15,$M144-$A$15,CL$13)))</f>
        <v>1000000000000</v>
      </c>
      <c r="CM144" s="172">
        <f ca="1">IF(OR($D144&lt;&gt;"Serviço",AND(AUTOEVENTO="Manual",$M144=$A$15),$M144&gt;(ROW(PLE.lastrow)-ROW(PLE.firstrow))),0,
           IF(OFFSET(PLE!$G$15,$M144-$A$15,CM$13)="",10^12,OFFSET(PLE!$G$15,$M144-$A$15,CM$13)))</f>
        <v>1000000000000</v>
      </c>
    </row>
    <row r="145" spans="1:91" ht="13.2" x14ac:dyDescent="0.25">
      <c r="A145" s="7" t="str">
        <f t="shared" ca="1" si="11"/>
        <v>126</v>
      </c>
      <c r="B145" s="7" t="str">
        <f ca="1">OFFSET(ORÇAMENTO!C$15,ROW(B145)-ROW(B$15),0)</f>
        <v>S</v>
      </c>
      <c r="C145" s="7" t="str">
        <f ca="1">OFFSET(ORÇAMENTO!L$15,ROW(C145)-ROW(C$15),0)</f>
        <v>F</v>
      </c>
      <c r="D145" s="116" t="str">
        <f ca="1">OFFSET(ORÇAMENTO!N$15,ROW(D145)-ROW(D$15),0)</f>
        <v>Serviço</v>
      </c>
      <c r="E145" s="117" t="str">
        <f ca="1">OFFSET(ORÇAMENTO!O$15,ROW(E145)-ROW(E$15),0)</f>
        <v>4.2.4.</v>
      </c>
      <c r="F145" s="163" t="str">
        <f ca="1">OFFSET(ORÇAMENTO!R$15,ROW(F145)-ROW(F$15),0)</f>
        <v>Transporte com caminhão basculante de 10 m³ - rodovia pavimentada</v>
      </c>
      <c r="G145" s="164" t="str">
        <f ca="1">IF($D145&lt;&gt;"Serviço","",OFFSET(ORÇAMENTO!S$15,ROW(G145)-ROW(G$15),0))</f>
        <v>tkm</v>
      </c>
      <c r="H145" s="122" cm="1">
        <f t="array" aca="1" ref="H145" ca="1">IF($D145&lt;&gt;"Serviço",0,IF(ACOMPANHAMENTO="BM",ROUND(OFFSET(ORÇAMENTO!AJ$15,ROW(H145)-ROW(H$15),0),15-13*ORÇAMENTO!$AF$7),SUMPRODUCT(($Q$1:$AI$1=1)*ROUND($Q145:$AI145,15-13*ORÇAMENTO!$AF$7))))</f>
        <v>8595.7199999999993</v>
      </c>
      <c r="I145" s="468"/>
      <c r="J145" s="651" t="e" cm="1">
        <f t="array" aca="1" ref="J145" ca="1">IF(OR(B145&lt;&gt;"S",CÁLCULO.FrentesPreenchidas=0),"",IF(AND(ACOMPANHAMENTO="PLE",AUTOEVENTO="Manual",OR(H145&gt;0,ORÇAMENTO!AC145="QUANT."),OR(K145="",M145=0,N145="")),"►E",IF(AND(ACOMPANHAMENTO="PLE",ORÇAMENTO!AC145="QUANT."),"►Q",IF(AND(ACOMPANHAMENTO="PLE",H145&lt;&gt;SUMPRODUCT(($Q$1:$AI$1=1)*ROUND(Q145:AI145,15))),"►S",IF(AND(COUNTIF($P$11:$AI$11,"▼")=0,H145&gt;0,I145=""),"◄M","")))))</f>
        <v>#NAME?</v>
      </c>
      <c r="K145" s="652"/>
      <c r="L145" s="165" t="s">
        <v>764</v>
      </c>
      <c r="M145" s="166">
        <f ca="1">IF($D145&lt;&gt;"Serviço","",
          IF(AUTOEVENTO="manual",$A145,
                IF(ISERROR(MATCH($A145,$A$15:OFFSET($A145,-1,0),0)),MAX($M$15:OFFSET(M145,-1,0))+1,
                      INDEX($M$15:OFFSET(M145,-1,0),MATCH($A145,$A$15:OFFSET($A145,-1,0),0)))))</f>
        <v>20</v>
      </c>
      <c r="N145" s="167" t="str">
        <f ca="1">IF($D145&lt;&gt;"Serviço","",
         IF(AUTOEVENTO="Manual",
                IF($A145=0,"&lt;-- defina o número do agrupador",
                       OFFSET(EVENTOS!$D$15,$A145-$A$15,0)),
                OFFSET($F$15,$A145,0)))</f>
        <v>PAVIMENTAÇÃO</v>
      </c>
      <c r="O145" s="168"/>
      <c r="Q145" s="168"/>
      <c r="R145" s="169"/>
      <c r="S145" s="169"/>
      <c r="T145" s="169"/>
      <c r="U145" s="169"/>
      <c r="V145" s="169">
        <f>V144*1.5*21</f>
        <v>8595.7199999999993</v>
      </c>
      <c r="W145" s="169"/>
      <c r="X145" s="169"/>
      <c r="Y145" s="169"/>
      <c r="Z145" s="170"/>
      <c r="AA145" s="169"/>
      <c r="AB145" s="169"/>
      <c r="AC145" s="169"/>
      <c r="AD145" s="169"/>
      <c r="AE145" s="169"/>
      <c r="AF145" s="169"/>
      <c r="AG145" s="169"/>
      <c r="AH145" s="170"/>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L145" s="453">
        <f ca="1">IF(AND($D145="Serviço",AL$12&lt;&gt;0,$H145&gt;0,OR(AUTOEVENTO&lt;&gt;"manual",$M145&lt;&gt;$A$15)),
        IF(Import.TipoArredondamento&lt;&gt;"TransfereGOV",
              ROUND(OFFSET($P145,0,AL$13),15-13*ORÇAMENTO!$AF$7)/$H145*OFFSET(ORÇAMENTO!$X$15,ROW(AL145)-ROW(AL$15),0),
              ROUND(ROUND(OFFSET($P145,0,AL$13),15-13*ORÇAMENTO!$AF$7)*OFFSET(ORÇAMENTO!$W$15,ROW(AL145)-ROW(AL$15),0),15-13*ORÇAMENTO!$AF$11)),
         0)</f>
        <v>0</v>
      </c>
      <c r="AM145" s="453">
        <f ca="1">IF(AND($D145="Serviço",AM$12&lt;&gt;0,$H145&gt;0,OR(AUTOEVENTO&lt;&gt;"manual",$M145&lt;&gt;$A$15)),
        IF(Import.TipoArredondamento&lt;&gt;"TransfereGOV",
              ROUND(OFFSET($P145,0,AM$13),15-13*ORÇAMENTO!$AF$7)/$H145*OFFSET(ORÇAMENTO!$X$15,ROW(AM145)-ROW(AM$15),0),
              ROUND(ROUND(OFFSET($P145,0,AM$13),15-13*ORÇAMENTO!$AF$7)*OFFSET(ORÇAMENTO!$W$15,ROW(AM145)-ROW(AM$15),0),15-13*ORÇAMENTO!$AF$11)),
         0)</f>
        <v>0</v>
      </c>
      <c r="AN145" s="453">
        <f ca="1">IF(AND($D145="Serviço",AN$12&lt;&gt;0,$H145&gt;0,OR(AUTOEVENTO&lt;&gt;"manual",$M145&lt;&gt;$A$15)),
        IF(Import.TipoArredondamento&lt;&gt;"TransfereGOV",
              ROUND(OFFSET($P145,0,AN$13),15-13*ORÇAMENTO!$AF$7)/$H145*OFFSET(ORÇAMENTO!$X$15,ROW(AN145)-ROW(AN$15),0),
              ROUND(ROUND(OFFSET($P145,0,AN$13),15-13*ORÇAMENTO!$AF$7)*OFFSET(ORÇAMENTO!$W$15,ROW(AN145)-ROW(AN$15),0),15-13*ORÇAMENTO!$AF$11)),
         0)</f>
        <v>0</v>
      </c>
      <c r="AO145" s="453">
        <f ca="1">IF(AND($D145="Serviço",AO$12&lt;&gt;0,$H145&gt;0,OR(AUTOEVENTO&lt;&gt;"manual",$M145&lt;&gt;$A$15)),
        IF(Import.TipoArredondamento&lt;&gt;"TransfereGOV",
              ROUND(OFFSET($P145,0,AO$13),15-13*ORÇAMENTO!$AF$7)/$H145*OFFSET(ORÇAMENTO!$X$15,ROW(AO145)-ROW(AO$15),0),
              ROUND(ROUND(OFFSET($P145,0,AO$13),15-13*ORÇAMENTO!$AF$7)*OFFSET(ORÇAMENTO!$W$15,ROW(AO145)-ROW(AO$15),0),15-13*ORÇAMENTO!$AF$11)),
         0)</f>
        <v>8681.68</v>
      </c>
      <c r="AP145" s="453">
        <f ca="1">IF(AND($D145="Serviço",AP$12&lt;&gt;0,$H145&gt;0,OR(AUTOEVENTO&lt;&gt;"manual",$M145&lt;&gt;$A$15)),
        IF(Import.TipoArredondamento&lt;&gt;"TransfereGOV",
              ROUND(OFFSET($P145,0,AP$13),15-13*ORÇAMENTO!$AF$7)/$H145*OFFSET(ORÇAMENTO!$X$15,ROW(AP145)-ROW(AP$15),0),
              ROUND(ROUND(OFFSET($P145,0,AP$13),15-13*ORÇAMENTO!$AF$7)*OFFSET(ORÇAMENTO!$W$15,ROW(AP145)-ROW(AP$15),0),15-13*ORÇAMENTO!$AF$11)),
         0)</f>
        <v>0</v>
      </c>
      <c r="AQ145" s="453">
        <f ca="1">IF(AND($D145="Serviço",AQ$12&lt;&gt;0,$H145&gt;0,OR(AUTOEVENTO&lt;&gt;"manual",$M145&lt;&gt;$A$15)),
        IF(Import.TipoArredondamento&lt;&gt;"TransfereGOV",
              ROUND(OFFSET($P145,0,AQ$13),15-13*ORÇAMENTO!$AF$7)/$H145*OFFSET(ORÇAMENTO!$X$15,ROW(AQ145)-ROW(AQ$15),0),
              ROUND(ROUND(OFFSET($P145,0,AQ$13),15-13*ORÇAMENTO!$AF$7)*OFFSET(ORÇAMENTO!$W$15,ROW(AQ145)-ROW(AQ$15),0),15-13*ORÇAMENTO!$AF$11)),
         0)</f>
        <v>0</v>
      </c>
      <c r="AR145" s="453">
        <f ca="1">IF(AND($D145="Serviço",AR$12&lt;&gt;0,$H145&gt;0,OR(AUTOEVENTO&lt;&gt;"manual",$M145&lt;&gt;$A$15)),
        IF(Import.TipoArredondamento&lt;&gt;"TransfereGOV",
              ROUND(OFFSET($P145,0,AR$13),15-13*ORÇAMENTO!$AF$7)/$H145*OFFSET(ORÇAMENTO!$X$15,ROW(AR145)-ROW(AR$15),0),
              ROUND(ROUND(OFFSET($P145,0,AR$13),15-13*ORÇAMENTO!$AF$7)*OFFSET(ORÇAMENTO!$W$15,ROW(AR145)-ROW(AR$15),0),15-13*ORÇAMENTO!$AF$11)),
         0)</f>
        <v>0</v>
      </c>
      <c r="AS145" s="453">
        <f ca="1">IF(AND($D145="Serviço",AS$12&lt;&gt;0,$H145&gt;0,OR(AUTOEVENTO&lt;&gt;"manual",$M145&lt;&gt;$A$15)),
        IF(Import.TipoArredondamento&lt;&gt;"TransfereGOV",
              ROUND(OFFSET($P145,0,AS$13),15-13*ORÇAMENTO!$AF$7)/$H145*OFFSET(ORÇAMENTO!$X$15,ROW(AS145)-ROW(AS$15),0),
              ROUND(ROUND(OFFSET($P145,0,AS$13),15-13*ORÇAMENTO!$AF$7)*OFFSET(ORÇAMENTO!$W$15,ROW(AS145)-ROW(AS$15),0),15-13*ORÇAMENTO!$AF$11)),
         0)</f>
        <v>0</v>
      </c>
      <c r="AT145" s="453">
        <f ca="1">IF(AND($D145="Serviço",AT$12&lt;&gt;0,$H145&gt;0,OR(AUTOEVENTO&lt;&gt;"manual",$M145&lt;&gt;$A$15)),
        IF(Import.TipoArredondamento&lt;&gt;"TransfereGOV",
              ROUND(OFFSET($P145,0,AT$13),15-13*ORÇAMENTO!$AF$7)/$H145*OFFSET(ORÇAMENTO!$X$15,ROW(AT145)-ROW(AT$15),0),
              ROUND(ROUND(OFFSET($P145,0,AT$13),15-13*ORÇAMENTO!$AF$7)*OFFSET(ORÇAMENTO!$W$15,ROW(AT145)-ROW(AT$15),0),15-13*ORÇAMENTO!$AF$11)),
         0)</f>
        <v>0</v>
      </c>
      <c r="AU145" s="453">
        <f ca="1">IF(AND($D145="Serviço",AU$12&lt;&gt;0,$H145&gt;0,OR(AUTOEVENTO&lt;&gt;"manual",$M145&lt;&gt;$A$15)),
        IF(Import.TipoArredondamento&lt;&gt;"TransfereGOV",
              ROUND(OFFSET($P145,0,AU$13),15-13*ORÇAMENTO!$AF$7)/$H145*OFFSET(ORÇAMENTO!$X$15,ROW(AU145)-ROW(AU$15),0),
              ROUND(ROUND(OFFSET($P145,0,AU$13),15-13*ORÇAMENTO!$AF$7)*OFFSET(ORÇAMENTO!$W$15,ROW(AU145)-ROW(AU$15),0),15-13*ORÇAMENTO!$AF$11)),
         0)</f>
        <v>0</v>
      </c>
      <c r="AV145" s="453">
        <f ca="1">IF(AND($D145="Serviço",AV$12&lt;&gt;0,$H145&gt;0,OR(AUTOEVENTO&lt;&gt;"manual",$M145&lt;&gt;$A$15)),
        IF(Import.TipoArredondamento&lt;&gt;"TransfereGOV",
              ROUND(OFFSET($P145,0,AV$13),15-13*ORÇAMENTO!$AF$7)/$H145*OFFSET(ORÇAMENTO!$X$15,ROW(AV145)-ROW(AV$15),0),
              ROUND(ROUND(OFFSET($P145,0,AV$13),15-13*ORÇAMENTO!$AF$7)*OFFSET(ORÇAMENTO!$W$15,ROW(AV145)-ROW(AV$15),0),15-13*ORÇAMENTO!$AF$11)),
         0)</f>
        <v>0</v>
      </c>
      <c r="AW145" s="453">
        <f ca="1">IF(AND($D145="Serviço",AW$12&lt;&gt;0,$H145&gt;0,OR(AUTOEVENTO&lt;&gt;"manual",$M145&lt;&gt;$A$15)),
        IF(Import.TipoArredondamento&lt;&gt;"TransfereGOV",
              ROUND(OFFSET($P145,0,AW$13),15-13*ORÇAMENTO!$AF$7)/$H145*OFFSET(ORÇAMENTO!$X$15,ROW(AW145)-ROW(AW$15),0),
              ROUND(ROUND(OFFSET($P145,0,AW$13),15-13*ORÇAMENTO!$AF$7)*OFFSET(ORÇAMENTO!$W$15,ROW(AW145)-ROW(AW$15),0),15-13*ORÇAMENTO!$AF$11)),
         0)</f>
        <v>0</v>
      </c>
      <c r="AX145" s="453">
        <f ca="1">IF(AND($D145="Serviço",AX$12&lt;&gt;0,$H145&gt;0,OR(AUTOEVENTO&lt;&gt;"manual",$M145&lt;&gt;$A$15)),
        IF(Import.TipoArredondamento&lt;&gt;"TransfereGOV",
              ROUND(OFFSET($P145,0,AX$13),15-13*ORÇAMENTO!$AF$7)/$H145*OFFSET(ORÇAMENTO!$X$15,ROW(AX145)-ROW(AX$15),0),
              ROUND(ROUND(OFFSET($P145,0,AX$13),15-13*ORÇAMENTO!$AF$7)*OFFSET(ORÇAMENTO!$W$15,ROW(AX145)-ROW(AX$15),0),15-13*ORÇAMENTO!$AF$11)),
         0)</f>
        <v>0</v>
      </c>
      <c r="AY145" s="453">
        <f ca="1">IF(AND($D145="Serviço",AY$12&lt;&gt;0,$H145&gt;0,OR(AUTOEVENTO&lt;&gt;"manual",$M145&lt;&gt;$A$15)),
        IF(Import.TipoArredondamento&lt;&gt;"TransfereGOV",
              ROUND(OFFSET($P145,0,AY$13),15-13*ORÇAMENTO!$AF$7)/$H145*OFFSET(ORÇAMENTO!$X$15,ROW(AY145)-ROW(AY$15),0),
              ROUND(ROUND(OFFSET($P145,0,AY$13),15-13*ORÇAMENTO!$AF$7)*OFFSET(ORÇAMENTO!$W$15,ROW(AY145)-ROW(AY$15),0),15-13*ORÇAMENTO!$AF$11)),
         0)</f>
        <v>0</v>
      </c>
      <c r="AZ145" s="453">
        <f ca="1">IF(AND($D145="Serviço",AZ$12&lt;&gt;0,$H145&gt;0,OR(AUTOEVENTO&lt;&gt;"manual",$M145&lt;&gt;$A$15)),
        IF(Import.TipoArredondamento&lt;&gt;"TransfereGOV",
              ROUND(OFFSET($P145,0,AZ$13),15-13*ORÇAMENTO!$AF$7)/$H145*OFFSET(ORÇAMENTO!$X$15,ROW(AZ145)-ROW(AZ$15),0),
              ROUND(ROUND(OFFSET($P145,0,AZ$13),15-13*ORÇAMENTO!$AF$7)*OFFSET(ORÇAMENTO!$W$15,ROW(AZ145)-ROW(AZ$15),0),15-13*ORÇAMENTO!$AF$11)),
         0)</f>
        <v>0</v>
      </c>
      <c r="BA145" s="453">
        <f ca="1">IF(AND($D145="Serviço",BA$12&lt;&gt;0,$H145&gt;0,OR(AUTOEVENTO&lt;&gt;"manual",$M145&lt;&gt;$A$15)),
        IF(Import.TipoArredondamento&lt;&gt;"TransfereGOV",
              ROUND(OFFSET($P145,0,BA$13),15-13*ORÇAMENTO!$AF$7)/$H145*OFFSET(ORÇAMENTO!$X$15,ROW(BA145)-ROW(BA$15),0),
              ROUND(ROUND(OFFSET($P145,0,BA$13),15-13*ORÇAMENTO!$AF$7)*OFFSET(ORÇAMENTO!$W$15,ROW(BA145)-ROW(BA$15),0),15-13*ORÇAMENTO!$AF$11)),
         0)</f>
        <v>0</v>
      </c>
      <c r="BC145" s="171">
        <f ca="1">IF(OR($D145&lt;&gt;"Serviço",AND(AUTOEVENTO="Manual",$M145=$A$15)),0,
         IF(OFFSET(CRONOPLE!$F$15,$M145-$A$15,BC$13)=0,10^12,OFFSET(CRONOPLE!$F$15,$M145-$A$15,BC$13)))</f>
        <v>1000000000000</v>
      </c>
      <c r="BD145" s="171">
        <f ca="1">IF(OR($D145&lt;&gt;"Serviço",AND(AUTOEVENTO="Manual",$M145=$A$15)),0,
         IF(OFFSET(CRONOPLE!$F$15,$M145-$A$15,BD$13)=0,10^12,OFFSET(CRONOPLE!$F$15,$M145-$A$15,BD$13)))</f>
        <v>1000000000000</v>
      </c>
      <c r="BE145" s="171">
        <f ca="1">IF(OR($D145&lt;&gt;"Serviço",AND(AUTOEVENTO="Manual",$M145=$A$15)),0,
         IF(OFFSET(CRONOPLE!$F$15,$M145-$A$15,BE$13)=0,10^12,OFFSET(CRONOPLE!$F$15,$M145-$A$15,BE$13)))</f>
        <v>1000000000000</v>
      </c>
      <c r="BF145" s="171">
        <f ca="1">IF(OR($D145&lt;&gt;"Serviço",AND(AUTOEVENTO="Manual",$M145=$A$15)),0,
         IF(OFFSET(CRONOPLE!$F$15,$M145-$A$15,BF$13)=0,10^12,OFFSET(CRONOPLE!$F$15,$M145-$A$15,BF$13)))</f>
        <v>1000000000000</v>
      </c>
      <c r="BG145" s="171">
        <f ca="1">IF(OR($D145&lt;&gt;"Serviço",AND(AUTOEVENTO="Manual",$M145=$A$15)),0,
         IF(OFFSET(CRONOPLE!$F$15,$M145-$A$15,BG$13)=0,10^12,OFFSET(CRONOPLE!$F$15,$M145-$A$15,BG$13)))</f>
        <v>1000000000000</v>
      </c>
      <c r="BH145" s="171">
        <f ca="1">IF(OR($D145&lt;&gt;"Serviço",AND(AUTOEVENTO="Manual",$M145=$A$15)),0,
         IF(OFFSET(CRONOPLE!$F$15,$M145-$A$15,BH$13)=0,10^12,OFFSET(CRONOPLE!$F$15,$M145-$A$15,BH$13)))</f>
        <v>6</v>
      </c>
      <c r="BI145" s="171">
        <f ca="1">IF(OR($D145&lt;&gt;"Serviço",AND(AUTOEVENTO="Manual",$M145=$A$15)),0,
         IF(OFFSET(CRONOPLE!$F$15,$M145-$A$15,BI$13)=0,10^12,OFFSET(CRONOPLE!$F$15,$M145-$A$15,BI$13)))</f>
        <v>1000000000000</v>
      </c>
      <c r="BJ145" s="171">
        <f ca="1">IF(OR($D145&lt;&gt;"Serviço",AND(AUTOEVENTO="Manual",$M145=$A$15)),0,
         IF(OFFSET(CRONOPLE!$F$15,$M145-$A$15,BJ$13)=0,10^12,OFFSET(CRONOPLE!$F$15,$M145-$A$15,BJ$13)))</f>
        <v>1000000000000</v>
      </c>
      <c r="BK145" s="171">
        <f ca="1">IF(OR($D145&lt;&gt;"Serviço",AND(AUTOEVENTO="Manual",$M145=$A$15)),0,
         IF(OFFSET(CRONOPLE!$F$15,$M145-$A$15,BK$13)=0,10^12,OFFSET(CRONOPLE!$F$15,$M145-$A$15,BK$13)))</f>
        <v>1000000000000</v>
      </c>
      <c r="BL145" s="171">
        <f ca="1">IF(OR($D145&lt;&gt;"Serviço",AND(AUTOEVENTO="Manual",$M145=$A$15)),0,
         IF(OFFSET(CRONOPLE!$F$15,$M145-$A$15,BL$13)=0,10^12,OFFSET(CRONOPLE!$F$15,$M145-$A$15,BL$13)))</f>
        <v>1000000000000</v>
      </c>
      <c r="BM145" s="171">
        <f ca="1">IF(OR($D145&lt;&gt;"Serviço",AND(AUTOEVENTO="Manual",$M145=$A$15)),0,
         IF(OFFSET(CRONOPLE!$F$15,$M145-$A$15,BM$13)=0,10^12,OFFSET(CRONOPLE!$F$15,$M145-$A$15,BM$13)))</f>
        <v>1000000000000</v>
      </c>
      <c r="BN145" s="171">
        <f ca="1">IF(OR($D145&lt;&gt;"Serviço",AND(AUTOEVENTO="Manual",$M145=$A$15)),0,
         IF(OFFSET(CRONOPLE!$F$15,$M145-$A$15,BN$13)=0,10^12,OFFSET(CRONOPLE!$F$15,$M145-$A$15,BN$13)))</f>
        <v>1000000000000</v>
      </c>
      <c r="BO145" s="171">
        <f ca="1">IF(OR($D145&lt;&gt;"Serviço",AND(AUTOEVENTO="Manual",$M145=$A$15)),0,
         IF(OFFSET(CRONOPLE!$F$15,$M145-$A$15,BO$13)=0,10^12,OFFSET(CRONOPLE!$F$15,$M145-$A$15,BO$13)))</f>
        <v>1000000000000</v>
      </c>
      <c r="BP145" s="171">
        <f ca="1">IF(OR($D145&lt;&gt;"Serviço",AND(AUTOEVENTO="Manual",$M145=$A$15)),0,
         IF(OFFSET(CRONOPLE!$F$15,$M145-$A$15,BP$13)=0,10^12,OFFSET(CRONOPLE!$F$15,$M145-$A$15,BP$13)))</f>
        <v>1000000000000</v>
      </c>
      <c r="BQ145" s="171">
        <f ca="1">IF(OR($D145&lt;&gt;"Serviço",AND(AUTOEVENTO="Manual",$M145=$A$15)),0,
         IF(OFFSET(CRONOPLE!$F$15,$M145-$A$15,BQ$13)=0,10^12,OFFSET(CRONOPLE!$F$15,$M145-$A$15,BQ$13)))</f>
        <v>1000000000000</v>
      </c>
      <c r="BR145" s="171">
        <f ca="1">IF(OR($D145&lt;&gt;"Serviço",AND(AUTOEVENTO="Manual",$M145=$A$15)),0,
         IF(OFFSET(CRONOPLE!$F$15,$M145-$A$15,BR$13)=0,10^12,OFFSET(CRONOPLE!$F$15,$M145-$A$15,BR$13)))</f>
        <v>1000000000000</v>
      </c>
      <c r="BS145" s="171">
        <f ca="1">IF(OR($D145&lt;&gt;"Serviço",AND(AUTOEVENTO="Manual",$M145=$A$15)),0,
         IF(OFFSET(CRONOPLE!$F$15,$M145-$A$15,BS$13)=0,10^12,OFFSET(CRONOPLE!$F$15,$M145-$A$15,BS$13)))</f>
        <v>1000000000000</v>
      </c>
      <c r="BT145" s="171">
        <f ca="1">IF(OR($D145&lt;&gt;"Serviço",AND(AUTOEVENTO="Manual",$M145=$A$15)),0,
         IF(OFFSET(CRONOPLE!$F$15,$M145-$A$15,BT$13)=0,10^12,OFFSET(CRONOPLE!$F$15,$M145-$A$15,BT$13)))</f>
        <v>1000000000000</v>
      </c>
      <c r="BV145" s="172">
        <f ca="1">IF(OR($D145&lt;&gt;"Serviço",AND(AUTOEVENTO="Manual",$M145=$A$15),$M145&gt;(ROW(PLE.lastrow)-ROW(PLE.firstrow))),0,
           IF(OFFSET(PLE!$G$15,$M145-$A$15,BV$13)="",10^12,OFFSET(PLE!$G$15,$M145-$A$15,BV$13)))</f>
        <v>1000000000000</v>
      </c>
      <c r="BW145" s="172">
        <f ca="1">IF(OR($D145&lt;&gt;"Serviço",AND(AUTOEVENTO="Manual",$M145=$A$15),$M145&gt;(ROW(PLE.lastrow)-ROW(PLE.firstrow))),0,
           IF(OFFSET(PLE!$G$15,$M145-$A$15,BW$13)="",10^12,OFFSET(PLE!$G$15,$M145-$A$15,BW$13)))</f>
        <v>1000000000000</v>
      </c>
      <c r="BX145" s="172">
        <f ca="1">IF(OR($D145&lt;&gt;"Serviço",AND(AUTOEVENTO="Manual",$M145=$A$15),$M145&gt;(ROW(PLE.lastrow)-ROW(PLE.firstrow))),0,
           IF(OFFSET(PLE!$G$15,$M145-$A$15,BX$13)="",10^12,OFFSET(PLE!$G$15,$M145-$A$15,BX$13)))</f>
        <v>1000000000000</v>
      </c>
      <c r="BY145" s="172">
        <f ca="1">IF(OR($D145&lt;&gt;"Serviço",AND(AUTOEVENTO="Manual",$M145=$A$15),$M145&gt;(ROW(PLE.lastrow)-ROW(PLE.firstrow))),0,
           IF(OFFSET(PLE!$G$15,$M145-$A$15,BY$13)="",10^12,OFFSET(PLE!$G$15,$M145-$A$15,BY$13)))</f>
        <v>1000000000000</v>
      </c>
      <c r="BZ145" s="172">
        <f ca="1">IF(OR($D145&lt;&gt;"Serviço",AND(AUTOEVENTO="Manual",$M145=$A$15),$M145&gt;(ROW(PLE.lastrow)-ROW(PLE.firstrow))),0,
           IF(OFFSET(PLE!$G$15,$M145-$A$15,BZ$13)="",10^12,OFFSET(PLE!$G$15,$M145-$A$15,BZ$13)))</f>
        <v>1000000000000</v>
      </c>
      <c r="CA145" s="172">
        <f ca="1">IF(OR($D145&lt;&gt;"Serviço",AND(AUTOEVENTO="Manual",$M145=$A$15),$M145&gt;(ROW(PLE.lastrow)-ROW(PLE.firstrow))),0,
           IF(OFFSET(PLE!$G$15,$M145-$A$15,CA$13)="",10^12,OFFSET(PLE!$G$15,$M145-$A$15,CA$13)))</f>
        <v>1000000000000</v>
      </c>
      <c r="CB145" s="172">
        <f ca="1">IF(OR($D145&lt;&gt;"Serviço",AND(AUTOEVENTO="Manual",$M145=$A$15),$M145&gt;(ROW(PLE.lastrow)-ROW(PLE.firstrow))),0,
           IF(OFFSET(PLE!$G$15,$M145-$A$15,CB$13)="",10^12,OFFSET(PLE!$G$15,$M145-$A$15,CB$13)))</f>
        <v>1000000000000</v>
      </c>
      <c r="CC145" s="172">
        <f ca="1">IF(OR($D145&lt;&gt;"Serviço",AND(AUTOEVENTO="Manual",$M145=$A$15),$M145&gt;(ROW(PLE.lastrow)-ROW(PLE.firstrow))),0,
           IF(OFFSET(PLE!$G$15,$M145-$A$15,CC$13)="",10^12,OFFSET(PLE!$G$15,$M145-$A$15,CC$13)))</f>
        <v>1000000000000</v>
      </c>
      <c r="CD145" s="172">
        <f ca="1">IF(OR($D145&lt;&gt;"Serviço",AND(AUTOEVENTO="Manual",$M145=$A$15),$M145&gt;(ROW(PLE.lastrow)-ROW(PLE.firstrow))),0,
           IF(OFFSET(PLE!$G$15,$M145-$A$15,CD$13)="",10^12,OFFSET(PLE!$G$15,$M145-$A$15,CD$13)))</f>
        <v>1000000000000</v>
      </c>
      <c r="CE145" s="172">
        <f ca="1">IF(OR($D145&lt;&gt;"Serviço",AND(AUTOEVENTO="Manual",$M145=$A$15),$M145&gt;(ROW(PLE.lastrow)-ROW(PLE.firstrow))),0,
           IF(OFFSET(PLE!$G$15,$M145-$A$15,CE$13)="",10^12,OFFSET(PLE!$G$15,$M145-$A$15,CE$13)))</f>
        <v>1000000000000</v>
      </c>
      <c r="CF145" s="172">
        <f ca="1">IF(OR($D145&lt;&gt;"Serviço",AND(AUTOEVENTO="Manual",$M145=$A$15),$M145&gt;(ROW(PLE.lastrow)-ROW(PLE.firstrow))),0,
           IF(OFFSET(PLE!$G$15,$M145-$A$15,CF$13)="",10^12,OFFSET(PLE!$G$15,$M145-$A$15,CF$13)))</f>
        <v>1000000000000</v>
      </c>
      <c r="CG145" s="172">
        <f ca="1">IF(OR($D145&lt;&gt;"Serviço",AND(AUTOEVENTO="Manual",$M145=$A$15),$M145&gt;(ROW(PLE.lastrow)-ROW(PLE.firstrow))),0,
           IF(OFFSET(PLE!$G$15,$M145-$A$15,CG$13)="",10^12,OFFSET(PLE!$G$15,$M145-$A$15,CG$13)))</f>
        <v>1000000000000</v>
      </c>
      <c r="CH145" s="172">
        <f ca="1">IF(OR($D145&lt;&gt;"Serviço",AND(AUTOEVENTO="Manual",$M145=$A$15),$M145&gt;(ROW(PLE.lastrow)-ROW(PLE.firstrow))),0,
           IF(OFFSET(PLE!$G$15,$M145-$A$15,CH$13)="",10^12,OFFSET(PLE!$G$15,$M145-$A$15,CH$13)))</f>
        <v>1000000000000</v>
      </c>
      <c r="CI145" s="172">
        <f ca="1">IF(OR($D145&lt;&gt;"Serviço",AND(AUTOEVENTO="Manual",$M145=$A$15),$M145&gt;(ROW(PLE.lastrow)-ROW(PLE.firstrow))),0,
           IF(OFFSET(PLE!$G$15,$M145-$A$15,CI$13)="",10^12,OFFSET(PLE!$G$15,$M145-$A$15,CI$13)))</f>
        <v>1000000000000</v>
      </c>
      <c r="CJ145" s="172">
        <f ca="1">IF(OR($D145&lt;&gt;"Serviço",AND(AUTOEVENTO="Manual",$M145=$A$15),$M145&gt;(ROW(PLE.lastrow)-ROW(PLE.firstrow))),0,
           IF(OFFSET(PLE!$G$15,$M145-$A$15,CJ$13)="",10^12,OFFSET(PLE!$G$15,$M145-$A$15,CJ$13)))</f>
        <v>1000000000000</v>
      </c>
      <c r="CK145" s="172">
        <f ca="1">IF(OR($D145&lt;&gt;"Serviço",AND(AUTOEVENTO="Manual",$M145=$A$15),$M145&gt;(ROW(PLE.lastrow)-ROW(PLE.firstrow))),0,
           IF(OFFSET(PLE!$G$15,$M145-$A$15,CK$13)="",10^12,OFFSET(PLE!$G$15,$M145-$A$15,CK$13)))</f>
        <v>1000000000000</v>
      </c>
      <c r="CL145" s="172">
        <f ca="1">IF(OR($D145&lt;&gt;"Serviço",AND(AUTOEVENTO="Manual",$M145=$A$15),$M145&gt;(ROW(PLE.lastrow)-ROW(PLE.firstrow))),0,
           IF(OFFSET(PLE!$G$15,$M145-$A$15,CL$13)="",10^12,OFFSET(PLE!$G$15,$M145-$A$15,CL$13)))</f>
        <v>1000000000000</v>
      </c>
      <c r="CM145" s="172">
        <f ca="1">IF(OR($D145&lt;&gt;"Serviço",AND(AUTOEVENTO="Manual",$M145=$A$15),$M145&gt;(ROW(PLE.lastrow)-ROW(PLE.firstrow))),0,
           IF(OFFSET(PLE!$G$15,$M145-$A$15,CM$13)="",10^12,OFFSET(PLE!$G$15,$M145-$A$15,CM$13)))</f>
        <v>1000000000000</v>
      </c>
    </row>
    <row r="146" spans="1:91" ht="13.2" x14ac:dyDescent="0.25">
      <c r="A146" s="7" t="str">
        <f t="shared" ca="1" si="11"/>
        <v>126</v>
      </c>
      <c r="B146" s="7" t="str">
        <f ca="1">OFFSET(ORÇAMENTO!C$15,ROW(B146)-ROW(B$15),0)</f>
        <v>S</v>
      </c>
      <c r="C146" s="7" t="str">
        <f ca="1">OFFSET(ORÇAMENTO!L$15,ROW(C146)-ROW(C$15),0)</f>
        <v>F</v>
      </c>
      <c r="D146" s="116" t="str">
        <f ca="1">OFFSET(ORÇAMENTO!N$15,ROW(D146)-ROW(D$15),0)</f>
        <v>Serviço</v>
      </c>
      <c r="E146" s="117" t="str">
        <f ca="1">OFFSET(ORÇAMENTO!O$15,ROW(E146)-ROW(E$15),0)</f>
        <v>4.2.5.</v>
      </c>
      <c r="F146" s="163" t="str">
        <f ca="1">OFFSET(ORÇAMENTO!R$15,ROW(F146)-ROW(F$15),0)</f>
        <v>Imprimação com emulsão asfáltica</v>
      </c>
      <c r="G146" s="164" t="str">
        <f ca="1">IF($D146&lt;&gt;"Serviço","",OFFSET(ORÇAMENTO!S$15,ROW(G146)-ROW(G$15),0))</f>
        <v>m²</v>
      </c>
      <c r="H146" s="122" cm="1">
        <f t="array" aca="1" ref="H146" ca="1">IF($D146&lt;&gt;"Serviço",0,IF(ACOMPANHAMENTO="BM",ROUND(OFFSET(ORÇAMENTO!AJ$15,ROW(H146)-ROW(H$15),0),15-13*ORÇAMENTO!$AF$7),SUMPRODUCT(($Q$1:$AI$1=1)*ROUND($Q146:$AI146,15-13*ORÇAMENTO!$AF$7))))</f>
        <v>2274</v>
      </c>
      <c r="I146" s="468"/>
      <c r="J146" s="651" t="e" cm="1">
        <f t="array" aca="1" ref="J146" ca="1">IF(OR(B146&lt;&gt;"S",CÁLCULO.FrentesPreenchidas=0),"",IF(AND(ACOMPANHAMENTO="PLE",AUTOEVENTO="Manual",OR(H146&gt;0,ORÇAMENTO!AC146="QUANT."),OR(K146="",M146=0,N146="")),"►E",IF(AND(ACOMPANHAMENTO="PLE",ORÇAMENTO!AC146="QUANT."),"►Q",IF(AND(ACOMPANHAMENTO="PLE",H146&lt;&gt;SUMPRODUCT(($Q$1:$AI$1=1)*ROUND(Q146:AI146,15))),"►S",IF(AND(COUNTIF($P$11:$AI$11,"▼")=0,H146&gt;0,I146=""),"◄M","")))))</f>
        <v>#NAME?</v>
      </c>
      <c r="K146" s="652"/>
      <c r="L146" s="165" t="s">
        <v>764</v>
      </c>
      <c r="M146" s="166">
        <f ca="1">IF($D146&lt;&gt;"Serviço","",
          IF(AUTOEVENTO="manual",$A146,
                IF(ISERROR(MATCH($A146,$A$15:OFFSET($A146,-1,0),0)),MAX($M$15:OFFSET(M146,-1,0))+1,
                      INDEX($M$15:OFFSET(M146,-1,0),MATCH($A146,$A$15:OFFSET($A146,-1,0),0)))))</f>
        <v>20</v>
      </c>
      <c r="N146" s="167" t="str">
        <f ca="1">IF($D146&lt;&gt;"Serviço","",
         IF(AUTOEVENTO="Manual",
                IF($A146=0,"&lt;-- defina o número do agrupador",
                       OFFSET(EVENTOS!$D$15,$A146-$A$15,0)),
                OFFSET($F$15,$A146,0)))</f>
        <v>PAVIMENTAÇÃO</v>
      </c>
      <c r="O146" s="168"/>
      <c r="Q146" s="168"/>
      <c r="R146" s="169"/>
      <c r="S146" s="169"/>
      <c r="T146" s="169"/>
      <c r="U146" s="169"/>
      <c r="V146" s="169">
        <v>2274</v>
      </c>
      <c r="W146" s="169"/>
      <c r="X146" s="169"/>
      <c r="Y146" s="169"/>
      <c r="Z146" s="170"/>
      <c r="AA146" s="169"/>
      <c r="AB146" s="169"/>
      <c r="AC146" s="169"/>
      <c r="AD146" s="169"/>
      <c r="AE146" s="169"/>
      <c r="AF146" s="169"/>
      <c r="AG146" s="169"/>
      <c r="AH146" s="170"/>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L146" s="453">
        <f ca="1">IF(AND($D146="Serviço",AL$12&lt;&gt;0,$H146&gt;0,OR(AUTOEVENTO&lt;&gt;"manual",$M146&lt;&gt;$A$15)),
        IF(Import.TipoArredondamento&lt;&gt;"TransfereGOV",
              ROUND(OFFSET($P146,0,AL$13),15-13*ORÇAMENTO!$AF$7)/$H146*OFFSET(ORÇAMENTO!$X$15,ROW(AL146)-ROW(AL$15),0),
              ROUND(ROUND(OFFSET($P146,0,AL$13),15-13*ORÇAMENTO!$AF$7)*OFFSET(ORÇAMENTO!$W$15,ROW(AL146)-ROW(AL$15),0),15-13*ORÇAMENTO!$AF$11)),
         0)</f>
        <v>0</v>
      </c>
      <c r="AM146" s="453">
        <f ca="1">IF(AND($D146="Serviço",AM$12&lt;&gt;0,$H146&gt;0,OR(AUTOEVENTO&lt;&gt;"manual",$M146&lt;&gt;$A$15)),
        IF(Import.TipoArredondamento&lt;&gt;"TransfereGOV",
              ROUND(OFFSET($P146,0,AM$13),15-13*ORÇAMENTO!$AF$7)/$H146*OFFSET(ORÇAMENTO!$X$15,ROW(AM146)-ROW(AM$15),0),
              ROUND(ROUND(OFFSET($P146,0,AM$13),15-13*ORÇAMENTO!$AF$7)*OFFSET(ORÇAMENTO!$W$15,ROW(AM146)-ROW(AM$15),0),15-13*ORÇAMENTO!$AF$11)),
         0)</f>
        <v>0</v>
      </c>
      <c r="AN146" s="453">
        <f ca="1">IF(AND($D146="Serviço",AN$12&lt;&gt;0,$H146&gt;0,OR(AUTOEVENTO&lt;&gt;"manual",$M146&lt;&gt;$A$15)),
        IF(Import.TipoArredondamento&lt;&gt;"TransfereGOV",
              ROUND(OFFSET($P146,0,AN$13),15-13*ORÇAMENTO!$AF$7)/$H146*OFFSET(ORÇAMENTO!$X$15,ROW(AN146)-ROW(AN$15),0),
              ROUND(ROUND(OFFSET($P146,0,AN$13),15-13*ORÇAMENTO!$AF$7)*OFFSET(ORÇAMENTO!$W$15,ROW(AN146)-ROW(AN$15),0),15-13*ORÇAMENTO!$AF$11)),
         0)</f>
        <v>0</v>
      </c>
      <c r="AO146" s="453">
        <f ca="1">IF(AND($D146="Serviço",AO$12&lt;&gt;0,$H146&gt;0,OR(AUTOEVENTO&lt;&gt;"manual",$M146&lt;&gt;$A$15)),
        IF(Import.TipoArredondamento&lt;&gt;"TransfereGOV",
              ROUND(OFFSET($P146,0,AO$13),15-13*ORÇAMENTO!$AF$7)/$H146*OFFSET(ORÇAMENTO!$X$15,ROW(AO146)-ROW(AO$15),0),
              ROUND(ROUND(OFFSET($P146,0,AO$13),15-13*ORÇAMENTO!$AF$7)*OFFSET(ORÇAMENTO!$W$15,ROW(AO146)-ROW(AO$15),0),15-13*ORÇAMENTO!$AF$11)),
         0)</f>
        <v>1841.94</v>
      </c>
      <c r="AP146" s="453">
        <f ca="1">IF(AND($D146="Serviço",AP$12&lt;&gt;0,$H146&gt;0,OR(AUTOEVENTO&lt;&gt;"manual",$M146&lt;&gt;$A$15)),
        IF(Import.TipoArredondamento&lt;&gt;"TransfereGOV",
              ROUND(OFFSET($P146,0,AP$13),15-13*ORÇAMENTO!$AF$7)/$H146*OFFSET(ORÇAMENTO!$X$15,ROW(AP146)-ROW(AP$15),0),
              ROUND(ROUND(OFFSET($P146,0,AP$13),15-13*ORÇAMENTO!$AF$7)*OFFSET(ORÇAMENTO!$W$15,ROW(AP146)-ROW(AP$15),0),15-13*ORÇAMENTO!$AF$11)),
         0)</f>
        <v>0</v>
      </c>
      <c r="AQ146" s="453">
        <f ca="1">IF(AND($D146="Serviço",AQ$12&lt;&gt;0,$H146&gt;0,OR(AUTOEVENTO&lt;&gt;"manual",$M146&lt;&gt;$A$15)),
        IF(Import.TipoArredondamento&lt;&gt;"TransfereGOV",
              ROUND(OFFSET($P146,0,AQ$13),15-13*ORÇAMENTO!$AF$7)/$H146*OFFSET(ORÇAMENTO!$X$15,ROW(AQ146)-ROW(AQ$15),0),
              ROUND(ROUND(OFFSET($P146,0,AQ$13),15-13*ORÇAMENTO!$AF$7)*OFFSET(ORÇAMENTO!$W$15,ROW(AQ146)-ROW(AQ$15),0),15-13*ORÇAMENTO!$AF$11)),
         0)</f>
        <v>0</v>
      </c>
      <c r="AR146" s="453">
        <f ca="1">IF(AND($D146="Serviço",AR$12&lt;&gt;0,$H146&gt;0,OR(AUTOEVENTO&lt;&gt;"manual",$M146&lt;&gt;$A$15)),
        IF(Import.TipoArredondamento&lt;&gt;"TransfereGOV",
              ROUND(OFFSET($P146,0,AR$13),15-13*ORÇAMENTO!$AF$7)/$H146*OFFSET(ORÇAMENTO!$X$15,ROW(AR146)-ROW(AR$15),0),
              ROUND(ROUND(OFFSET($P146,0,AR$13),15-13*ORÇAMENTO!$AF$7)*OFFSET(ORÇAMENTO!$W$15,ROW(AR146)-ROW(AR$15),0),15-13*ORÇAMENTO!$AF$11)),
         0)</f>
        <v>0</v>
      </c>
      <c r="AS146" s="453">
        <f ca="1">IF(AND($D146="Serviço",AS$12&lt;&gt;0,$H146&gt;0,OR(AUTOEVENTO&lt;&gt;"manual",$M146&lt;&gt;$A$15)),
        IF(Import.TipoArredondamento&lt;&gt;"TransfereGOV",
              ROUND(OFFSET($P146,0,AS$13),15-13*ORÇAMENTO!$AF$7)/$H146*OFFSET(ORÇAMENTO!$X$15,ROW(AS146)-ROW(AS$15),0),
              ROUND(ROUND(OFFSET($P146,0,AS$13),15-13*ORÇAMENTO!$AF$7)*OFFSET(ORÇAMENTO!$W$15,ROW(AS146)-ROW(AS$15),0),15-13*ORÇAMENTO!$AF$11)),
         0)</f>
        <v>0</v>
      </c>
      <c r="AT146" s="453">
        <f ca="1">IF(AND($D146="Serviço",AT$12&lt;&gt;0,$H146&gt;0,OR(AUTOEVENTO&lt;&gt;"manual",$M146&lt;&gt;$A$15)),
        IF(Import.TipoArredondamento&lt;&gt;"TransfereGOV",
              ROUND(OFFSET($P146,0,AT$13),15-13*ORÇAMENTO!$AF$7)/$H146*OFFSET(ORÇAMENTO!$X$15,ROW(AT146)-ROW(AT$15),0),
              ROUND(ROUND(OFFSET($P146,0,AT$13),15-13*ORÇAMENTO!$AF$7)*OFFSET(ORÇAMENTO!$W$15,ROW(AT146)-ROW(AT$15),0),15-13*ORÇAMENTO!$AF$11)),
         0)</f>
        <v>0</v>
      </c>
      <c r="AU146" s="453">
        <f ca="1">IF(AND($D146="Serviço",AU$12&lt;&gt;0,$H146&gt;0,OR(AUTOEVENTO&lt;&gt;"manual",$M146&lt;&gt;$A$15)),
        IF(Import.TipoArredondamento&lt;&gt;"TransfereGOV",
              ROUND(OFFSET($P146,0,AU$13),15-13*ORÇAMENTO!$AF$7)/$H146*OFFSET(ORÇAMENTO!$X$15,ROW(AU146)-ROW(AU$15),0),
              ROUND(ROUND(OFFSET($P146,0,AU$13),15-13*ORÇAMENTO!$AF$7)*OFFSET(ORÇAMENTO!$W$15,ROW(AU146)-ROW(AU$15),0),15-13*ORÇAMENTO!$AF$11)),
         0)</f>
        <v>0</v>
      </c>
      <c r="AV146" s="453">
        <f ca="1">IF(AND($D146="Serviço",AV$12&lt;&gt;0,$H146&gt;0,OR(AUTOEVENTO&lt;&gt;"manual",$M146&lt;&gt;$A$15)),
        IF(Import.TipoArredondamento&lt;&gt;"TransfereGOV",
              ROUND(OFFSET($P146,0,AV$13),15-13*ORÇAMENTO!$AF$7)/$H146*OFFSET(ORÇAMENTO!$X$15,ROW(AV146)-ROW(AV$15),0),
              ROUND(ROUND(OFFSET($P146,0,AV$13),15-13*ORÇAMENTO!$AF$7)*OFFSET(ORÇAMENTO!$W$15,ROW(AV146)-ROW(AV$15),0),15-13*ORÇAMENTO!$AF$11)),
         0)</f>
        <v>0</v>
      </c>
      <c r="AW146" s="453">
        <f ca="1">IF(AND($D146="Serviço",AW$12&lt;&gt;0,$H146&gt;0,OR(AUTOEVENTO&lt;&gt;"manual",$M146&lt;&gt;$A$15)),
        IF(Import.TipoArredondamento&lt;&gt;"TransfereGOV",
              ROUND(OFFSET($P146,0,AW$13),15-13*ORÇAMENTO!$AF$7)/$H146*OFFSET(ORÇAMENTO!$X$15,ROW(AW146)-ROW(AW$15),0),
              ROUND(ROUND(OFFSET($P146,0,AW$13),15-13*ORÇAMENTO!$AF$7)*OFFSET(ORÇAMENTO!$W$15,ROW(AW146)-ROW(AW$15),0),15-13*ORÇAMENTO!$AF$11)),
         0)</f>
        <v>0</v>
      </c>
      <c r="AX146" s="453">
        <f ca="1">IF(AND($D146="Serviço",AX$12&lt;&gt;0,$H146&gt;0,OR(AUTOEVENTO&lt;&gt;"manual",$M146&lt;&gt;$A$15)),
        IF(Import.TipoArredondamento&lt;&gt;"TransfereGOV",
              ROUND(OFFSET($P146,0,AX$13),15-13*ORÇAMENTO!$AF$7)/$H146*OFFSET(ORÇAMENTO!$X$15,ROW(AX146)-ROW(AX$15),0),
              ROUND(ROUND(OFFSET($P146,0,AX$13),15-13*ORÇAMENTO!$AF$7)*OFFSET(ORÇAMENTO!$W$15,ROW(AX146)-ROW(AX$15),0),15-13*ORÇAMENTO!$AF$11)),
         0)</f>
        <v>0</v>
      </c>
      <c r="AY146" s="453">
        <f ca="1">IF(AND($D146="Serviço",AY$12&lt;&gt;0,$H146&gt;0,OR(AUTOEVENTO&lt;&gt;"manual",$M146&lt;&gt;$A$15)),
        IF(Import.TipoArredondamento&lt;&gt;"TransfereGOV",
              ROUND(OFFSET($P146,0,AY$13),15-13*ORÇAMENTO!$AF$7)/$H146*OFFSET(ORÇAMENTO!$X$15,ROW(AY146)-ROW(AY$15),0),
              ROUND(ROUND(OFFSET($P146,0,AY$13),15-13*ORÇAMENTO!$AF$7)*OFFSET(ORÇAMENTO!$W$15,ROW(AY146)-ROW(AY$15),0),15-13*ORÇAMENTO!$AF$11)),
         0)</f>
        <v>0</v>
      </c>
      <c r="AZ146" s="453">
        <f ca="1">IF(AND($D146="Serviço",AZ$12&lt;&gt;0,$H146&gt;0,OR(AUTOEVENTO&lt;&gt;"manual",$M146&lt;&gt;$A$15)),
        IF(Import.TipoArredondamento&lt;&gt;"TransfereGOV",
              ROUND(OFFSET($P146,0,AZ$13),15-13*ORÇAMENTO!$AF$7)/$H146*OFFSET(ORÇAMENTO!$X$15,ROW(AZ146)-ROW(AZ$15),0),
              ROUND(ROUND(OFFSET($P146,0,AZ$13),15-13*ORÇAMENTO!$AF$7)*OFFSET(ORÇAMENTO!$W$15,ROW(AZ146)-ROW(AZ$15),0),15-13*ORÇAMENTO!$AF$11)),
         0)</f>
        <v>0</v>
      </c>
      <c r="BA146" s="453">
        <f ca="1">IF(AND($D146="Serviço",BA$12&lt;&gt;0,$H146&gt;0,OR(AUTOEVENTO&lt;&gt;"manual",$M146&lt;&gt;$A$15)),
        IF(Import.TipoArredondamento&lt;&gt;"TransfereGOV",
              ROUND(OFFSET($P146,0,BA$13),15-13*ORÇAMENTO!$AF$7)/$H146*OFFSET(ORÇAMENTO!$X$15,ROW(BA146)-ROW(BA$15),0),
              ROUND(ROUND(OFFSET($P146,0,BA$13),15-13*ORÇAMENTO!$AF$7)*OFFSET(ORÇAMENTO!$W$15,ROW(BA146)-ROW(BA$15),0),15-13*ORÇAMENTO!$AF$11)),
         0)</f>
        <v>0</v>
      </c>
      <c r="BC146" s="171">
        <f ca="1">IF(OR($D146&lt;&gt;"Serviço",AND(AUTOEVENTO="Manual",$M146=$A$15)),0,
         IF(OFFSET(CRONOPLE!$F$15,$M146-$A$15,BC$13)=0,10^12,OFFSET(CRONOPLE!$F$15,$M146-$A$15,BC$13)))</f>
        <v>1000000000000</v>
      </c>
      <c r="BD146" s="171">
        <f ca="1">IF(OR($D146&lt;&gt;"Serviço",AND(AUTOEVENTO="Manual",$M146=$A$15)),0,
         IF(OFFSET(CRONOPLE!$F$15,$M146-$A$15,BD$13)=0,10^12,OFFSET(CRONOPLE!$F$15,$M146-$A$15,BD$13)))</f>
        <v>1000000000000</v>
      </c>
      <c r="BE146" s="171">
        <f ca="1">IF(OR($D146&lt;&gt;"Serviço",AND(AUTOEVENTO="Manual",$M146=$A$15)),0,
         IF(OFFSET(CRONOPLE!$F$15,$M146-$A$15,BE$13)=0,10^12,OFFSET(CRONOPLE!$F$15,$M146-$A$15,BE$13)))</f>
        <v>1000000000000</v>
      </c>
      <c r="BF146" s="171">
        <f ca="1">IF(OR($D146&lt;&gt;"Serviço",AND(AUTOEVENTO="Manual",$M146=$A$15)),0,
         IF(OFFSET(CRONOPLE!$F$15,$M146-$A$15,BF$13)=0,10^12,OFFSET(CRONOPLE!$F$15,$M146-$A$15,BF$13)))</f>
        <v>1000000000000</v>
      </c>
      <c r="BG146" s="171">
        <f ca="1">IF(OR($D146&lt;&gt;"Serviço",AND(AUTOEVENTO="Manual",$M146=$A$15)),0,
         IF(OFFSET(CRONOPLE!$F$15,$M146-$A$15,BG$13)=0,10^12,OFFSET(CRONOPLE!$F$15,$M146-$A$15,BG$13)))</f>
        <v>1000000000000</v>
      </c>
      <c r="BH146" s="171">
        <f ca="1">IF(OR($D146&lt;&gt;"Serviço",AND(AUTOEVENTO="Manual",$M146=$A$15)),0,
         IF(OFFSET(CRONOPLE!$F$15,$M146-$A$15,BH$13)=0,10^12,OFFSET(CRONOPLE!$F$15,$M146-$A$15,BH$13)))</f>
        <v>6</v>
      </c>
      <c r="BI146" s="171">
        <f ca="1">IF(OR($D146&lt;&gt;"Serviço",AND(AUTOEVENTO="Manual",$M146=$A$15)),0,
         IF(OFFSET(CRONOPLE!$F$15,$M146-$A$15,BI$13)=0,10^12,OFFSET(CRONOPLE!$F$15,$M146-$A$15,BI$13)))</f>
        <v>1000000000000</v>
      </c>
      <c r="BJ146" s="171">
        <f ca="1">IF(OR($D146&lt;&gt;"Serviço",AND(AUTOEVENTO="Manual",$M146=$A$15)),0,
         IF(OFFSET(CRONOPLE!$F$15,$M146-$A$15,BJ$13)=0,10^12,OFFSET(CRONOPLE!$F$15,$M146-$A$15,BJ$13)))</f>
        <v>1000000000000</v>
      </c>
      <c r="BK146" s="171">
        <f ca="1">IF(OR($D146&lt;&gt;"Serviço",AND(AUTOEVENTO="Manual",$M146=$A$15)),0,
         IF(OFFSET(CRONOPLE!$F$15,$M146-$A$15,BK$13)=0,10^12,OFFSET(CRONOPLE!$F$15,$M146-$A$15,BK$13)))</f>
        <v>1000000000000</v>
      </c>
      <c r="BL146" s="171">
        <f ca="1">IF(OR($D146&lt;&gt;"Serviço",AND(AUTOEVENTO="Manual",$M146=$A$15)),0,
         IF(OFFSET(CRONOPLE!$F$15,$M146-$A$15,BL$13)=0,10^12,OFFSET(CRONOPLE!$F$15,$M146-$A$15,BL$13)))</f>
        <v>1000000000000</v>
      </c>
      <c r="BM146" s="171">
        <f ca="1">IF(OR($D146&lt;&gt;"Serviço",AND(AUTOEVENTO="Manual",$M146=$A$15)),0,
         IF(OFFSET(CRONOPLE!$F$15,$M146-$A$15,BM$13)=0,10^12,OFFSET(CRONOPLE!$F$15,$M146-$A$15,BM$13)))</f>
        <v>1000000000000</v>
      </c>
      <c r="BN146" s="171">
        <f ca="1">IF(OR($D146&lt;&gt;"Serviço",AND(AUTOEVENTO="Manual",$M146=$A$15)),0,
         IF(OFFSET(CRONOPLE!$F$15,$M146-$A$15,BN$13)=0,10^12,OFFSET(CRONOPLE!$F$15,$M146-$A$15,BN$13)))</f>
        <v>1000000000000</v>
      </c>
      <c r="BO146" s="171">
        <f ca="1">IF(OR($D146&lt;&gt;"Serviço",AND(AUTOEVENTO="Manual",$M146=$A$15)),0,
         IF(OFFSET(CRONOPLE!$F$15,$M146-$A$15,BO$13)=0,10^12,OFFSET(CRONOPLE!$F$15,$M146-$A$15,BO$13)))</f>
        <v>1000000000000</v>
      </c>
      <c r="BP146" s="171">
        <f ca="1">IF(OR($D146&lt;&gt;"Serviço",AND(AUTOEVENTO="Manual",$M146=$A$15)),0,
         IF(OFFSET(CRONOPLE!$F$15,$M146-$A$15,BP$13)=0,10^12,OFFSET(CRONOPLE!$F$15,$M146-$A$15,BP$13)))</f>
        <v>1000000000000</v>
      </c>
      <c r="BQ146" s="171">
        <f ca="1">IF(OR($D146&lt;&gt;"Serviço",AND(AUTOEVENTO="Manual",$M146=$A$15)),0,
         IF(OFFSET(CRONOPLE!$F$15,$M146-$A$15,BQ$13)=0,10^12,OFFSET(CRONOPLE!$F$15,$M146-$A$15,BQ$13)))</f>
        <v>1000000000000</v>
      </c>
      <c r="BR146" s="171">
        <f ca="1">IF(OR($D146&lt;&gt;"Serviço",AND(AUTOEVENTO="Manual",$M146=$A$15)),0,
         IF(OFFSET(CRONOPLE!$F$15,$M146-$A$15,BR$13)=0,10^12,OFFSET(CRONOPLE!$F$15,$M146-$A$15,BR$13)))</f>
        <v>1000000000000</v>
      </c>
      <c r="BS146" s="171">
        <f ca="1">IF(OR($D146&lt;&gt;"Serviço",AND(AUTOEVENTO="Manual",$M146=$A$15)),0,
         IF(OFFSET(CRONOPLE!$F$15,$M146-$A$15,BS$13)=0,10^12,OFFSET(CRONOPLE!$F$15,$M146-$A$15,BS$13)))</f>
        <v>1000000000000</v>
      </c>
      <c r="BT146" s="171">
        <f ca="1">IF(OR($D146&lt;&gt;"Serviço",AND(AUTOEVENTO="Manual",$M146=$A$15)),0,
         IF(OFFSET(CRONOPLE!$F$15,$M146-$A$15,BT$13)=0,10^12,OFFSET(CRONOPLE!$F$15,$M146-$A$15,BT$13)))</f>
        <v>1000000000000</v>
      </c>
      <c r="BV146" s="172">
        <f ca="1">IF(OR($D146&lt;&gt;"Serviço",AND(AUTOEVENTO="Manual",$M146=$A$15),$M146&gt;(ROW(PLE.lastrow)-ROW(PLE.firstrow))),0,
           IF(OFFSET(PLE!$G$15,$M146-$A$15,BV$13)="",10^12,OFFSET(PLE!$G$15,$M146-$A$15,BV$13)))</f>
        <v>1000000000000</v>
      </c>
      <c r="BW146" s="172">
        <f ca="1">IF(OR($D146&lt;&gt;"Serviço",AND(AUTOEVENTO="Manual",$M146=$A$15),$M146&gt;(ROW(PLE.lastrow)-ROW(PLE.firstrow))),0,
           IF(OFFSET(PLE!$G$15,$M146-$A$15,BW$13)="",10^12,OFFSET(PLE!$G$15,$M146-$A$15,BW$13)))</f>
        <v>1000000000000</v>
      </c>
      <c r="BX146" s="172">
        <f ca="1">IF(OR($D146&lt;&gt;"Serviço",AND(AUTOEVENTO="Manual",$M146=$A$15),$M146&gt;(ROW(PLE.lastrow)-ROW(PLE.firstrow))),0,
           IF(OFFSET(PLE!$G$15,$M146-$A$15,BX$13)="",10^12,OFFSET(PLE!$G$15,$M146-$A$15,BX$13)))</f>
        <v>1000000000000</v>
      </c>
      <c r="BY146" s="172">
        <f ca="1">IF(OR($D146&lt;&gt;"Serviço",AND(AUTOEVENTO="Manual",$M146=$A$15),$M146&gt;(ROW(PLE.lastrow)-ROW(PLE.firstrow))),0,
           IF(OFFSET(PLE!$G$15,$M146-$A$15,BY$13)="",10^12,OFFSET(PLE!$G$15,$M146-$A$15,BY$13)))</f>
        <v>1000000000000</v>
      </c>
      <c r="BZ146" s="172">
        <f ca="1">IF(OR($D146&lt;&gt;"Serviço",AND(AUTOEVENTO="Manual",$M146=$A$15),$M146&gt;(ROW(PLE.lastrow)-ROW(PLE.firstrow))),0,
           IF(OFFSET(PLE!$G$15,$M146-$A$15,BZ$13)="",10^12,OFFSET(PLE!$G$15,$M146-$A$15,BZ$13)))</f>
        <v>1000000000000</v>
      </c>
      <c r="CA146" s="172">
        <f ca="1">IF(OR($D146&lt;&gt;"Serviço",AND(AUTOEVENTO="Manual",$M146=$A$15),$M146&gt;(ROW(PLE.lastrow)-ROW(PLE.firstrow))),0,
           IF(OFFSET(PLE!$G$15,$M146-$A$15,CA$13)="",10^12,OFFSET(PLE!$G$15,$M146-$A$15,CA$13)))</f>
        <v>1000000000000</v>
      </c>
      <c r="CB146" s="172">
        <f ca="1">IF(OR($D146&lt;&gt;"Serviço",AND(AUTOEVENTO="Manual",$M146=$A$15),$M146&gt;(ROW(PLE.lastrow)-ROW(PLE.firstrow))),0,
           IF(OFFSET(PLE!$G$15,$M146-$A$15,CB$13)="",10^12,OFFSET(PLE!$G$15,$M146-$A$15,CB$13)))</f>
        <v>1000000000000</v>
      </c>
      <c r="CC146" s="172">
        <f ca="1">IF(OR($D146&lt;&gt;"Serviço",AND(AUTOEVENTO="Manual",$M146=$A$15),$M146&gt;(ROW(PLE.lastrow)-ROW(PLE.firstrow))),0,
           IF(OFFSET(PLE!$G$15,$M146-$A$15,CC$13)="",10^12,OFFSET(PLE!$G$15,$M146-$A$15,CC$13)))</f>
        <v>1000000000000</v>
      </c>
      <c r="CD146" s="172">
        <f ca="1">IF(OR($D146&lt;&gt;"Serviço",AND(AUTOEVENTO="Manual",$M146=$A$15),$M146&gt;(ROW(PLE.lastrow)-ROW(PLE.firstrow))),0,
           IF(OFFSET(PLE!$G$15,$M146-$A$15,CD$13)="",10^12,OFFSET(PLE!$G$15,$M146-$A$15,CD$13)))</f>
        <v>1000000000000</v>
      </c>
      <c r="CE146" s="172">
        <f ca="1">IF(OR($D146&lt;&gt;"Serviço",AND(AUTOEVENTO="Manual",$M146=$A$15),$M146&gt;(ROW(PLE.lastrow)-ROW(PLE.firstrow))),0,
           IF(OFFSET(PLE!$G$15,$M146-$A$15,CE$13)="",10^12,OFFSET(PLE!$G$15,$M146-$A$15,CE$13)))</f>
        <v>1000000000000</v>
      </c>
      <c r="CF146" s="172">
        <f ca="1">IF(OR($D146&lt;&gt;"Serviço",AND(AUTOEVENTO="Manual",$M146=$A$15),$M146&gt;(ROW(PLE.lastrow)-ROW(PLE.firstrow))),0,
           IF(OFFSET(PLE!$G$15,$M146-$A$15,CF$13)="",10^12,OFFSET(PLE!$G$15,$M146-$A$15,CF$13)))</f>
        <v>1000000000000</v>
      </c>
      <c r="CG146" s="172">
        <f ca="1">IF(OR($D146&lt;&gt;"Serviço",AND(AUTOEVENTO="Manual",$M146=$A$15),$M146&gt;(ROW(PLE.lastrow)-ROW(PLE.firstrow))),0,
           IF(OFFSET(PLE!$G$15,$M146-$A$15,CG$13)="",10^12,OFFSET(PLE!$G$15,$M146-$A$15,CG$13)))</f>
        <v>1000000000000</v>
      </c>
      <c r="CH146" s="172">
        <f ca="1">IF(OR($D146&lt;&gt;"Serviço",AND(AUTOEVENTO="Manual",$M146=$A$15),$M146&gt;(ROW(PLE.lastrow)-ROW(PLE.firstrow))),0,
           IF(OFFSET(PLE!$G$15,$M146-$A$15,CH$13)="",10^12,OFFSET(PLE!$G$15,$M146-$A$15,CH$13)))</f>
        <v>1000000000000</v>
      </c>
      <c r="CI146" s="172">
        <f ca="1">IF(OR($D146&lt;&gt;"Serviço",AND(AUTOEVENTO="Manual",$M146=$A$15),$M146&gt;(ROW(PLE.lastrow)-ROW(PLE.firstrow))),0,
           IF(OFFSET(PLE!$G$15,$M146-$A$15,CI$13)="",10^12,OFFSET(PLE!$G$15,$M146-$A$15,CI$13)))</f>
        <v>1000000000000</v>
      </c>
      <c r="CJ146" s="172">
        <f ca="1">IF(OR($D146&lt;&gt;"Serviço",AND(AUTOEVENTO="Manual",$M146=$A$15),$M146&gt;(ROW(PLE.lastrow)-ROW(PLE.firstrow))),0,
           IF(OFFSET(PLE!$G$15,$M146-$A$15,CJ$13)="",10^12,OFFSET(PLE!$G$15,$M146-$A$15,CJ$13)))</f>
        <v>1000000000000</v>
      </c>
      <c r="CK146" s="172">
        <f ca="1">IF(OR($D146&lt;&gt;"Serviço",AND(AUTOEVENTO="Manual",$M146=$A$15),$M146&gt;(ROW(PLE.lastrow)-ROW(PLE.firstrow))),0,
           IF(OFFSET(PLE!$G$15,$M146-$A$15,CK$13)="",10^12,OFFSET(PLE!$G$15,$M146-$A$15,CK$13)))</f>
        <v>1000000000000</v>
      </c>
      <c r="CL146" s="172">
        <f ca="1">IF(OR($D146&lt;&gt;"Serviço",AND(AUTOEVENTO="Manual",$M146=$A$15),$M146&gt;(ROW(PLE.lastrow)-ROW(PLE.firstrow))),0,
           IF(OFFSET(PLE!$G$15,$M146-$A$15,CL$13)="",10^12,OFFSET(PLE!$G$15,$M146-$A$15,CL$13)))</f>
        <v>1000000000000</v>
      </c>
      <c r="CM146" s="172">
        <f ca="1">IF(OR($D146&lt;&gt;"Serviço",AND(AUTOEVENTO="Manual",$M146=$A$15),$M146&gt;(ROW(PLE.lastrow)-ROW(PLE.firstrow))),0,
           IF(OFFSET(PLE!$G$15,$M146-$A$15,CM$13)="",10^12,OFFSET(PLE!$G$15,$M146-$A$15,CM$13)))</f>
        <v>1000000000000</v>
      </c>
    </row>
    <row r="147" spans="1:91" ht="26.4" x14ac:dyDescent="0.25">
      <c r="A147" s="7" t="str">
        <f t="shared" ca="1" si="11"/>
        <v>126</v>
      </c>
      <c r="B147" s="7" t="str">
        <f ca="1">OFFSET(ORÇAMENTO!C$15,ROW(B147)-ROW(B$15),0)</f>
        <v>S</v>
      </c>
      <c r="C147" s="7" t="str">
        <f ca="1">OFFSET(ORÇAMENTO!L$15,ROW(C147)-ROW(C$15),0)</f>
        <v>F</v>
      </c>
      <c r="D147" s="116" t="str">
        <f ca="1">OFFSET(ORÇAMENTO!N$15,ROW(D147)-ROW(D$15),0)</f>
        <v>Serviço</v>
      </c>
      <c r="E147" s="117" t="str">
        <f ca="1">OFFSET(ORÇAMENTO!O$15,ROW(E147)-ROW(E$15),0)</f>
        <v>4.2.6.</v>
      </c>
      <c r="F147" s="163" t="str">
        <f ca="1">OFFSET(ORÇAMENTO!R$15,ROW(F147)-ROW(F$15),0)</f>
        <v>EMULSÃO ASFÁLTICA PARA SERVIÇO DE IMPRIMAÇÃO COLETADO NA ANP ACRESCIDO DE IMPOSTOS (ICMS, PIS, COFINS)</v>
      </c>
      <c r="G147" s="164" t="str">
        <f ca="1">IF($D147&lt;&gt;"Serviço","",OFFSET(ORÇAMENTO!S$15,ROW(G147)-ROW(G$15),0))</f>
        <v>KG</v>
      </c>
      <c r="H147" s="122" cm="1">
        <f t="array" aca="1" ref="H147" ca="1">IF($D147&lt;&gt;"Serviço",0,IF(ACOMPANHAMENTO="BM",ROUND(OFFSET(ORÇAMENTO!AJ$15,ROW(H147)-ROW(H$15),0),15-13*ORÇAMENTO!$AF$7),SUMPRODUCT(($Q$1:$AI$1=1)*ROUND($Q147:$AI147,15-13*ORÇAMENTO!$AF$7))))</f>
        <v>2956.2</v>
      </c>
      <c r="I147" s="468"/>
      <c r="J147" s="651" t="e" cm="1">
        <f t="array" aca="1" ref="J147" ca="1">IF(OR(B147&lt;&gt;"S",CÁLCULO.FrentesPreenchidas=0),"",IF(AND(ACOMPANHAMENTO="PLE",AUTOEVENTO="Manual",OR(H147&gt;0,ORÇAMENTO!AC147="QUANT."),OR(K147="",M147=0,N147="")),"►E",IF(AND(ACOMPANHAMENTO="PLE",ORÇAMENTO!AC147="QUANT."),"►Q",IF(AND(ACOMPANHAMENTO="PLE",H147&lt;&gt;SUMPRODUCT(($Q$1:$AI$1=1)*ROUND(Q147:AI147,15))),"►S",IF(AND(COUNTIF($P$11:$AI$11,"▼")=0,H147&gt;0,I147=""),"◄M","")))))</f>
        <v>#NAME?</v>
      </c>
      <c r="K147" s="652"/>
      <c r="L147" s="165" t="s">
        <v>764</v>
      </c>
      <c r="M147" s="166">
        <f ca="1">IF($D147&lt;&gt;"Serviço","",
          IF(AUTOEVENTO="manual",$A147,
                IF(ISERROR(MATCH($A147,$A$15:OFFSET($A147,-1,0),0)),MAX($M$15:OFFSET(M147,-1,0))+1,
                      INDEX($M$15:OFFSET(M147,-1,0),MATCH($A147,$A$15:OFFSET($A147,-1,0),0)))))</f>
        <v>20</v>
      </c>
      <c r="N147" s="167" t="str">
        <f ca="1">IF($D147&lt;&gt;"Serviço","",
         IF(AUTOEVENTO="Manual",
                IF($A147=0,"&lt;-- defina o número do agrupador",
                       OFFSET(EVENTOS!$D$15,$A147-$A$15,0)),
                OFFSET($F$15,$A147,0)))</f>
        <v>PAVIMENTAÇÃO</v>
      </c>
      <c r="O147" s="168"/>
      <c r="Q147" s="168"/>
      <c r="R147" s="169"/>
      <c r="S147" s="169"/>
      <c r="T147" s="169"/>
      <c r="U147" s="169"/>
      <c r="V147" s="169">
        <f>V146*1.3</f>
        <v>2956.2000000000003</v>
      </c>
      <c r="W147" s="169"/>
      <c r="X147" s="169"/>
      <c r="Y147" s="169"/>
      <c r="Z147" s="170"/>
      <c r="AA147" s="169"/>
      <c r="AB147" s="169"/>
      <c r="AC147" s="169"/>
      <c r="AD147" s="169"/>
      <c r="AE147" s="169"/>
      <c r="AF147" s="169"/>
      <c r="AG147" s="169"/>
      <c r="AH147" s="170"/>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L147" s="453">
        <f ca="1">IF(AND($D147="Serviço",AL$12&lt;&gt;0,$H147&gt;0,OR(AUTOEVENTO&lt;&gt;"manual",$M147&lt;&gt;$A$15)),
        IF(Import.TipoArredondamento&lt;&gt;"TransfereGOV",
              ROUND(OFFSET($P147,0,AL$13),15-13*ORÇAMENTO!$AF$7)/$H147*OFFSET(ORÇAMENTO!$X$15,ROW(AL147)-ROW(AL$15),0),
              ROUND(ROUND(OFFSET($P147,0,AL$13),15-13*ORÇAMENTO!$AF$7)*OFFSET(ORÇAMENTO!$W$15,ROW(AL147)-ROW(AL$15),0),15-13*ORÇAMENTO!$AF$11)),
         0)</f>
        <v>0</v>
      </c>
      <c r="AM147" s="453">
        <f ca="1">IF(AND($D147="Serviço",AM$12&lt;&gt;0,$H147&gt;0,OR(AUTOEVENTO&lt;&gt;"manual",$M147&lt;&gt;$A$15)),
        IF(Import.TipoArredondamento&lt;&gt;"TransfereGOV",
              ROUND(OFFSET($P147,0,AM$13),15-13*ORÇAMENTO!$AF$7)/$H147*OFFSET(ORÇAMENTO!$X$15,ROW(AM147)-ROW(AM$15),0),
              ROUND(ROUND(OFFSET($P147,0,AM$13),15-13*ORÇAMENTO!$AF$7)*OFFSET(ORÇAMENTO!$W$15,ROW(AM147)-ROW(AM$15),0),15-13*ORÇAMENTO!$AF$11)),
         0)</f>
        <v>0</v>
      </c>
      <c r="AN147" s="453">
        <f ca="1">IF(AND($D147="Serviço",AN$12&lt;&gt;0,$H147&gt;0,OR(AUTOEVENTO&lt;&gt;"manual",$M147&lt;&gt;$A$15)),
        IF(Import.TipoArredondamento&lt;&gt;"TransfereGOV",
              ROUND(OFFSET($P147,0,AN$13),15-13*ORÇAMENTO!$AF$7)/$H147*OFFSET(ORÇAMENTO!$X$15,ROW(AN147)-ROW(AN$15),0),
              ROUND(ROUND(OFFSET($P147,0,AN$13),15-13*ORÇAMENTO!$AF$7)*OFFSET(ORÇAMENTO!$W$15,ROW(AN147)-ROW(AN$15),0),15-13*ORÇAMENTO!$AF$11)),
         0)</f>
        <v>0</v>
      </c>
      <c r="AO147" s="453">
        <f ca="1">IF(AND($D147="Serviço",AO$12&lt;&gt;0,$H147&gt;0,OR(AUTOEVENTO&lt;&gt;"manual",$M147&lt;&gt;$A$15)),
        IF(Import.TipoArredondamento&lt;&gt;"TransfereGOV",
              ROUND(OFFSET($P147,0,AO$13),15-13*ORÇAMENTO!$AF$7)/$H147*OFFSET(ORÇAMENTO!$X$15,ROW(AO147)-ROW(AO$15),0),
              ROUND(ROUND(OFFSET($P147,0,AO$13),15-13*ORÇAMENTO!$AF$7)*OFFSET(ORÇAMENTO!$W$15,ROW(AO147)-ROW(AO$15),0),15-13*ORÇAMENTO!$AF$11)),
         0)</f>
        <v>11706.55</v>
      </c>
      <c r="AP147" s="453">
        <f ca="1">IF(AND($D147="Serviço",AP$12&lt;&gt;0,$H147&gt;0,OR(AUTOEVENTO&lt;&gt;"manual",$M147&lt;&gt;$A$15)),
        IF(Import.TipoArredondamento&lt;&gt;"TransfereGOV",
              ROUND(OFFSET($P147,0,AP$13),15-13*ORÇAMENTO!$AF$7)/$H147*OFFSET(ORÇAMENTO!$X$15,ROW(AP147)-ROW(AP$15),0),
              ROUND(ROUND(OFFSET($P147,0,AP$13),15-13*ORÇAMENTO!$AF$7)*OFFSET(ORÇAMENTO!$W$15,ROW(AP147)-ROW(AP$15),0),15-13*ORÇAMENTO!$AF$11)),
         0)</f>
        <v>0</v>
      </c>
      <c r="AQ147" s="453">
        <f ca="1">IF(AND($D147="Serviço",AQ$12&lt;&gt;0,$H147&gt;0,OR(AUTOEVENTO&lt;&gt;"manual",$M147&lt;&gt;$A$15)),
        IF(Import.TipoArredondamento&lt;&gt;"TransfereGOV",
              ROUND(OFFSET($P147,0,AQ$13),15-13*ORÇAMENTO!$AF$7)/$H147*OFFSET(ORÇAMENTO!$X$15,ROW(AQ147)-ROW(AQ$15),0),
              ROUND(ROUND(OFFSET($P147,0,AQ$13),15-13*ORÇAMENTO!$AF$7)*OFFSET(ORÇAMENTO!$W$15,ROW(AQ147)-ROW(AQ$15),0),15-13*ORÇAMENTO!$AF$11)),
         0)</f>
        <v>0</v>
      </c>
      <c r="AR147" s="453">
        <f ca="1">IF(AND($D147="Serviço",AR$12&lt;&gt;0,$H147&gt;0,OR(AUTOEVENTO&lt;&gt;"manual",$M147&lt;&gt;$A$15)),
        IF(Import.TipoArredondamento&lt;&gt;"TransfereGOV",
              ROUND(OFFSET($P147,0,AR$13),15-13*ORÇAMENTO!$AF$7)/$H147*OFFSET(ORÇAMENTO!$X$15,ROW(AR147)-ROW(AR$15),0),
              ROUND(ROUND(OFFSET($P147,0,AR$13),15-13*ORÇAMENTO!$AF$7)*OFFSET(ORÇAMENTO!$W$15,ROW(AR147)-ROW(AR$15),0),15-13*ORÇAMENTO!$AF$11)),
         0)</f>
        <v>0</v>
      </c>
      <c r="AS147" s="453">
        <f ca="1">IF(AND($D147="Serviço",AS$12&lt;&gt;0,$H147&gt;0,OR(AUTOEVENTO&lt;&gt;"manual",$M147&lt;&gt;$A$15)),
        IF(Import.TipoArredondamento&lt;&gt;"TransfereGOV",
              ROUND(OFFSET($P147,0,AS$13),15-13*ORÇAMENTO!$AF$7)/$H147*OFFSET(ORÇAMENTO!$X$15,ROW(AS147)-ROW(AS$15),0),
              ROUND(ROUND(OFFSET($P147,0,AS$13),15-13*ORÇAMENTO!$AF$7)*OFFSET(ORÇAMENTO!$W$15,ROW(AS147)-ROW(AS$15),0),15-13*ORÇAMENTO!$AF$11)),
         0)</f>
        <v>0</v>
      </c>
      <c r="AT147" s="453">
        <f ca="1">IF(AND($D147="Serviço",AT$12&lt;&gt;0,$H147&gt;0,OR(AUTOEVENTO&lt;&gt;"manual",$M147&lt;&gt;$A$15)),
        IF(Import.TipoArredondamento&lt;&gt;"TransfereGOV",
              ROUND(OFFSET($P147,0,AT$13),15-13*ORÇAMENTO!$AF$7)/$H147*OFFSET(ORÇAMENTO!$X$15,ROW(AT147)-ROW(AT$15),0),
              ROUND(ROUND(OFFSET($P147,0,AT$13),15-13*ORÇAMENTO!$AF$7)*OFFSET(ORÇAMENTO!$W$15,ROW(AT147)-ROW(AT$15),0),15-13*ORÇAMENTO!$AF$11)),
         0)</f>
        <v>0</v>
      </c>
      <c r="AU147" s="453">
        <f ca="1">IF(AND($D147="Serviço",AU$12&lt;&gt;0,$H147&gt;0,OR(AUTOEVENTO&lt;&gt;"manual",$M147&lt;&gt;$A$15)),
        IF(Import.TipoArredondamento&lt;&gt;"TransfereGOV",
              ROUND(OFFSET($P147,0,AU$13),15-13*ORÇAMENTO!$AF$7)/$H147*OFFSET(ORÇAMENTO!$X$15,ROW(AU147)-ROW(AU$15),0),
              ROUND(ROUND(OFFSET($P147,0,AU$13),15-13*ORÇAMENTO!$AF$7)*OFFSET(ORÇAMENTO!$W$15,ROW(AU147)-ROW(AU$15),0),15-13*ORÇAMENTO!$AF$11)),
         0)</f>
        <v>0</v>
      </c>
      <c r="AV147" s="453">
        <f ca="1">IF(AND($D147="Serviço",AV$12&lt;&gt;0,$H147&gt;0,OR(AUTOEVENTO&lt;&gt;"manual",$M147&lt;&gt;$A$15)),
        IF(Import.TipoArredondamento&lt;&gt;"TransfereGOV",
              ROUND(OFFSET($P147,0,AV$13),15-13*ORÇAMENTO!$AF$7)/$H147*OFFSET(ORÇAMENTO!$X$15,ROW(AV147)-ROW(AV$15),0),
              ROUND(ROUND(OFFSET($P147,0,AV$13),15-13*ORÇAMENTO!$AF$7)*OFFSET(ORÇAMENTO!$W$15,ROW(AV147)-ROW(AV$15),0),15-13*ORÇAMENTO!$AF$11)),
         0)</f>
        <v>0</v>
      </c>
      <c r="AW147" s="453">
        <f ca="1">IF(AND($D147="Serviço",AW$12&lt;&gt;0,$H147&gt;0,OR(AUTOEVENTO&lt;&gt;"manual",$M147&lt;&gt;$A$15)),
        IF(Import.TipoArredondamento&lt;&gt;"TransfereGOV",
              ROUND(OFFSET($P147,0,AW$13),15-13*ORÇAMENTO!$AF$7)/$H147*OFFSET(ORÇAMENTO!$X$15,ROW(AW147)-ROW(AW$15),0),
              ROUND(ROUND(OFFSET($P147,0,AW$13),15-13*ORÇAMENTO!$AF$7)*OFFSET(ORÇAMENTO!$W$15,ROW(AW147)-ROW(AW$15),0),15-13*ORÇAMENTO!$AF$11)),
         0)</f>
        <v>0</v>
      </c>
      <c r="AX147" s="453">
        <f ca="1">IF(AND($D147="Serviço",AX$12&lt;&gt;0,$H147&gt;0,OR(AUTOEVENTO&lt;&gt;"manual",$M147&lt;&gt;$A$15)),
        IF(Import.TipoArredondamento&lt;&gt;"TransfereGOV",
              ROUND(OFFSET($P147,0,AX$13),15-13*ORÇAMENTO!$AF$7)/$H147*OFFSET(ORÇAMENTO!$X$15,ROW(AX147)-ROW(AX$15),0),
              ROUND(ROUND(OFFSET($P147,0,AX$13),15-13*ORÇAMENTO!$AF$7)*OFFSET(ORÇAMENTO!$W$15,ROW(AX147)-ROW(AX$15),0),15-13*ORÇAMENTO!$AF$11)),
         0)</f>
        <v>0</v>
      </c>
      <c r="AY147" s="453">
        <f ca="1">IF(AND($D147="Serviço",AY$12&lt;&gt;0,$H147&gt;0,OR(AUTOEVENTO&lt;&gt;"manual",$M147&lt;&gt;$A$15)),
        IF(Import.TipoArredondamento&lt;&gt;"TransfereGOV",
              ROUND(OFFSET($P147,0,AY$13),15-13*ORÇAMENTO!$AF$7)/$H147*OFFSET(ORÇAMENTO!$X$15,ROW(AY147)-ROW(AY$15),0),
              ROUND(ROUND(OFFSET($P147,0,AY$13),15-13*ORÇAMENTO!$AF$7)*OFFSET(ORÇAMENTO!$W$15,ROW(AY147)-ROW(AY$15),0),15-13*ORÇAMENTO!$AF$11)),
         0)</f>
        <v>0</v>
      </c>
      <c r="AZ147" s="453">
        <f ca="1">IF(AND($D147="Serviço",AZ$12&lt;&gt;0,$H147&gt;0,OR(AUTOEVENTO&lt;&gt;"manual",$M147&lt;&gt;$A$15)),
        IF(Import.TipoArredondamento&lt;&gt;"TransfereGOV",
              ROUND(OFFSET($P147,0,AZ$13),15-13*ORÇAMENTO!$AF$7)/$H147*OFFSET(ORÇAMENTO!$X$15,ROW(AZ147)-ROW(AZ$15),0),
              ROUND(ROUND(OFFSET($P147,0,AZ$13),15-13*ORÇAMENTO!$AF$7)*OFFSET(ORÇAMENTO!$W$15,ROW(AZ147)-ROW(AZ$15),0),15-13*ORÇAMENTO!$AF$11)),
         0)</f>
        <v>0</v>
      </c>
      <c r="BA147" s="453">
        <f ca="1">IF(AND($D147="Serviço",BA$12&lt;&gt;0,$H147&gt;0,OR(AUTOEVENTO&lt;&gt;"manual",$M147&lt;&gt;$A$15)),
        IF(Import.TipoArredondamento&lt;&gt;"TransfereGOV",
              ROUND(OFFSET($P147,0,BA$13),15-13*ORÇAMENTO!$AF$7)/$H147*OFFSET(ORÇAMENTO!$X$15,ROW(BA147)-ROW(BA$15),0),
              ROUND(ROUND(OFFSET($P147,0,BA$13),15-13*ORÇAMENTO!$AF$7)*OFFSET(ORÇAMENTO!$W$15,ROW(BA147)-ROW(BA$15),0),15-13*ORÇAMENTO!$AF$11)),
         0)</f>
        <v>0</v>
      </c>
      <c r="BC147" s="171">
        <f ca="1">IF(OR($D147&lt;&gt;"Serviço",AND(AUTOEVENTO="Manual",$M147=$A$15)),0,
         IF(OFFSET(CRONOPLE!$F$15,$M147-$A$15,BC$13)=0,10^12,OFFSET(CRONOPLE!$F$15,$M147-$A$15,BC$13)))</f>
        <v>1000000000000</v>
      </c>
      <c r="BD147" s="171">
        <f ca="1">IF(OR($D147&lt;&gt;"Serviço",AND(AUTOEVENTO="Manual",$M147=$A$15)),0,
         IF(OFFSET(CRONOPLE!$F$15,$M147-$A$15,BD$13)=0,10^12,OFFSET(CRONOPLE!$F$15,$M147-$A$15,BD$13)))</f>
        <v>1000000000000</v>
      </c>
      <c r="BE147" s="171">
        <f ca="1">IF(OR($D147&lt;&gt;"Serviço",AND(AUTOEVENTO="Manual",$M147=$A$15)),0,
         IF(OFFSET(CRONOPLE!$F$15,$M147-$A$15,BE$13)=0,10^12,OFFSET(CRONOPLE!$F$15,$M147-$A$15,BE$13)))</f>
        <v>1000000000000</v>
      </c>
      <c r="BF147" s="171">
        <f ca="1">IF(OR($D147&lt;&gt;"Serviço",AND(AUTOEVENTO="Manual",$M147=$A$15)),0,
         IF(OFFSET(CRONOPLE!$F$15,$M147-$A$15,BF$13)=0,10^12,OFFSET(CRONOPLE!$F$15,$M147-$A$15,BF$13)))</f>
        <v>1000000000000</v>
      </c>
      <c r="BG147" s="171">
        <f ca="1">IF(OR($D147&lt;&gt;"Serviço",AND(AUTOEVENTO="Manual",$M147=$A$15)),0,
         IF(OFFSET(CRONOPLE!$F$15,$M147-$A$15,BG$13)=0,10^12,OFFSET(CRONOPLE!$F$15,$M147-$A$15,BG$13)))</f>
        <v>1000000000000</v>
      </c>
      <c r="BH147" s="171">
        <f ca="1">IF(OR($D147&lt;&gt;"Serviço",AND(AUTOEVENTO="Manual",$M147=$A$15)),0,
         IF(OFFSET(CRONOPLE!$F$15,$M147-$A$15,BH$13)=0,10^12,OFFSET(CRONOPLE!$F$15,$M147-$A$15,BH$13)))</f>
        <v>6</v>
      </c>
      <c r="BI147" s="171">
        <f ca="1">IF(OR($D147&lt;&gt;"Serviço",AND(AUTOEVENTO="Manual",$M147=$A$15)),0,
         IF(OFFSET(CRONOPLE!$F$15,$M147-$A$15,BI$13)=0,10^12,OFFSET(CRONOPLE!$F$15,$M147-$A$15,BI$13)))</f>
        <v>1000000000000</v>
      </c>
      <c r="BJ147" s="171">
        <f ca="1">IF(OR($D147&lt;&gt;"Serviço",AND(AUTOEVENTO="Manual",$M147=$A$15)),0,
         IF(OFFSET(CRONOPLE!$F$15,$M147-$A$15,BJ$13)=0,10^12,OFFSET(CRONOPLE!$F$15,$M147-$A$15,BJ$13)))</f>
        <v>1000000000000</v>
      </c>
      <c r="BK147" s="171">
        <f ca="1">IF(OR($D147&lt;&gt;"Serviço",AND(AUTOEVENTO="Manual",$M147=$A$15)),0,
         IF(OFFSET(CRONOPLE!$F$15,$M147-$A$15,BK$13)=0,10^12,OFFSET(CRONOPLE!$F$15,$M147-$A$15,BK$13)))</f>
        <v>1000000000000</v>
      </c>
      <c r="BL147" s="171">
        <f ca="1">IF(OR($D147&lt;&gt;"Serviço",AND(AUTOEVENTO="Manual",$M147=$A$15)),0,
         IF(OFFSET(CRONOPLE!$F$15,$M147-$A$15,BL$13)=0,10^12,OFFSET(CRONOPLE!$F$15,$M147-$A$15,BL$13)))</f>
        <v>1000000000000</v>
      </c>
      <c r="BM147" s="171">
        <f ca="1">IF(OR($D147&lt;&gt;"Serviço",AND(AUTOEVENTO="Manual",$M147=$A$15)),0,
         IF(OFFSET(CRONOPLE!$F$15,$M147-$A$15,BM$13)=0,10^12,OFFSET(CRONOPLE!$F$15,$M147-$A$15,BM$13)))</f>
        <v>1000000000000</v>
      </c>
      <c r="BN147" s="171">
        <f ca="1">IF(OR($D147&lt;&gt;"Serviço",AND(AUTOEVENTO="Manual",$M147=$A$15)),0,
         IF(OFFSET(CRONOPLE!$F$15,$M147-$A$15,BN$13)=0,10^12,OFFSET(CRONOPLE!$F$15,$M147-$A$15,BN$13)))</f>
        <v>1000000000000</v>
      </c>
      <c r="BO147" s="171">
        <f ca="1">IF(OR($D147&lt;&gt;"Serviço",AND(AUTOEVENTO="Manual",$M147=$A$15)),0,
         IF(OFFSET(CRONOPLE!$F$15,$M147-$A$15,BO$13)=0,10^12,OFFSET(CRONOPLE!$F$15,$M147-$A$15,BO$13)))</f>
        <v>1000000000000</v>
      </c>
      <c r="BP147" s="171">
        <f ca="1">IF(OR($D147&lt;&gt;"Serviço",AND(AUTOEVENTO="Manual",$M147=$A$15)),0,
         IF(OFFSET(CRONOPLE!$F$15,$M147-$A$15,BP$13)=0,10^12,OFFSET(CRONOPLE!$F$15,$M147-$A$15,BP$13)))</f>
        <v>1000000000000</v>
      </c>
      <c r="BQ147" s="171">
        <f ca="1">IF(OR($D147&lt;&gt;"Serviço",AND(AUTOEVENTO="Manual",$M147=$A$15)),0,
         IF(OFFSET(CRONOPLE!$F$15,$M147-$A$15,BQ$13)=0,10^12,OFFSET(CRONOPLE!$F$15,$M147-$A$15,BQ$13)))</f>
        <v>1000000000000</v>
      </c>
      <c r="BR147" s="171">
        <f ca="1">IF(OR($D147&lt;&gt;"Serviço",AND(AUTOEVENTO="Manual",$M147=$A$15)),0,
         IF(OFFSET(CRONOPLE!$F$15,$M147-$A$15,BR$13)=0,10^12,OFFSET(CRONOPLE!$F$15,$M147-$A$15,BR$13)))</f>
        <v>1000000000000</v>
      </c>
      <c r="BS147" s="171">
        <f ca="1">IF(OR($D147&lt;&gt;"Serviço",AND(AUTOEVENTO="Manual",$M147=$A$15)),0,
         IF(OFFSET(CRONOPLE!$F$15,$M147-$A$15,BS$13)=0,10^12,OFFSET(CRONOPLE!$F$15,$M147-$A$15,BS$13)))</f>
        <v>1000000000000</v>
      </c>
      <c r="BT147" s="171">
        <f ca="1">IF(OR($D147&lt;&gt;"Serviço",AND(AUTOEVENTO="Manual",$M147=$A$15)),0,
         IF(OFFSET(CRONOPLE!$F$15,$M147-$A$15,BT$13)=0,10^12,OFFSET(CRONOPLE!$F$15,$M147-$A$15,BT$13)))</f>
        <v>1000000000000</v>
      </c>
      <c r="BV147" s="172">
        <f ca="1">IF(OR($D147&lt;&gt;"Serviço",AND(AUTOEVENTO="Manual",$M147=$A$15),$M147&gt;(ROW(PLE.lastrow)-ROW(PLE.firstrow))),0,
           IF(OFFSET(PLE!$G$15,$M147-$A$15,BV$13)="",10^12,OFFSET(PLE!$G$15,$M147-$A$15,BV$13)))</f>
        <v>1000000000000</v>
      </c>
      <c r="BW147" s="172">
        <f ca="1">IF(OR($D147&lt;&gt;"Serviço",AND(AUTOEVENTO="Manual",$M147=$A$15),$M147&gt;(ROW(PLE.lastrow)-ROW(PLE.firstrow))),0,
           IF(OFFSET(PLE!$G$15,$M147-$A$15,BW$13)="",10^12,OFFSET(PLE!$G$15,$M147-$A$15,BW$13)))</f>
        <v>1000000000000</v>
      </c>
      <c r="BX147" s="172">
        <f ca="1">IF(OR($D147&lt;&gt;"Serviço",AND(AUTOEVENTO="Manual",$M147=$A$15),$M147&gt;(ROW(PLE.lastrow)-ROW(PLE.firstrow))),0,
           IF(OFFSET(PLE!$G$15,$M147-$A$15,BX$13)="",10^12,OFFSET(PLE!$G$15,$M147-$A$15,BX$13)))</f>
        <v>1000000000000</v>
      </c>
      <c r="BY147" s="172">
        <f ca="1">IF(OR($D147&lt;&gt;"Serviço",AND(AUTOEVENTO="Manual",$M147=$A$15),$M147&gt;(ROW(PLE.lastrow)-ROW(PLE.firstrow))),0,
           IF(OFFSET(PLE!$G$15,$M147-$A$15,BY$13)="",10^12,OFFSET(PLE!$G$15,$M147-$A$15,BY$13)))</f>
        <v>1000000000000</v>
      </c>
      <c r="BZ147" s="172">
        <f ca="1">IF(OR($D147&lt;&gt;"Serviço",AND(AUTOEVENTO="Manual",$M147=$A$15),$M147&gt;(ROW(PLE.lastrow)-ROW(PLE.firstrow))),0,
           IF(OFFSET(PLE!$G$15,$M147-$A$15,BZ$13)="",10^12,OFFSET(PLE!$G$15,$M147-$A$15,BZ$13)))</f>
        <v>1000000000000</v>
      </c>
      <c r="CA147" s="172">
        <f ca="1">IF(OR($D147&lt;&gt;"Serviço",AND(AUTOEVENTO="Manual",$M147=$A$15),$M147&gt;(ROW(PLE.lastrow)-ROW(PLE.firstrow))),0,
           IF(OFFSET(PLE!$G$15,$M147-$A$15,CA$13)="",10^12,OFFSET(PLE!$G$15,$M147-$A$15,CA$13)))</f>
        <v>1000000000000</v>
      </c>
      <c r="CB147" s="172">
        <f ca="1">IF(OR($D147&lt;&gt;"Serviço",AND(AUTOEVENTO="Manual",$M147=$A$15),$M147&gt;(ROW(PLE.lastrow)-ROW(PLE.firstrow))),0,
           IF(OFFSET(PLE!$G$15,$M147-$A$15,CB$13)="",10^12,OFFSET(PLE!$G$15,$M147-$A$15,CB$13)))</f>
        <v>1000000000000</v>
      </c>
      <c r="CC147" s="172">
        <f ca="1">IF(OR($D147&lt;&gt;"Serviço",AND(AUTOEVENTO="Manual",$M147=$A$15),$M147&gt;(ROW(PLE.lastrow)-ROW(PLE.firstrow))),0,
           IF(OFFSET(PLE!$G$15,$M147-$A$15,CC$13)="",10^12,OFFSET(PLE!$G$15,$M147-$A$15,CC$13)))</f>
        <v>1000000000000</v>
      </c>
      <c r="CD147" s="172">
        <f ca="1">IF(OR($D147&lt;&gt;"Serviço",AND(AUTOEVENTO="Manual",$M147=$A$15),$M147&gt;(ROW(PLE.lastrow)-ROW(PLE.firstrow))),0,
           IF(OFFSET(PLE!$G$15,$M147-$A$15,CD$13)="",10^12,OFFSET(PLE!$G$15,$M147-$A$15,CD$13)))</f>
        <v>1000000000000</v>
      </c>
      <c r="CE147" s="172">
        <f ca="1">IF(OR($D147&lt;&gt;"Serviço",AND(AUTOEVENTO="Manual",$M147=$A$15),$M147&gt;(ROW(PLE.lastrow)-ROW(PLE.firstrow))),0,
           IF(OFFSET(PLE!$G$15,$M147-$A$15,CE$13)="",10^12,OFFSET(PLE!$G$15,$M147-$A$15,CE$13)))</f>
        <v>1000000000000</v>
      </c>
      <c r="CF147" s="172">
        <f ca="1">IF(OR($D147&lt;&gt;"Serviço",AND(AUTOEVENTO="Manual",$M147=$A$15),$M147&gt;(ROW(PLE.lastrow)-ROW(PLE.firstrow))),0,
           IF(OFFSET(PLE!$G$15,$M147-$A$15,CF$13)="",10^12,OFFSET(PLE!$G$15,$M147-$A$15,CF$13)))</f>
        <v>1000000000000</v>
      </c>
      <c r="CG147" s="172">
        <f ca="1">IF(OR($D147&lt;&gt;"Serviço",AND(AUTOEVENTO="Manual",$M147=$A$15),$M147&gt;(ROW(PLE.lastrow)-ROW(PLE.firstrow))),0,
           IF(OFFSET(PLE!$G$15,$M147-$A$15,CG$13)="",10^12,OFFSET(PLE!$G$15,$M147-$A$15,CG$13)))</f>
        <v>1000000000000</v>
      </c>
      <c r="CH147" s="172">
        <f ca="1">IF(OR($D147&lt;&gt;"Serviço",AND(AUTOEVENTO="Manual",$M147=$A$15),$M147&gt;(ROW(PLE.lastrow)-ROW(PLE.firstrow))),0,
           IF(OFFSET(PLE!$G$15,$M147-$A$15,CH$13)="",10^12,OFFSET(PLE!$G$15,$M147-$A$15,CH$13)))</f>
        <v>1000000000000</v>
      </c>
      <c r="CI147" s="172">
        <f ca="1">IF(OR($D147&lt;&gt;"Serviço",AND(AUTOEVENTO="Manual",$M147=$A$15),$M147&gt;(ROW(PLE.lastrow)-ROW(PLE.firstrow))),0,
           IF(OFFSET(PLE!$G$15,$M147-$A$15,CI$13)="",10^12,OFFSET(PLE!$G$15,$M147-$A$15,CI$13)))</f>
        <v>1000000000000</v>
      </c>
      <c r="CJ147" s="172">
        <f ca="1">IF(OR($D147&lt;&gt;"Serviço",AND(AUTOEVENTO="Manual",$M147=$A$15),$M147&gt;(ROW(PLE.lastrow)-ROW(PLE.firstrow))),0,
           IF(OFFSET(PLE!$G$15,$M147-$A$15,CJ$13)="",10^12,OFFSET(PLE!$G$15,$M147-$A$15,CJ$13)))</f>
        <v>1000000000000</v>
      </c>
      <c r="CK147" s="172">
        <f ca="1">IF(OR($D147&lt;&gt;"Serviço",AND(AUTOEVENTO="Manual",$M147=$A$15),$M147&gt;(ROW(PLE.lastrow)-ROW(PLE.firstrow))),0,
           IF(OFFSET(PLE!$G$15,$M147-$A$15,CK$13)="",10^12,OFFSET(PLE!$G$15,$M147-$A$15,CK$13)))</f>
        <v>1000000000000</v>
      </c>
      <c r="CL147" s="172">
        <f ca="1">IF(OR($D147&lt;&gt;"Serviço",AND(AUTOEVENTO="Manual",$M147=$A$15),$M147&gt;(ROW(PLE.lastrow)-ROW(PLE.firstrow))),0,
           IF(OFFSET(PLE!$G$15,$M147-$A$15,CL$13)="",10^12,OFFSET(PLE!$G$15,$M147-$A$15,CL$13)))</f>
        <v>1000000000000</v>
      </c>
      <c r="CM147" s="172">
        <f ca="1">IF(OR($D147&lt;&gt;"Serviço",AND(AUTOEVENTO="Manual",$M147=$A$15),$M147&gt;(ROW(PLE.lastrow)-ROW(PLE.firstrow))),0,
           IF(OFFSET(PLE!$G$15,$M147-$A$15,CM$13)="",10^12,OFFSET(PLE!$G$15,$M147-$A$15,CM$13)))</f>
        <v>1000000000000</v>
      </c>
    </row>
    <row r="148" spans="1:91" ht="26.4" x14ac:dyDescent="0.25">
      <c r="A148" s="7" t="str">
        <f t="shared" ca="1" si="11"/>
        <v>126</v>
      </c>
      <c r="B148" s="7" t="str">
        <f ca="1">OFFSET(ORÇAMENTO!C$15,ROW(B148)-ROW(B$15),0)</f>
        <v>S</v>
      </c>
      <c r="C148" s="7" t="str">
        <f ca="1">OFFSET(ORÇAMENTO!L$15,ROW(C148)-ROW(C$15),0)</f>
        <v>F</v>
      </c>
      <c r="D148" s="116" t="str">
        <f ca="1">OFFSET(ORÇAMENTO!N$15,ROW(D148)-ROW(D$15),0)</f>
        <v>Serviço</v>
      </c>
      <c r="E148" s="117" t="str">
        <f ca="1">OFFSET(ORÇAMENTO!O$15,ROW(E148)-ROW(E$15),0)</f>
        <v>4.2.7.</v>
      </c>
      <c r="F148" s="163" t="str">
        <f ca="1">OFFSET(ORÇAMENTO!R$15,ROW(F148)-ROW(F$15),0)</f>
        <v>Transporte de material betuminoso com caminhão tanque distribuidor - rodovia pavimentada</v>
      </c>
      <c r="G148" s="164" t="str">
        <f ca="1">IF($D148&lt;&gt;"Serviço","",OFFSET(ORÇAMENTO!S$15,ROW(G148)-ROW(G$15),0))</f>
        <v>tkm</v>
      </c>
      <c r="H148" s="122" cm="1">
        <f t="array" aca="1" ref="H148" ca="1">IF($D148&lt;&gt;"Serviço",0,IF(ACOMPANHAMENTO="BM",ROUND(OFFSET(ORÇAMENTO!AJ$15,ROW(H148)-ROW(H$15),0),15-13*ORÇAMENTO!$AF$7),SUMPRODUCT(($Q$1:$AI$1=1)*ROUND($Q148:$AI148,15-13*ORÇAMENTO!$AF$7))))</f>
        <v>996.23</v>
      </c>
      <c r="I148" s="468"/>
      <c r="J148" s="651" t="e" cm="1">
        <f t="array" aca="1" ref="J148" ca="1">IF(OR(B148&lt;&gt;"S",CÁLCULO.FrentesPreenchidas=0),"",IF(AND(ACOMPANHAMENTO="PLE",AUTOEVENTO="Manual",OR(H148&gt;0,ORÇAMENTO!AC148="QUANT."),OR(K148="",M148=0,N148="")),"►E",IF(AND(ACOMPANHAMENTO="PLE",ORÇAMENTO!AC148="QUANT."),"►Q",IF(AND(ACOMPANHAMENTO="PLE",H148&lt;&gt;SUMPRODUCT(($Q$1:$AI$1=1)*ROUND(Q148:AI148,15))),"►S",IF(AND(COUNTIF($P$11:$AI$11,"▼")=0,H148&gt;0,I148=""),"◄M","")))))</f>
        <v>#NAME?</v>
      </c>
      <c r="K148" s="652"/>
      <c r="L148" s="165" t="s">
        <v>764</v>
      </c>
      <c r="M148" s="166">
        <f ca="1">IF($D148&lt;&gt;"Serviço","",
          IF(AUTOEVENTO="manual",$A148,
                IF(ISERROR(MATCH($A148,$A$15:OFFSET($A148,-1,0),0)),MAX($M$15:OFFSET(M148,-1,0))+1,
                      INDEX($M$15:OFFSET(M148,-1,0),MATCH($A148,$A$15:OFFSET($A148,-1,0),0)))))</f>
        <v>20</v>
      </c>
      <c r="N148" s="167" t="str">
        <f ca="1">IF($D148&lt;&gt;"Serviço","",
         IF(AUTOEVENTO="Manual",
                IF($A148=0,"&lt;-- defina o número do agrupador",
                       OFFSET(EVENTOS!$D$15,$A148-$A$15,0)),
                OFFSET($F$15,$A148,0)))</f>
        <v>PAVIMENTAÇÃO</v>
      </c>
      <c r="O148" s="168"/>
      <c r="Q148" s="168"/>
      <c r="R148" s="169"/>
      <c r="S148" s="169"/>
      <c r="T148" s="169"/>
      <c r="U148" s="169"/>
      <c r="V148" s="169">
        <f>TRUNC(V147/1000*337,2)</f>
        <v>996.23</v>
      </c>
      <c r="W148" s="169"/>
      <c r="X148" s="169"/>
      <c r="Y148" s="169"/>
      <c r="Z148" s="170"/>
      <c r="AA148" s="169"/>
      <c r="AB148" s="169"/>
      <c r="AC148" s="169"/>
      <c r="AD148" s="169"/>
      <c r="AE148" s="169"/>
      <c r="AF148" s="169"/>
      <c r="AG148" s="169"/>
      <c r="AH148" s="170"/>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L148" s="453">
        <f ca="1">IF(AND($D148="Serviço",AL$12&lt;&gt;0,$H148&gt;0,OR(AUTOEVENTO&lt;&gt;"manual",$M148&lt;&gt;$A$15)),
        IF(Import.TipoArredondamento&lt;&gt;"TransfereGOV",
              ROUND(OFFSET($P148,0,AL$13),15-13*ORÇAMENTO!$AF$7)/$H148*OFFSET(ORÇAMENTO!$X$15,ROW(AL148)-ROW(AL$15),0),
              ROUND(ROUND(OFFSET($P148,0,AL$13),15-13*ORÇAMENTO!$AF$7)*OFFSET(ORÇAMENTO!$W$15,ROW(AL148)-ROW(AL$15),0),15-13*ORÇAMENTO!$AF$11)),
         0)</f>
        <v>0</v>
      </c>
      <c r="AM148" s="453">
        <f ca="1">IF(AND($D148="Serviço",AM$12&lt;&gt;0,$H148&gt;0,OR(AUTOEVENTO&lt;&gt;"manual",$M148&lt;&gt;$A$15)),
        IF(Import.TipoArredondamento&lt;&gt;"TransfereGOV",
              ROUND(OFFSET($P148,0,AM$13),15-13*ORÇAMENTO!$AF$7)/$H148*OFFSET(ORÇAMENTO!$X$15,ROW(AM148)-ROW(AM$15),0),
              ROUND(ROUND(OFFSET($P148,0,AM$13),15-13*ORÇAMENTO!$AF$7)*OFFSET(ORÇAMENTO!$W$15,ROW(AM148)-ROW(AM$15),0),15-13*ORÇAMENTO!$AF$11)),
         0)</f>
        <v>0</v>
      </c>
      <c r="AN148" s="453">
        <f ca="1">IF(AND($D148="Serviço",AN$12&lt;&gt;0,$H148&gt;0,OR(AUTOEVENTO&lt;&gt;"manual",$M148&lt;&gt;$A$15)),
        IF(Import.TipoArredondamento&lt;&gt;"TransfereGOV",
              ROUND(OFFSET($P148,0,AN$13),15-13*ORÇAMENTO!$AF$7)/$H148*OFFSET(ORÇAMENTO!$X$15,ROW(AN148)-ROW(AN$15),0),
              ROUND(ROUND(OFFSET($P148,0,AN$13),15-13*ORÇAMENTO!$AF$7)*OFFSET(ORÇAMENTO!$W$15,ROW(AN148)-ROW(AN$15),0),15-13*ORÇAMENTO!$AF$11)),
         0)</f>
        <v>0</v>
      </c>
      <c r="AO148" s="453">
        <f ca="1">IF(AND($D148="Serviço",AO$12&lt;&gt;0,$H148&gt;0,OR(AUTOEVENTO&lt;&gt;"manual",$M148&lt;&gt;$A$15)),
        IF(Import.TipoArredondamento&lt;&gt;"TransfereGOV",
              ROUND(OFFSET($P148,0,AO$13),15-13*ORÇAMENTO!$AF$7)/$H148*OFFSET(ORÇAMENTO!$X$15,ROW(AO148)-ROW(AO$15),0),
              ROUND(ROUND(OFFSET($P148,0,AO$13),15-13*ORÇAMENTO!$AF$7)*OFFSET(ORÇAMENTO!$W$15,ROW(AO148)-ROW(AO$15),0),15-13*ORÇAMENTO!$AF$11)),
         0)</f>
        <v>2540.39</v>
      </c>
      <c r="AP148" s="453">
        <f ca="1">IF(AND($D148="Serviço",AP$12&lt;&gt;0,$H148&gt;0,OR(AUTOEVENTO&lt;&gt;"manual",$M148&lt;&gt;$A$15)),
        IF(Import.TipoArredondamento&lt;&gt;"TransfereGOV",
              ROUND(OFFSET($P148,0,AP$13),15-13*ORÇAMENTO!$AF$7)/$H148*OFFSET(ORÇAMENTO!$X$15,ROW(AP148)-ROW(AP$15),0),
              ROUND(ROUND(OFFSET($P148,0,AP$13),15-13*ORÇAMENTO!$AF$7)*OFFSET(ORÇAMENTO!$W$15,ROW(AP148)-ROW(AP$15),0),15-13*ORÇAMENTO!$AF$11)),
         0)</f>
        <v>0</v>
      </c>
      <c r="AQ148" s="453">
        <f ca="1">IF(AND($D148="Serviço",AQ$12&lt;&gt;0,$H148&gt;0,OR(AUTOEVENTO&lt;&gt;"manual",$M148&lt;&gt;$A$15)),
        IF(Import.TipoArredondamento&lt;&gt;"TransfereGOV",
              ROUND(OFFSET($P148,0,AQ$13),15-13*ORÇAMENTO!$AF$7)/$H148*OFFSET(ORÇAMENTO!$X$15,ROW(AQ148)-ROW(AQ$15),0),
              ROUND(ROUND(OFFSET($P148,0,AQ$13),15-13*ORÇAMENTO!$AF$7)*OFFSET(ORÇAMENTO!$W$15,ROW(AQ148)-ROW(AQ$15),0),15-13*ORÇAMENTO!$AF$11)),
         0)</f>
        <v>0</v>
      </c>
      <c r="AR148" s="453">
        <f ca="1">IF(AND($D148="Serviço",AR$12&lt;&gt;0,$H148&gt;0,OR(AUTOEVENTO&lt;&gt;"manual",$M148&lt;&gt;$A$15)),
        IF(Import.TipoArredondamento&lt;&gt;"TransfereGOV",
              ROUND(OFFSET($P148,0,AR$13),15-13*ORÇAMENTO!$AF$7)/$H148*OFFSET(ORÇAMENTO!$X$15,ROW(AR148)-ROW(AR$15),0),
              ROUND(ROUND(OFFSET($P148,0,AR$13),15-13*ORÇAMENTO!$AF$7)*OFFSET(ORÇAMENTO!$W$15,ROW(AR148)-ROW(AR$15),0),15-13*ORÇAMENTO!$AF$11)),
         0)</f>
        <v>0</v>
      </c>
      <c r="AS148" s="453">
        <f ca="1">IF(AND($D148="Serviço",AS$12&lt;&gt;0,$H148&gt;0,OR(AUTOEVENTO&lt;&gt;"manual",$M148&lt;&gt;$A$15)),
        IF(Import.TipoArredondamento&lt;&gt;"TransfereGOV",
              ROUND(OFFSET($P148,0,AS$13),15-13*ORÇAMENTO!$AF$7)/$H148*OFFSET(ORÇAMENTO!$X$15,ROW(AS148)-ROW(AS$15),0),
              ROUND(ROUND(OFFSET($P148,0,AS$13),15-13*ORÇAMENTO!$AF$7)*OFFSET(ORÇAMENTO!$W$15,ROW(AS148)-ROW(AS$15),0),15-13*ORÇAMENTO!$AF$11)),
         0)</f>
        <v>0</v>
      </c>
      <c r="AT148" s="453">
        <f ca="1">IF(AND($D148="Serviço",AT$12&lt;&gt;0,$H148&gt;0,OR(AUTOEVENTO&lt;&gt;"manual",$M148&lt;&gt;$A$15)),
        IF(Import.TipoArredondamento&lt;&gt;"TransfereGOV",
              ROUND(OFFSET($P148,0,AT$13),15-13*ORÇAMENTO!$AF$7)/$H148*OFFSET(ORÇAMENTO!$X$15,ROW(AT148)-ROW(AT$15),0),
              ROUND(ROUND(OFFSET($P148,0,AT$13),15-13*ORÇAMENTO!$AF$7)*OFFSET(ORÇAMENTO!$W$15,ROW(AT148)-ROW(AT$15),0),15-13*ORÇAMENTO!$AF$11)),
         0)</f>
        <v>0</v>
      </c>
      <c r="AU148" s="453">
        <f ca="1">IF(AND($D148="Serviço",AU$12&lt;&gt;0,$H148&gt;0,OR(AUTOEVENTO&lt;&gt;"manual",$M148&lt;&gt;$A$15)),
        IF(Import.TipoArredondamento&lt;&gt;"TransfereGOV",
              ROUND(OFFSET($P148,0,AU$13),15-13*ORÇAMENTO!$AF$7)/$H148*OFFSET(ORÇAMENTO!$X$15,ROW(AU148)-ROW(AU$15),0),
              ROUND(ROUND(OFFSET($P148,0,AU$13),15-13*ORÇAMENTO!$AF$7)*OFFSET(ORÇAMENTO!$W$15,ROW(AU148)-ROW(AU$15),0),15-13*ORÇAMENTO!$AF$11)),
         0)</f>
        <v>0</v>
      </c>
      <c r="AV148" s="453">
        <f ca="1">IF(AND($D148="Serviço",AV$12&lt;&gt;0,$H148&gt;0,OR(AUTOEVENTO&lt;&gt;"manual",$M148&lt;&gt;$A$15)),
        IF(Import.TipoArredondamento&lt;&gt;"TransfereGOV",
              ROUND(OFFSET($P148,0,AV$13),15-13*ORÇAMENTO!$AF$7)/$H148*OFFSET(ORÇAMENTO!$X$15,ROW(AV148)-ROW(AV$15),0),
              ROUND(ROUND(OFFSET($P148,0,AV$13),15-13*ORÇAMENTO!$AF$7)*OFFSET(ORÇAMENTO!$W$15,ROW(AV148)-ROW(AV$15),0),15-13*ORÇAMENTO!$AF$11)),
         0)</f>
        <v>0</v>
      </c>
      <c r="AW148" s="453">
        <f ca="1">IF(AND($D148="Serviço",AW$12&lt;&gt;0,$H148&gt;0,OR(AUTOEVENTO&lt;&gt;"manual",$M148&lt;&gt;$A$15)),
        IF(Import.TipoArredondamento&lt;&gt;"TransfereGOV",
              ROUND(OFFSET($P148,0,AW$13),15-13*ORÇAMENTO!$AF$7)/$H148*OFFSET(ORÇAMENTO!$X$15,ROW(AW148)-ROW(AW$15),0),
              ROUND(ROUND(OFFSET($P148,0,AW$13),15-13*ORÇAMENTO!$AF$7)*OFFSET(ORÇAMENTO!$W$15,ROW(AW148)-ROW(AW$15),0),15-13*ORÇAMENTO!$AF$11)),
         0)</f>
        <v>0</v>
      </c>
      <c r="AX148" s="453">
        <f ca="1">IF(AND($D148="Serviço",AX$12&lt;&gt;0,$H148&gt;0,OR(AUTOEVENTO&lt;&gt;"manual",$M148&lt;&gt;$A$15)),
        IF(Import.TipoArredondamento&lt;&gt;"TransfereGOV",
              ROUND(OFFSET($P148,0,AX$13),15-13*ORÇAMENTO!$AF$7)/$H148*OFFSET(ORÇAMENTO!$X$15,ROW(AX148)-ROW(AX$15),0),
              ROUND(ROUND(OFFSET($P148,0,AX$13),15-13*ORÇAMENTO!$AF$7)*OFFSET(ORÇAMENTO!$W$15,ROW(AX148)-ROW(AX$15),0),15-13*ORÇAMENTO!$AF$11)),
         0)</f>
        <v>0</v>
      </c>
      <c r="AY148" s="453">
        <f ca="1">IF(AND($D148="Serviço",AY$12&lt;&gt;0,$H148&gt;0,OR(AUTOEVENTO&lt;&gt;"manual",$M148&lt;&gt;$A$15)),
        IF(Import.TipoArredondamento&lt;&gt;"TransfereGOV",
              ROUND(OFFSET($P148,0,AY$13),15-13*ORÇAMENTO!$AF$7)/$H148*OFFSET(ORÇAMENTO!$X$15,ROW(AY148)-ROW(AY$15),0),
              ROUND(ROUND(OFFSET($P148,0,AY$13),15-13*ORÇAMENTO!$AF$7)*OFFSET(ORÇAMENTO!$W$15,ROW(AY148)-ROW(AY$15),0),15-13*ORÇAMENTO!$AF$11)),
         0)</f>
        <v>0</v>
      </c>
      <c r="AZ148" s="453">
        <f ca="1">IF(AND($D148="Serviço",AZ$12&lt;&gt;0,$H148&gt;0,OR(AUTOEVENTO&lt;&gt;"manual",$M148&lt;&gt;$A$15)),
        IF(Import.TipoArredondamento&lt;&gt;"TransfereGOV",
              ROUND(OFFSET($P148,0,AZ$13),15-13*ORÇAMENTO!$AF$7)/$H148*OFFSET(ORÇAMENTO!$X$15,ROW(AZ148)-ROW(AZ$15),0),
              ROUND(ROUND(OFFSET($P148,0,AZ$13),15-13*ORÇAMENTO!$AF$7)*OFFSET(ORÇAMENTO!$W$15,ROW(AZ148)-ROW(AZ$15),0),15-13*ORÇAMENTO!$AF$11)),
         0)</f>
        <v>0</v>
      </c>
      <c r="BA148" s="453">
        <f ca="1">IF(AND($D148="Serviço",BA$12&lt;&gt;0,$H148&gt;0,OR(AUTOEVENTO&lt;&gt;"manual",$M148&lt;&gt;$A$15)),
        IF(Import.TipoArredondamento&lt;&gt;"TransfereGOV",
              ROUND(OFFSET($P148,0,BA$13),15-13*ORÇAMENTO!$AF$7)/$H148*OFFSET(ORÇAMENTO!$X$15,ROW(BA148)-ROW(BA$15),0),
              ROUND(ROUND(OFFSET($P148,0,BA$13),15-13*ORÇAMENTO!$AF$7)*OFFSET(ORÇAMENTO!$W$15,ROW(BA148)-ROW(BA$15),0),15-13*ORÇAMENTO!$AF$11)),
         0)</f>
        <v>0</v>
      </c>
      <c r="BC148" s="171">
        <f ca="1">IF(OR($D148&lt;&gt;"Serviço",AND(AUTOEVENTO="Manual",$M148=$A$15)),0,
         IF(OFFSET(CRONOPLE!$F$15,$M148-$A$15,BC$13)=0,10^12,OFFSET(CRONOPLE!$F$15,$M148-$A$15,BC$13)))</f>
        <v>1000000000000</v>
      </c>
      <c r="BD148" s="171">
        <f ca="1">IF(OR($D148&lt;&gt;"Serviço",AND(AUTOEVENTO="Manual",$M148=$A$15)),0,
         IF(OFFSET(CRONOPLE!$F$15,$M148-$A$15,BD$13)=0,10^12,OFFSET(CRONOPLE!$F$15,$M148-$A$15,BD$13)))</f>
        <v>1000000000000</v>
      </c>
      <c r="BE148" s="171">
        <f ca="1">IF(OR($D148&lt;&gt;"Serviço",AND(AUTOEVENTO="Manual",$M148=$A$15)),0,
         IF(OFFSET(CRONOPLE!$F$15,$M148-$A$15,BE$13)=0,10^12,OFFSET(CRONOPLE!$F$15,$M148-$A$15,BE$13)))</f>
        <v>1000000000000</v>
      </c>
      <c r="BF148" s="171">
        <f ca="1">IF(OR($D148&lt;&gt;"Serviço",AND(AUTOEVENTO="Manual",$M148=$A$15)),0,
         IF(OFFSET(CRONOPLE!$F$15,$M148-$A$15,BF$13)=0,10^12,OFFSET(CRONOPLE!$F$15,$M148-$A$15,BF$13)))</f>
        <v>1000000000000</v>
      </c>
      <c r="BG148" s="171">
        <f ca="1">IF(OR($D148&lt;&gt;"Serviço",AND(AUTOEVENTO="Manual",$M148=$A$15)),0,
         IF(OFFSET(CRONOPLE!$F$15,$M148-$A$15,BG$13)=0,10^12,OFFSET(CRONOPLE!$F$15,$M148-$A$15,BG$13)))</f>
        <v>1000000000000</v>
      </c>
      <c r="BH148" s="171">
        <f ca="1">IF(OR($D148&lt;&gt;"Serviço",AND(AUTOEVENTO="Manual",$M148=$A$15)),0,
         IF(OFFSET(CRONOPLE!$F$15,$M148-$A$15,BH$13)=0,10^12,OFFSET(CRONOPLE!$F$15,$M148-$A$15,BH$13)))</f>
        <v>6</v>
      </c>
      <c r="BI148" s="171">
        <f ca="1">IF(OR($D148&lt;&gt;"Serviço",AND(AUTOEVENTO="Manual",$M148=$A$15)),0,
         IF(OFFSET(CRONOPLE!$F$15,$M148-$A$15,BI$13)=0,10^12,OFFSET(CRONOPLE!$F$15,$M148-$A$15,BI$13)))</f>
        <v>1000000000000</v>
      </c>
      <c r="BJ148" s="171">
        <f ca="1">IF(OR($D148&lt;&gt;"Serviço",AND(AUTOEVENTO="Manual",$M148=$A$15)),0,
         IF(OFFSET(CRONOPLE!$F$15,$M148-$A$15,BJ$13)=0,10^12,OFFSET(CRONOPLE!$F$15,$M148-$A$15,BJ$13)))</f>
        <v>1000000000000</v>
      </c>
      <c r="BK148" s="171">
        <f ca="1">IF(OR($D148&lt;&gt;"Serviço",AND(AUTOEVENTO="Manual",$M148=$A$15)),0,
         IF(OFFSET(CRONOPLE!$F$15,$M148-$A$15,BK$13)=0,10^12,OFFSET(CRONOPLE!$F$15,$M148-$A$15,BK$13)))</f>
        <v>1000000000000</v>
      </c>
      <c r="BL148" s="171">
        <f ca="1">IF(OR($D148&lt;&gt;"Serviço",AND(AUTOEVENTO="Manual",$M148=$A$15)),0,
         IF(OFFSET(CRONOPLE!$F$15,$M148-$A$15,BL$13)=0,10^12,OFFSET(CRONOPLE!$F$15,$M148-$A$15,BL$13)))</f>
        <v>1000000000000</v>
      </c>
      <c r="BM148" s="171">
        <f ca="1">IF(OR($D148&lt;&gt;"Serviço",AND(AUTOEVENTO="Manual",$M148=$A$15)),0,
         IF(OFFSET(CRONOPLE!$F$15,$M148-$A$15,BM$13)=0,10^12,OFFSET(CRONOPLE!$F$15,$M148-$A$15,BM$13)))</f>
        <v>1000000000000</v>
      </c>
      <c r="BN148" s="171">
        <f ca="1">IF(OR($D148&lt;&gt;"Serviço",AND(AUTOEVENTO="Manual",$M148=$A$15)),0,
         IF(OFFSET(CRONOPLE!$F$15,$M148-$A$15,BN$13)=0,10^12,OFFSET(CRONOPLE!$F$15,$M148-$A$15,BN$13)))</f>
        <v>1000000000000</v>
      </c>
      <c r="BO148" s="171">
        <f ca="1">IF(OR($D148&lt;&gt;"Serviço",AND(AUTOEVENTO="Manual",$M148=$A$15)),0,
         IF(OFFSET(CRONOPLE!$F$15,$M148-$A$15,BO$13)=0,10^12,OFFSET(CRONOPLE!$F$15,$M148-$A$15,BO$13)))</f>
        <v>1000000000000</v>
      </c>
      <c r="BP148" s="171">
        <f ca="1">IF(OR($D148&lt;&gt;"Serviço",AND(AUTOEVENTO="Manual",$M148=$A$15)),0,
         IF(OFFSET(CRONOPLE!$F$15,$M148-$A$15,BP$13)=0,10^12,OFFSET(CRONOPLE!$F$15,$M148-$A$15,BP$13)))</f>
        <v>1000000000000</v>
      </c>
      <c r="BQ148" s="171">
        <f ca="1">IF(OR($D148&lt;&gt;"Serviço",AND(AUTOEVENTO="Manual",$M148=$A$15)),0,
         IF(OFFSET(CRONOPLE!$F$15,$M148-$A$15,BQ$13)=0,10^12,OFFSET(CRONOPLE!$F$15,$M148-$A$15,BQ$13)))</f>
        <v>1000000000000</v>
      </c>
      <c r="BR148" s="171">
        <f ca="1">IF(OR($D148&lt;&gt;"Serviço",AND(AUTOEVENTO="Manual",$M148=$A$15)),0,
         IF(OFFSET(CRONOPLE!$F$15,$M148-$A$15,BR$13)=0,10^12,OFFSET(CRONOPLE!$F$15,$M148-$A$15,BR$13)))</f>
        <v>1000000000000</v>
      </c>
      <c r="BS148" s="171">
        <f ca="1">IF(OR($D148&lt;&gt;"Serviço",AND(AUTOEVENTO="Manual",$M148=$A$15)),0,
         IF(OFFSET(CRONOPLE!$F$15,$M148-$A$15,BS$13)=0,10^12,OFFSET(CRONOPLE!$F$15,$M148-$A$15,BS$13)))</f>
        <v>1000000000000</v>
      </c>
      <c r="BT148" s="171">
        <f ca="1">IF(OR($D148&lt;&gt;"Serviço",AND(AUTOEVENTO="Manual",$M148=$A$15)),0,
         IF(OFFSET(CRONOPLE!$F$15,$M148-$A$15,BT$13)=0,10^12,OFFSET(CRONOPLE!$F$15,$M148-$A$15,BT$13)))</f>
        <v>1000000000000</v>
      </c>
      <c r="BV148" s="172">
        <f ca="1">IF(OR($D148&lt;&gt;"Serviço",AND(AUTOEVENTO="Manual",$M148=$A$15),$M148&gt;(ROW(PLE.lastrow)-ROW(PLE.firstrow))),0,
           IF(OFFSET(PLE!$G$15,$M148-$A$15,BV$13)="",10^12,OFFSET(PLE!$G$15,$M148-$A$15,BV$13)))</f>
        <v>1000000000000</v>
      </c>
      <c r="BW148" s="172">
        <f ca="1">IF(OR($D148&lt;&gt;"Serviço",AND(AUTOEVENTO="Manual",$M148=$A$15),$M148&gt;(ROW(PLE.lastrow)-ROW(PLE.firstrow))),0,
           IF(OFFSET(PLE!$G$15,$M148-$A$15,BW$13)="",10^12,OFFSET(PLE!$G$15,$M148-$A$15,BW$13)))</f>
        <v>1000000000000</v>
      </c>
      <c r="BX148" s="172">
        <f ca="1">IF(OR($D148&lt;&gt;"Serviço",AND(AUTOEVENTO="Manual",$M148=$A$15),$M148&gt;(ROW(PLE.lastrow)-ROW(PLE.firstrow))),0,
           IF(OFFSET(PLE!$G$15,$M148-$A$15,BX$13)="",10^12,OFFSET(PLE!$G$15,$M148-$A$15,BX$13)))</f>
        <v>1000000000000</v>
      </c>
      <c r="BY148" s="172">
        <f ca="1">IF(OR($D148&lt;&gt;"Serviço",AND(AUTOEVENTO="Manual",$M148=$A$15),$M148&gt;(ROW(PLE.lastrow)-ROW(PLE.firstrow))),0,
           IF(OFFSET(PLE!$G$15,$M148-$A$15,BY$13)="",10^12,OFFSET(PLE!$G$15,$M148-$A$15,BY$13)))</f>
        <v>1000000000000</v>
      </c>
      <c r="BZ148" s="172">
        <f ca="1">IF(OR($D148&lt;&gt;"Serviço",AND(AUTOEVENTO="Manual",$M148=$A$15),$M148&gt;(ROW(PLE.lastrow)-ROW(PLE.firstrow))),0,
           IF(OFFSET(PLE!$G$15,$M148-$A$15,BZ$13)="",10^12,OFFSET(PLE!$G$15,$M148-$A$15,BZ$13)))</f>
        <v>1000000000000</v>
      </c>
      <c r="CA148" s="172">
        <f ca="1">IF(OR($D148&lt;&gt;"Serviço",AND(AUTOEVENTO="Manual",$M148=$A$15),$M148&gt;(ROW(PLE.lastrow)-ROW(PLE.firstrow))),0,
           IF(OFFSET(PLE!$G$15,$M148-$A$15,CA$13)="",10^12,OFFSET(PLE!$G$15,$M148-$A$15,CA$13)))</f>
        <v>1000000000000</v>
      </c>
      <c r="CB148" s="172">
        <f ca="1">IF(OR($D148&lt;&gt;"Serviço",AND(AUTOEVENTO="Manual",$M148=$A$15),$M148&gt;(ROW(PLE.lastrow)-ROW(PLE.firstrow))),0,
           IF(OFFSET(PLE!$G$15,$M148-$A$15,CB$13)="",10^12,OFFSET(PLE!$G$15,$M148-$A$15,CB$13)))</f>
        <v>1000000000000</v>
      </c>
      <c r="CC148" s="172">
        <f ca="1">IF(OR($D148&lt;&gt;"Serviço",AND(AUTOEVENTO="Manual",$M148=$A$15),$M148&gt;(ROW(PLE.lastrow)-ROW(PLE.firstrow))),0,
           IF(OFFSET(PLE!$G$15,$M148-$A$15,CC$13)="",10^12,OFFSET(PLE!$G$15,$M148-$A$15,CC$13)))</f>
        <v>1000000000000</v>
      </c>
      <c r="CD148" s="172">
        <f ca="1">IF(OR($D148&lt;&gt;"Serviço",AND(AUTOEVENTO="Manual",$M148=$A$15),$M148&gt;(ROW(PLE.lastrow)-ROW(PLE.firstrow))),0,
           IF(OFFSET(PLE!$G$15,$M148-$A$15,CD$13)="",10^12,OFFSET(PLE!$G$15,$M148-$A$15,CD$13)))</f>
        <v>1000000000000</v>
      </c>
      <c r="CE148" s="172">
        <f ca="1">IF(OR($D148&lt;&gt;"Serviço",AND(AUTOEVENTO="Manual",$M148=$A$15),$M148&gt;(ROW(PLE.lastrow)-ROW(PLE.firstrow))),0,
           IF(OFFSET(PLE!$G$15,$M148-$A$15,CE$13)="",10^12,OFFSET(PLE!$G$15,$M148-$A$15,CE$13)))</f>
        <v>1000000000000</v>
      </c>
      <c r="CF148" s="172">
        <f ca="1">IF(OR($D148&lt;&gt;"Serviço",AND(AUTOEVENTO="Manual",$M148=$A$15),$M148&gt;(ROW(PLE.lastrow)-ROW(PLE.firstrow))),0,
           IF(OFFSET(PLE!$G$15,$M148-$A$15,CF$13)="",10^12,OFFSET(PLE!$G$15,$M148-$A$15,CF$13)))</f>
        <v>1000000000000</v>
      </c>
      <c r="CG148" s="172">
        <f ca="1">IF(OR($D148&lt;&gt;"Serviço",AND(AUTOEVENTO="Manual",$M148=$A$15),$M148&gt;(ROW(PLE.lastrow)-ROW(PLE.firstrow))),0,
           IF(OFFSET(PLE!$G$15,$M148-$A$15,CG$13)="",10^12,OFFSET(PLE!$G$15,$M148-$A$15,CG$13)))</f>
        <v>1000000000000</v>
      </c>
      <c r="CH148" s="172">
        <f ca="1">IF(OR($D148&lt;&gt;"Serviço",AND(AUTOEVENTO="Manual",$M148=$A$15),$M148&gt;(ROW(PLE.lastrow)-ROW(PLE.firstrow))),0,
           IF(OFFSET(PLE!$G$15,$M148-$A$15,CH$13)="",10^12,OFFSET(PLE!$G$15,$M148-$A$15,CH$13)))</f>
        <v>1000000000000</v>
      </c>
      <c r="CI148" s="172">
        <f ca="1">IF(OR($D148&lt;&gt;"Serviço",AND(AUTOEVENTO="Manual",$M148=$A$15),$M148&gt;(ROW(PLE.lastrow)-ROW(PLE.firstrow))),0,
           IF(OFFSET(PLE!$G$15,$M148-$A$15,CI$13)="",10^12,OFFSET(PLE!$G$15,$M148-$A$15,CI$13)))</f>
        <v>1000000000000</v>
      </c>
      <c r="CJ148" s="172">
        <f ca="1">IF(OR($D148&lt;&gt;"Serviço",AND(AUTOEVENTO="Manual",$M148=$A$15),$M148&gt;(ROW(PLE.lastrow)-ROW(PLE.firstrow))),0,
           IF(OFFSET(PLE!$G$15,$M148-$A$15,CJ$13)="",10^12,OFFSET(PLE!$G$15,$M148-$A$15,CJ$13)))</f>
        <v>1000000000000</v>
      </c>
      <c r="CK148" s="172">
        <f ca="1">IF(OR($D148&lt;&gt;"Serviço",AND(AUTOEVENTO="Manual",$M148=$A$15),$M148&gt;(ROW(PLE.lastrow)-ROW(PLE.firstrow))),0,
           IF(OFFSET(PLE!$G$15,$M148-$A$15,CK$13)="",10^12,OFFSET(PLE!$G$15,$M148-$A$15,CK$13)))</f>
        <v>1000000000000</v>
      </c>
      <c r="CL148" s="172">
        <f ca="1">IF(OR($D148&lt;&gt;"Serviço",AND(AUTOEVENTO="Manual",$M148=$A$15),$M148&gt;(ROW(PLE.lastrow)-ROW(PLE.firstrow))),0,
           IF(OFFSET(PLE!$G$15,$M148-$A$15,CL$13)="",10^12,OFFSET(PLE!$G$15,$M148-$A$15,CL$13)))</f>
        <v>1000000000000</v>
      </c>
      <c r="CM148" s="172">
        <f ca="1">IF(OR($D148&lt;&gt;"Serviço",AND(AUTOEVENTO="Manual",$M148=$A$15),$M148&gt;(ROW(PLE.lastrow)-ROW(PLE.firstrow))),0,
           IF(OFFSET(PLE!$G$15,$M148-$A$15,CM$13)="",10^12,OFFSET(PLE!$G$15,$M148-$A$15,CM$13)))</f>
        <v>1000000000000</v>
      </c>
    </row>
    <row r="149" spans="1:91" ht="13.2" x14ac:dyDescent="0.25">
      <c r="A149" s="7" t="str">
        <f t="shared" ca="1" si="11"/>
        <v>126</v>
      </c>
      <c r="B149" s="7" t="str">
        <f ca="1">OFFSET(ORÇAMENTO!C$15,ROW(B149)-ROW(B$15),0)</f>
        <v>S</v>
      </c>
      <c r="C149" s="7" t="str">
        <f ca="1">OFFSET(ORÇAMENTO!L$15,ROW(C149)-ROW(C$15),0)</f>
        <v>F</v>
      </c>
      <c r="D149" s="116" t="str">
        <f ca="1">OFFSET(ORÇAMENTO!N$15,ROW(D149)-ROW(D$15),0)</f>
        <v>Serviço</v>
      </c>
      <c r="E149" s="117" t="str">
        <f ca="1">OFFSET(ORÇAMENTO!O$15,ROW(E149)-ROW(E$15),0)</f>
        <v>4.2.8.</v>
      </c>
      <c r="F149" s="163" t="str">
        <f ca="1">OFFSET(ORÇAMENTO!R$15,ROW(F149)-ROW(F$15),0)</f>
        <v>Pintura de ligação</v>
      </c>
      <c r="G149" s="164" t="str">
        <f ca="1">IF($D149&lt;&gt;"Serviço","",OFFSET(ORÇAMENTO!S$15,ROW(G149)-ROW(G$15),0))</f>
        <v>m²</v>
      </c>
      <c r="H149" s="122" cm="1">
        <f t="array" aca="1" ref="H149" ca="1">IF($D149&lt;&gt;"Serviço",0,IF(ACOMPANHAMENTO="BM",ROUND(OFFSET(ORÇAMENTO!AJ$15,ROW(H149)-ROW(H$15),0),15-13*ORÇAMENTO!$AF$7),SUMPRODUCT(($Q$1:$AI$1=1)*ROUND($Q149:$AI149,15-13*ORÇAMENTO!$AF$7))))</f>
        <v>2274</v>
      </c>
      <c r="I149" s="468"/>
      <c r="J149" s="651" t="e" cm="1">
        <f t="array" aca="1" ref="J149" ca="1">IF(OR(B149&lt;&gt;"S",CÁLCULO.FrentesPreenchidas=0),"",IF(AND(ACOMPANHAMENTO="PLE",AUTOEVENTO="Manual",OR(H149&gt;0,ORÇAMENTO!AC149="QUANT."),OR(K149="",M149=0,N149="")),"►E",IF(AND(ACOMPANHAMENTO="PLE",ORÇAMENTO!AC149="QUANT."),"►Q",IF(AND(ACOMPANHAMENTO="PLE",H149&lt;&gt;SUMPRODUCT(($Q$1:$AI$1=1)*ROUND(Q149:AI149,15))),"►S",IF(AND(COUNTIF($P$11:$AI$11,"▼")=0,H149&gt;0,I149=""),"◄M","")))))</f>
        <v>#NAME?</v>
      </c>
      <c r="K149" s="652"/>
      <c r="L149" s="165" t="s">
        <v>764</v>
      </c>
      <c r="M149" s="166">
        <f ca="1">IF($D149&lt;&gt;"Serviço","",
          IF(AUTOEVENTO="manual",$A149,
                IF(ISERROR(MATCH($A149,$A$15:OFFSET($A149,-1,0),0)),MAX($M$15:OFFSET(M149,-1,0))+1,
                      INDEX($M$15:OFFSET(M149,-1,0),MATCH($A149,$A$15:OFFSET($A149,-1,0),0)))))</f>
        <v>20</v>
      </c>
      <c r="N149" s="167" t="str">
        <f ca="1">IF($D149&lt;&gt;"Serviço","",
         IF(AUTOEVENTO="Manual",
                IF($A149=0,"&lt;-- defina o número do agrupador",
                       OFFSET(EVENTOS!$D$15,$A149-$A$15,0)),
                OFFSET($F$15,$A149,0)))</f>
        <v>PAVIMENTAÇÃO</v>
      </c>
      <c r="O149" s="168"/>
      <c r="Q149" s="168"/>
      <c r="R149" s="169"/>
      <c r="S149" s="169"/>
      <c r="T149" s="169"/>
      <c r="U149" s="169"/>
      <c r="V149" s="169">
        <f>V146</f>
        <v>2274</v>
      </c>
      <c r="W149" s="169"/>
      <c r="X149" s="169"/>
      <c r="Y149" s="169"/>
      <c r="Z149" s="170"/>
      <c r="AA149" s="169"/>
      <c r="AB149" s="169"/>
      <c r="AC149" s="169"/>
      <c r="AD149" s="169"/>
      <c r="AE149" s="169"/>
      <c r="AF149" s="169"/>
      <c r="AG149" s="169"/>
      <c r="AH149" s="170"/>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L149" s="453">
        <f ca="1">IF(AND($D149="Serviço",AL$12&lt;&gt;0,$H149&gt;0,OR(AUTOEVENTO&lt;&gt;"manual",$M149&lt;&gt;$A$15)),
        IF(Import.TipoArredondamento&lt;&gt;"TransfereGOV",
              ROUND(OFFSET($P149,0,AL$13),15-13*ORÇAMENTO!$AF$7)/$H149*OFFSET(ORÇAMENTO!$X$15,ROW(AL149)-ROW(AL$15),0),
              ROUND(ROUND(OFFSET($P149,0,AL$13),15-13*ORÇAMENTO!$AF$7)*OFFSET(ORÇAMENTO!$W$15,ROW(AL149)-ROW(AL$15),0),15-13*ORÇAMENTO!$AF$11)),
         0)</f>
        <v>0</v>
      </c>
      <c r="AM149" s="453">
        <f ca="1">IF(AND($D149="Serviço",AM$12&lt;&gt;0,$H149&gt;0,OR(AUTOEVENTO&lt;&gt;"manual",$M149&lt;&gt;$A$15)),
        IF(Import.TipoArredondamento&lt;&gt;"TransfereGOV",
              ROUND(OFFSET($P149,0,AM$13),15-13*ORÇAMENTO!$AF$7)/$H149*OFFSET(ORÇAMENTO!$X$15,ROW(AM149)-ROW(AM$15),0),
              ROUND(ROUND(OFFSET($P149,0,AM$13),15-13*ORÇAMENTO!$AF$7)*OFFSET(ORÇAMENTO!$W$15,ROW(AM149)-ROW(AM$15),0),15-13*ORÇAMENTO!$AF$11)),
         0)</f>
        <v>0</v>
      </c>
      <c r="AN149" s="453">
        <f ca="1">IF(AND($D149="Serviço",AN$12&lt;&gt;0,$H149&gt;0,OR(AUTOEVENTO&lt;&gt;"manual",$M149&lt;&gt;$A$15)),
        IF(Import.TipoArredondamento&lt;&gt;"TransfereGOV",
              ROUND(OFFSET($P149,0,AN$13),15-13*ORÇAMENTO!$AF$7)/$H149*OFFSET(ORÇAMENTO!$X$15,ROW(AN149)-ROW(AN$15),0),
              ROUND(ROUND(OFFSET($P149,0,AN$13),15-13*ORÇAMENTO!$AF$7)*OFFSET(ORÇAMENTO!$W$15,ROW(AN149)-ROW(AN$15),0),15-13*ORÇAMENTO!$AF$11)),
         0)</f>
        <v>0</v>
      </c>
      <c r="AO149" s="453">
        <f ca="1">IF(AND($D149="Serviço",AO$12&lt;&gt;0,$H149&gt;0,OR(AUTOEVENTO&lt;&gt;"manual",$M149&lt;&gt;$A$15)),
        IF(Import.TipoArredondamento&lt;&gt;"TransfereGOV",
              ROUND(OFFSET($P149,0,AO$13),15-13*ORÇAMENTO!$AF$7)/$H149*OFFSET(ORÇAMENTO!$X$15,ROW(AO149)-ROW(AO$15),0),
              ROUND(ROUND(OFFSET($P149,0,AO$13),15-13*ORÇAMENTO!$AF$7)*OFFSET(ORÇAMENTO!$W$15,ROW(AO149)-ROW(AO$15),0),15-13*ORÇAMENTO!$AF$11)),
         0)</f>
        <v>1296.18</v>
      </c>
      <c r="AP149" s="453">
        <f ca="1">IF(AND($D149="Serviço",AP$12&lt;&gt;0,$H149&gt;0,OR(AUTOEVENTO&lt;&gt;"manual",$M149&lt;&gt;$A$15)),
        IF(Import.TipoArredondamento&lt;&gt;"TransfereGOV",
              ROUND(OFFSET($P149,0,AP$13),15-13*ORÇAMENTO!$AF$7)/$H149*OFFSET(ORÇAMENTO!$X$15,ROW(AP149)-ROW(AP$15),0),
              ROUND(ROUND(OFFSET($P149,0,AP$13),15-13*ORÇAMENTO!$AF$7)*OFFSET(ORÇAMENTO!$W$15,ROW(AP149)-ROW(AP$15),0),15-13*ORÇAMENTO!$AF$11)),
         0)</f>
        <v>0</v>
      </c>
      <c r="AQ149" s="453">
        <f ca="1">IF(AND($D149="Serviço",AQ$12&lt;&gt;0,$H149&gt;0,OR(AUTOEVENTO&lt;&gt;"manual",$M149&lt;&gt;$A$15)),
        IF(Import.TipoArredondamento&lt;&gt;"TransfereGOV",
              ROUND(OFFSET($P149,0,AQ$13),15-13*ORÇAMENTO!$AF$7)/$H149*OFFSET(ORÇAMENTO!$X$15,ROW(AQ149)-ROW(AQ$15),0),
              ROUND(ROUND(OFFSET($P149,0,AQ$13),15-13*ORÇAMENTO!$AF$7)*OFFSET(ORÇAMENTO!$W$15,ROW(AQ149)-ROW(AQ$15),0),15-13*ORÇAMENTO!$AF$11)),
         0)</f>
        <v>0</v>
      </c>
      <c r="AR149" s="453">
        <f ca="1">IF(AND($D149="Serviço",AR$12&lt;&gt;0,$H149&gt;0,OR(AUTOEVENTO&lt;&gt;"manual",$M149&lt;&gt;$A$15)),
        IF(Import.TipoArredondamento&lt;&gt;"TransfereGOV",
              ROUND(OFFSET($P149,0,AR$13),15-13*ORÇAMENTO!$AF$7)/$H149*OFFSET(ORÇAMENTO!$X$15,ROW(AR149)-ROW(AR$15),0),
              ROUND(ROUND(OFFSET($P149,0,AR$13),15-13*ORÇAMENTO!$AF$7)*OFFSET(ORÇAMENTO!$W$15,ROW(AR149)-ROW(AR$15),0),15-13*ORÇAMENTO!$AF$11)),
         0)</f>
        <v>0</v>
      </c>
      <c r="AS149" s="453">
        <f ca="1">IF(AND($D149="Serviço",AS$12&lt;&gt;0,$H149&gt;0,OR(AUTOEVENTO&lt;&gt;"manual",$M149&lt;&gt;$A$15)),
        IF(Import.TipoArredondamento&lt;&gt;"TransfereGOV",
              ROUND(OFFSET($P149,0,AS$13),15-13*ORÇAMENTO!$AF$7)/$H149*OFFSET(ORÇAMENTO!$X$15,ROW(AS149)-ROW(AS$15),0),
              ROUND(ROUND(OFFSET($P149,0,AS$13),15-13*ORÇAMENTO!$AF$7)*OFFSET(ORÇAMENTO!$W$15,ROW(AS149)-ROW(AS$15),0),15-13*ORÇAMENTO!$AF$11)),
         0)</f>
        <v>0</v>
      </c>
      <c r="AT149" s="453">
        <f ca="1">IF(AND($D149="Serviço",AT$12&lt;&gt;0,$H149&gt;0,OR(AUTOEVENTO&lt;&gt;"manual",$M149&lt;&gt;$A$15)),
        IF(Import.TipoArredondamento&lt;&gt;"TransfereGOV",
              ROUND(OFFSET($P149,0,AT$13),15-13*ORÇAMENTO!$AF$7)/$H149*OFFSET(ORÇAMENTO!$X$15,ROW(AT149)-ROW(AT$15),0),
              ROUND(ROUND(OFFSET($P149,0,AT$13),15-13*ORÇAMENTO!$AF$7)*OFFSET(ORÇAMENTO!$W$15,ROW(AT149)-ROW(AT$15),0),15-13*ORÇAMENTO!$AF$11)),
         0)</f>
        <v>0</v>
      </c>
      <c r="AU149" s="453">
        <f ca="1">IF(AND($D149="Serviço",AU$12&lt;&gt;0,$H149&gt;0,OR(AUTOEVENTO&lt;&gt;"manual",$M149&lt;&gt;$A$15)),
        IF(Import.TipoArredondamento&lt;&gt;"TransfereGOV",
              ROUND(OFFSET($P149,0,AU$13),15-13*ORÇAMENTO!$AF$7)/$H149*OFFSET(ORÇAMENTO!$X$15,ROW(AU149)-ROW(AU$15),0),
              ROUND(ROUND(OFFSET($P149,0,AU$13),15-13*ORÇAMENTO!$AF$7)*OFFSET(ORÇAMENTO!$W$15,ROW(AU149)-ROW(AU$15),0),15-13*ORÇAMENTO!$AF$11)),
         0)</f>
        <v>0</v>
      </c>
      <c r="AV149" s="453">
        <f ca="1">IF(AND($D149="Serviço",AV$12&lt;&gt;0,$H149&gt;0,OR(AUTOEVENTO&lt;&gt;"manual",$M149&lt;&gt;$A$15)),
        IF(Import.TipoArredondamento&lt;&gt;"TransfereGOV",
              ROUND(OFFSET($P149,0,AV$13),15-13*ORÇAMENTO!$AF$7)/$H149*OFFSET(ORÇAMENTO!$X$15,ROW(AV149)-ROW(AV$15),0),
              ROUND(ROUND(OFFSET($P149,0,AV$13),15-13*ORÇAMENTO!$AF$7)*OFFSET(ORÇAMENTO!$W$15,ROW(AV149)-ROW(AV$15),0),15-13*ORÇAMENTO!$AF$11)),
         0)</f>
        <v>0</v>
      </c>
      <c r="AW149" s="453">
        <f ca="1">IF(AND($D149="Serviço",AW$12&lt;&gt;0,$H149&gt;0,OR(AUTOEVENTO&lt;&gt;"manual",$M149&lt;&gt;$A$15)),
        IF(Import.TipoArredondamento&lt;&gt;"TransfereGOV",
              ROUND(OFFSET($P149,0,AW$13),15-13*ORÇAMENTO!$AF$7)/$H149*OFFSET(ORÇAMENTO!$X$15,ROW(AW149)-ROW(AW$15),0),
              ROUND(ROUND(OFFSET($P149,0,AW$13),15-13*ORÇAMENTO!$AF$7)*OFFSET(ORÇAMENTO!$W$15,ROW(AW149)-ROW(AW$15),0),15-13*ORÇAMENTO!$AF$11)),
         0)</f>
        <v>0</v>
      </c>
      <c r="AX149" s="453">
        <f ca="1">IF(AND($D149="Serviço",AX$12&lt;&gt;0,$H149&gt;0,OR(AUTOEVENTO&lt;&gt;"manual",$M149&lt;&gt;$A$15)),
        IF(Import.TipoArredondamento&lt;&gt;"TransfereGOV",
              ROUND(OFFSET($P149,0,AX$13),15-13*ORÇAMENTO!$AF$7)/$H149*OFFSET(ORÇAMENTO!$X$15,ROW(AX149)-ROW(AX$15),0),
              ROUND(ROUND(OFFSET($P149,0,AX$13),15-13*ORÇAMENTO!$AF$7)*OFFSET(ORÇAMENTO!$W$15,ROW(AX149)-ROW(AX$15),0),15-13*ORÇAMENTO!$AF$11)),
         0)</f>
        <v>0</v>
      </c>
      <c r="AY149" s="453">
        <f ca="1">IF(AND($D149="Serviço",AY$12&lt;&gt;0,$H149&gt;0,OR(AUTOEVENTO&lt;&gt;"manual",$M149&lt;&gt;$A$15)),
        IF(Import.TipoArredondamento&lt;&gt;"TransfereGOV",
              ROUND(OFFSET($P149,0,AY$13),15-13*ORÇAMENTO!$AF$7)/$H149*OFFSET(ORÇAMENTO!$X$15,ROW(AY149)-ROW(AY$15),0),
              ROUND(ROUND(OFFSET($P149,0,AY$13),15-13*ORÇAMENTO!$AF$7)*OFFSET(ORÇAMENTO!$W$15,ROW(AY149)-ROW(AY$15),0),15-13*ORÇAMENTO!$AF$11)),
         0)</f>
        <v>0</v>
      </c>
      <c r="AZ149" s="453">
        <f ca="1">IF(AND($D149="Serviço",AZ$12&lt;&gt;0,$H149&gt;0,OR(AUTOEVENTO&lt;&gt;"manual",$M149&lt;&gt;$A$15)),
        IF(Import.TipoArredondamento&lt;&gt;"TransfereGOV",
              ROUND(OFFSET($P149,0,AZ$13),15-13*ORÇAMENTO!$AF$7)/$H149*OFFSET(ORÇAMENTO!$X$15,ROW(AZ149)-ROW(AZ$15),0),
              ROUND(ROUND(OFFSET($P149,0,AZ$13),15-13*ORÇAMENTO!$AF$7)*OFFSET(ORÇAMENTO!$W$15,ROW(AZ149)-ROW(AZ$15),0),15-13*ORÇAMENTO!$AF$11)),
         0)</f>
        <v>0</v>
      </c>
      <c r="BA149" s="453">
        <f ca="1">IF(AND($D149="Serviço",BA$12&lt;&gt;0,$H149&gt;0,OR(AUTOEVENTO&lt;&gt;"manual",$M149&lt;&gt;$A$15)),
        IF(Import.TipoArredondamento&lt;&gt;"TransfereGOV",
              ROUND(OFFSET($P149,0,BA$13),15-13*ORÇAMENTO!$AF$7)/$H149*OFFSET(ORÇAMENTO!$X$15,ROW(BA149)-ROW(BA$15),0),
              ROUND(ROUND(OFFSET($P149,0,BA$13),15-13*ORÇAMENTO!$AF$7)*OFFSET(ORÇAMENTO!$W$15,ROW(BA149)-ROW(BA$15),0),15-13*ORÇAMENTO!$AF$11)),
         0)</f>
        <v>0</v>
      </c>
      <c r="BC149" s="171">
        <f ca="1">IF(OR($D149&lt;&gt;"Serviço",AND(AUTOEVENTO="Manual",$M149=$A$15)),0,
         IF(OFFSET(CRONOPLE!$F$15,$M149-$A$15,BC$13)=0,10^12,OFFSET(CRONOPLE!$F$15,$M149-$A$15,BC$13)))</f>
        <v>1000000000000</v>
      </c>
      <c r="BD149" s="171">
        <f ca="1">IF(OR($D149&lt;&gt;"Serviço",AND(AUTOEVENTO="Manual",$M149=$A$15)),0,
         IF(OFFSET(CRONOPLE!$F$15,$M149-$A$15,BD$13)=0,10^12,OFFSET(CRONOPLE!$F$15,$M149-$A$15,BD$13)))</f>
        <v>1000000000000</v>
      </c>
      <c r="BE149" s="171">
        <f ca="1">IF(OR($D149&lt;&gt;"Serviço",AND(AUTOEVENTO="Manual",$M149=$A$15)),0,
         IF(OFFSET(CRONOPLE!$F$15,$M149-$A$15,BE$13)=0,10^12,OFFSET(CRONOPLE!$F$15,$M149-$A$15,BE$13)))</f>
        <v>1000000000000</v>
      </c>
      <c r="BF149" s="171">
        <f ca="1">IF(OR($D149&lt;&gt;"Serviço",AND(AUTOEVENTO="Manual",$M149=$A$15)),0,
         IF(OFFSET(CRONOPLE!$F$15,$M149-$A$15,BF$13)=0,10^12,OFFSET(CRONOPLE!$F$15,$M149-$A$15,BF$13)))</f>
        <v>1000000000000</v>
      </c>
      <c r="BG149" s="171">
        <f ca="1">IF(OR($D149&lt;&gt;"Serviço",AND(AUTOEVENTO="Manual",$M149=$A$15)),0,
         IF(OFFSET(CRONOPLE!$F$15,$M149-$A$15,BG$13)=0,10^12,OFFSET(CRONOPLE!$F$15,$M149-$A$15,BG$13)))</f>
        <v>1000000000000</v>
      </c>
      <c r="BH149" s="171">
        <f ca="1">IF(OR($D149&lt;&gt;"Serviço",AND(AUTOEVENTO="Manual",$M149=$A$15)),0,
         IF(OFFSET(CRONOPLE!$F$15,$M149-$A$15,BH$13)=0,10^12,OFFSET(CRONOPLE!$F$15,$M149-$A$15,BH$13)))</f>
        <v>6</v>
      </c>
      <c r="BI149" s="171">
        <f ca="1">IF(OR($D149&lt;&gt;"Serviço",AND(AUTOEVENTO="Manual",$M149=$A$15)),0,
         IF(OFFSET(CRONOPLE!$F$15,$M149-$A$15,BI$13)=0,10^12,OFFSET(CRONOPLE!$F$15,$M149-$A$15,BI$13)))</f>
        <v>1000000000000</v>
      </c>
      <c r="BJ149" s="171">
        <f ca="1">IF(OR($D149&lt;&gt;"Serviço",AND(AUTOEVENTO="Manual",$M149=$A$15)),0,
         IF(OFFSET(CRONOPLE!$F$15,$M149-$A$15,BJ$13)=0,10^12,OFFSET(CRONOPLE!$F$15,$M149-$A$15,BJ$13)))</f>
        <v>1000000000000</v>
      </c>
      <c r="BK149" s="171">
        <f ca="1">IF(OR($D149&lt;&gt;"Serviço",AND(AUTOEVENTO="Manual",$M149=$A$15)),0,
         IF(OFFSET(CRONOPLE!$F$15,$M149-$A$15,BK$13)=0,10^12,OFFSET(CRONOPLE!$F$15,$M149-$A$15,BK$13)))</f>
        <v>1000000000000</v>
      </c>
      <c r="BL149" s="171">
        <f ca="1">IF(OR($D149&lt;&gt;"Serviço",AND(AUTOEVENTO="Manual",$M149=$A$15)),0,
         IF(OFFSET(CRONOPLE!$F$15,$M149-$A$15,BL$13)=0,10^12,OFFSET(CRONOPLE!$F$15,$M149-$A$15,BL$13)))</f>
        <v>1000000000000</v>
      </c>
      <c r="BM149" s="171">
        <f ca="1">IF(OR($D149&lt;&gt;"Serviço",AND(AUTOEVENTO="Manual",$M149=$A$15)),0,
         IF(OFFSET(CRONOPLE!$F$15,$M149-$A$15,BM$13)=0,10^12,OFFSET(CRONOPLE!$F$15,$M149-$A$15,BM$13)))</f>
        <v>1000000000000</v>
      </c>
      <c r="BN149" s="171">
        <f ca="1">IF(OR($D149&lt;&gt;"Serviço",AND(AUTOEVENTO="Manual",$M149=$A$15)),0,
         IF(OFFSET(CRONOPLE!$F$15,$M149-$A$15,BN$13)=0,10^12,OFFSET(CRONOPLE!$F$15,$M149-$A$15,BN$13)))</f>
        <v>1000000000000</v>
      </c>
      <c r="BO149" s="171">
        <f ca="1">IF(OR($D149&lt;&gt;"Serviço",AND(AUTOEVENTO="Manual",$M149=$A$15)),0,
         IF(OFFSET(CRONOPLE!$F$15,$M149-$A$15,BO$13)=0,10^12,OFFSET(CRONOPLE!$F$15,$M149-$A$15,BO$13)))</f>
        <v>1000000000000</v>
      </c>
      <c r="BP149" s="171">
        <f ca="1">IF(OR($D149&lt;&gt;"Serviço",AND(AUTOEVENTO="Manual",$M149=$A$15)),0,
         IF(OFFSET(CRONOPLE!$F$15,$M149-$A$15,BP$13)=0,10^12,OFFSET(CRONOPLE!$F$15,$M149-$A$15,BP$13)))</f>
        <v>1000000000000</v>
      </c>
      <c r="BQ149" s="171">
        <f ca="1">IF(OR($D149&lt;&gt;"Serviço",AND(AUTOEVENTO="Manual",$M149=$A$15)),0,
         IF(OFFSET(CRONOPLE!$F$15,$M149-$A$15,BQ$13)=0,10^12,OFFSET(CRONOPLE!$F$15,$M149-$A$15,BQ$13)))</f>
        <v>1000000000000</v>
      </c>
      <c r="BR149" s="171">
        <f ca="1">IF(OR($D149&lt;&gt;"Serviço",AND(AUTOEVENTO="Manual",$M149=$A$15)),0,
         IF(OFFSET(CRONOPLE!$F$15,$M149-$A$15,BR$13)=0,10^12,OFFSET(CRONOPLE!$F$15,$M149-$A$15,BR$13)))</f>
        <v>1000000000000</v>
      </c>
      <c r="BS149" s="171">
        <f ca="1">IF(OR($D149&lt;&gt;"Serviço",AND(AUTOEVENTO="Manual",$M149=$A$15)),0,
         IF(OFFSET(CRONOPLE!$F$15,$M149-$A$15,BS$13)=0,10^12,OFFSET(CRONOPLE!$F$15,$M149-$A$15,BS$13)))</f>
        <v>1000000000000</v>
      </c>
      <c r="BT149" s="171">
        <f ca="1">IF(OR($D149&lt;&gt;"Serviço",AND(AUTOEVENTO="Manual",$M149=$A$15)),0,
         IF(OFFSET(CRONOPLE!$F$15,$M149-$A$15,BT$13)=0,10^12,OFFSET(CRONOPLE!$F$15,$M149-$A$15,BT$13)))</f>
        <v>1000000000000</v>
      </c>
      <c r="BV149" s="172">
        <f ca="1">IF(OR($D149&lt;&gt;"Serviço",AND(AUTOEVENTO="Manual",$M149=$A$15),$M149&gt;(ROW(PLE.lastrow)-ROW(PLE.firstrow))),0,
           IF(OFFSET(PLE!$G$15,$M149-$A$15,BV$13)="",10^12,OFFSET(PLE!$G$15,$M149-$A$15,BV$13)))</f>
        <v>1000000000000</v>
      </c>
      <c r="BW149" s="172">
        <f ca="1">IF(OR($D149&lt;&gt;"Serviço",AND(AUTOEVENTO="Manual",$M149=$A$15),$M149&gt;(ROW(PLE.lastrow)-ROW(PLE.firstrow))),0,
           IF(OFFSET(PLE!$G$15,$M149-$A$15,BW$13)="",10^12,OFFSET(PLE!$G$15,$M149-$A$15,BW$13)))</f>
        <v>1000000000000</v>
      </c>
      <c r="BX149" s="172">
        <f ca="1">IF(OR($D149&lt;&gt;"Serviço",AND(AUTOEVENTO="Manual",$M149=$A$15),$M149&gt;(ROW(PLE.lastrow)-ROW(PLE.firstrow))),0,
           IF(OFFSET(PLE!$G$15,$M149-$A$15,BX$13)="",10^12,OFFSET(PLE!$G$15,$M149-$A$15,BX$13)))</f>
        <v>1000000000000</v>
      </c>
      <c r="BY149" s="172">
        <f ca="1">IF(OR($D149&lt;&gt;"Serviço",AND(AUTOEVENTO="Manual",$M149=$A$15),$M149&gt;(ROW(PLE.lastrow)-ROW(PLE.firstrow))),0,
           IF(OFFSET(PLE!$G$15,$M149-$A$15,BY$13)="",10^12,OFFSET(PLE!$G$15,$M149-$A$15,BY$13)))</f>
        <v>1000000000000</v>
      </c>
      <c r="BZ149" s="172">
        <f ca="1">IF(OR($D149&lt;&gt;"Serviço",AND(AUTOEVENTO="Manual",$M149=$A$15),$M149&gt;(ROW(PLE.lastrow)-ROW(PLE.firstrow))),0,
           IF(OFFSET(PLE!$G$15,$M149-$A$15,BZ$13)="",10^12,OFFSET(PLE!$G$15,$M149-$A$15,BZ$13)))</f>
        <v>1000000000000</v>
      </c>
      <c r="CA149" s="172">
        <f ca="1">IF(OR($D149&lt;&gt;"Serviço",AND(AUTOEVENTO="Manual",$M149=$A$15),$M149&gt;(ROW(PLE.lastrow)-ROW(PLE.firstrow))),0,
           IF(OFFSET(PLE!$G$15,$M149-$A$15,CA$13)="",10^12,OFFSET(PLE!$G$15,$M149-$A$15,CA$13)))</f>
        <v>1000000000000</v>
      </c>
      <c r="CB149" s="172">
        <f ca="1">IF(OR($D149&lt;&gt;"Serviço",AND(AUTOEVENTO="Manual",$M149=$A$15),$M149&gt;(ROW(PLE.lastrow)-ROW(PLE.firstrow))),0,
           IF(OFFSET(PLE!$G$15,$M149-$A$15,CB$13)="",10^12,OFFSET(PLE!$G$15,$M149-$A$15,CB$13)))</f>
        <v>1000000000000</v>
      </c>
      <c r="CC149" s="172">
        <f ca="1">IF(OR($D149&lt;&gt;"Serviço",AND(AUTOEVENTO="Manual",$M149=$A$15),$M149&gt;(ROW(PLE.lastrow)-ROW(PLE.firstrow))),0,
           IF(OFFSET(PLE!$G$15,$M149-$A$15,CC$13)="",10^12,OFFSET(PLE!$G$15,$M149-$A$15,CC$13)))</f>
        <v>1000000000000</v>
      </c>
      <c r="CD149" s="172">
        <f ca="1">IF(OR($D149&lt;&gt;"Serviço",AND(AUTOEVENTO="Manual",$M149=$A$15),$M149&gt;(ROW(PLE.lastrow)-ROW(PLE.firstrow))),0,
           IF(OFFSET(PLE!$G$15,$M149-$A$15,CD$13)="",10^12,OFFSET(PLE!$G$15,$M149-$A$15,CD$13)))</f>
        <v>1000000000000</v>
      </c>
      <c r="CE149" s="172">
        <f ca="1">IF(OR($D149&lt;&gt;"Serviço",AND(AUTOEVENTO="Manual",$M149=$A$15),$M149&gt;(ROW(PLE.lastrow)-ROW(PLE.firstrow))),0,
           IF(OFFSET(PLE!$G$15,$M149-$A$15,CE$13)="",10^12,OFFSET(PLE!$G$15,$M149-$A$15,CE$13)))</f>
        <v>1000000000000</v>
      </c>
      <c r="CF149" s="172">
        <f ca="1">IF(OR($D149&lt;&gt;"Serviço",AND(AUTOEVENTO="Manual",$M149=$A$15),$M149&gt;(ROW(PLE.lastrow)-ROW(PLE.firstrow))),0,
           IF(OFFSET(PLE!$G$15,$M149-$A$15,CF$13)="",10^12,OFFSET(PLE!$G$15,$M149-$A$15,CF$13)))</f>
        <v>1000000000000</v>
      </c>
      <c r="CG149" s="172">
        <f ca="1">IF(OR($D149&lt;&gt;"Serviço",AND(AUTOEVENTO="Manual",$M149=$A$15),$M149&gt;(ROW(PLE.lastrow)-ROW(PLE.firstrow))),0,
           IF(OFFSET(PLE!$G$15,$M149-$A$15,CG$13)="",10^12,OFFSET(PLE!$G$15,$M149-$A$15,CG$13)))</f>
        <v>1000000000000</v>
      </c>
      <c r="CH149" s="172">
        <f ca="1">IF(OR($D149&lt;&gt;"Serviço",AND(AUTOEVENTO="Manual",$M149=$A$15),$M149&gt;(ROW(PLE.lastrow)-ROW(PLE.firstrow))),0,
           IF(OFFSET(PLE!$G$15,$M149-$A$15,CH$13)="",10^12,OFFSET(PLE!$G$15,$M149-$A$15,CH$13)))</f>
        <v>1000000000000</v>
      </c>
      <c r="CI149" s="172">
        <f ca="1">IF(OR($D149&lt;&gt;"Serviço",AND(AUTOEVENTO="Manual",$M149=$A$15),$M149&gt;(ROW(PLE.lastrow)-ROW(PLE.firstrow))),0,
           IF(OFFSET(PLE!$G$15,$M149-$A$15,CI$13)="",10^12,OFFSET(PLE!$G$15,$M149-$A$15,CI$13)))</f>
        <v>1000000000000</v>
      </c>
      <c r="CJ149" s="172">
        <f ca="1">IF(OR($D149&lt;&gt;"Serviço",AND(AUTOEVENTO="Manual",$M149=$A$15),$M149&gt;(ROW(PLE.lastrow)-ROW(PLE.firstrow))),0,
           IF(OFFSET(PLE!$G$15,$M149-$A$15,CJ$13)="",10^12,OFFSET(PLE!$G$15,$M149-$A$15,CJ$13)))</f>
        <v>1000000000000</v>
      </c>
      <c r="CK149" s="172">
        <f ca="1">IF(OR($D149&lt;&gt;"Serviço",AND(AUTOEVENTO="Manual",$M149=$A$15),$M149&gt;(ROW(PLE.lastrow)-ROW(PLE.firstrow))),0,
           IF(OFFSET(PLE!$G$15,$M149-$A$15,CK$13)="",10^12,OFFSET(PLE!$G$15,$M149-$A$15,CK$13)))</f>
        <v>1000000000000</v>
      </c>
      <c r="CL149" s="172">
        <f ca="1">IF(OR($D149&lt;&gt;"Serviço",AND(AUTOEVENTO="Manual",$M149=$A$15),$M149&gt;(ROW(PLE.lastrow)-ROW(PLE.firstrow))),0,
           IF(OFFSET(PLE!$G$15,$M149-$A$15,CL$13)="",10^12,OFFSET(PLE!$G$15,$M149-$A$15,CL$13)))</f>
        <v>1000000000000</v>
      </c>
      <c r="CM149" s="172">
        <f ca="1">IF(OR($D149&lt;&gt;"Serviço",AND(AUTOEVENTO="Manual",$M149=$A$15),$M149&gt;(ROW(PLE.lastrow)-ROW(PLE.firstrow))),0,
           IF(OFFSET(PLE!$G$15,$M149-$A$15,CM$13)="",10^12,OFFSET(PLE!$G$15,$M149-$A$15,CM$13)))</f>
        <v>1000000000000</v>
      </c>
    </row>
    <row r="150" spans="1:91" ht="26.4" x14ac:dyDescent="0.25">
      <c r="A150" s="7" t="str">
        <f t="shared" ca="1" si="11"/>
        <v>126</v>
      </c>
      <c r="B150" s="7" t="str">
        <f ca="1">OFFSET(ORÇAMENTO!C$15,ROW(B150)-ROW(B$15),0)</f>
        <v>S</v>
      </c>
      <c r="C150" s="7" t="str">
        <f ca="1">OFFSET(ORÇAMENTO!L$15,ROW(C150)-ROW(C$15),0)</f>
        <v>F</v>
      </c>
      <c r="D150" s="116" t="str">
        <f ca="1">OFFSET(ORÇAMENTO!N$15,ROW(D150)-ROW(D$15),0)</f>
        <v>Serviço</v>
      </c>
      <c r="E150" s="117" t="str">
        <f ca="1">OFFSET(ORÇAMENTO!O$15,ROW(E150)-ROW(E$15),0)</f>
        <v>4.2.9.</v>
      </c>
      <c r="F150" s="163" t="str">
        <f ca="1">OFFSET(ORÇAMENTO!R$15,ROW(F150)-ROW(F$15),0)</f>
        <v>EMULSÃO ASFÁLTICA RR-1C COLETADO NA ANP, ACRESCIDO DE IMPOSTOS (ICMS, PIS, COFINS)</v>
      </c>
      <c r="G150" s="164" t="str">
        <f ca="1">IF($D150&lt;&gt;"Serviço","",OFFSET(ORÇAMENTO!S$15,ROW(G150)-ROW(G$15),0))</f>
        <v>KG</v>
      </c>
      <c r="H150" s="122" cm="1">
        <f t="array" aca="1" ref="H150" ca="1">IF($D150&lt;&gt;"Serviço",0,IF(ACOMPANHAMENTO="BM",ROUND(OFFSET(ORÇAMENTO!AJ$15,ROW(H150)-ROW(H$15),0),15-13*ORÇAMENTO!$AF$7),SUMPRODUCT(($Q$1:$AI$1=1)*ROUND($Q150:$AI150,15-13*ORÇAMENTO!$AF$7))))</f>
        <v>1023.3</v>
      </c>
      <c r="I150" s="468"/>
      <c r="J150" s="651" t="e" cm="1">
        <f t="array" aca="1" ref="J150" ca="1">IF(OR(B150&lt;&gt;"S",CÁLCULO.FrentesPreenchidas=0),"",IF(AND(ACOMPANHAMENTO="PLE",AUTOEVENTO="Manual",OR(H150&gt;0,ORÇAMENTO!AC150="QUANT."),OR(K150="",M150=0,N150="")),"►E",IF(AND(ACOMPANHAMENTO="PLE",ORÇAMENTO!AC150="QUANT."),"►Q",IF(AND(ACOMPANHAMENTO="PLE",H150&lt;&gt;SUMPRODUCT(($Q$1:$AI$1=1)*ROUND(Q150:AI150,15))),"►S",IF(AND(COUNTIF($P$11:$AI$11,"▼")=0,H150&gt;0,I150=""),"◄M","")))))</f>
        <v>#NAME?</v>
      </c>
      <c r="K150" s="652"/>
      <c r="L150" s="165" t="s">
        <v>764</v>
      </c>
      <c r="M150" s="166">
        <f ca="1">IF($D150&lt;&gt;"Serviço","",
          IF(AUTOEVENTO="manual",$A150,
                IF(ISERROR(MATCH($A150,$A$15:OFFSET($A150,-1,0),0)),MAX($M$15:OFFSET(M150,-1,0))+1,
                      INDEX($M$15:OFFSET(M150,-1,0),MATCH($A150,$A$15:OFFSET($A150,-1,0),0)))))</f>
        <v>20</v>
      </c>
      <c r="N150" s="167" t="str">
        <f ca="1">IF($D150&lt;&gt;"Serviço","",
         IF(AUTOEVENTO="Manual",
                IF($A150=0,"&lt;-- defina o número do agrupador",
                       OFFSET(EVENTOS!$D$15,$A150-$A$15,0)),
                OFFSET($F$15,$A150,0)))</f>
        <v>PAVIMENTAÇÃO</v>
      </c>
      <c r="O150" s="168"/>
      <c r="Q150" s="168"/>
      <c r="R150" s="169"/>
      <c r="S150" s="169"/>
      <c r="T150" s="169"/>
      <c r="U150" s="169"/>
      <c r="V150" s="169">
        <f>V149*0.45</f>
        <v>1023.3000000000001</v>
      </c>
      <c r="W150" s="169"/>
      <c r="X150" s="169"/>
      <c r="Y150" s="169"/>
      <c r="Z150" s="170"/>
      <c r="AA150" s="169"/>
      <c r="AB150" s="169"/>
      <c r="AC150" s="169"/>
      <c r="AD150" s="169"/>
      <c r="AE150" s="169"/>
      <c r="AF150" s="169"/>
      <c r="AG150" s="169"/>
      <c r="AH150" s="170"/>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L150" s="453">
        <f ca="1">IF(AND($D150="Serviço",AL$12&lt;&gt;0,$H150&gt;0,OR(AUTOEVENTO&lt;&gt;"manual",$M150&lt;&gt;$A$15)),
        IF(Import.TipoArredondamento&lt;&gt;"TransfereGOV",
              ROUND(OFFSET($P150,0,AL$13),15-13*ORÇAMENTO!$AF$7)/$H150*OFFSET(ORÇAMENTO!$X$15,ROW(AL150)-ROW(AL$15),0),
              ROUND(ROUND(OFFSET($P150,0,AL$13),15-13*ORÇAMENTO!$AF$7)*OFFSET(ORÇAMENTO!$W$15,ROW(AL150)-ROW(AL$15),0),15-13*ORÇAMENTO!$AF$11)),
         0)</f>
        <v>0</v>
      </c>
      <c r="AM150" s="453">
        <f ca="1">IF(AND($D150="Serviço",AM$12&lt;&gt;0,$H150&gt;0,OR(AUTOEVENTO&lt;&gt;"manual",$M150&lt;&gt;$A$15)),
        IF(Import.TipoArredondamento&lt;&gt;"TransfereGOV",
              ROUND(OFFSET($P150,0,AM$13),15-13*ORÇAMENTO!$AF$7)/$H150*OFFSET(ORÇAMENTO!$X$15,ROW(AM150)-ROW(AM$15),0),
              ROUND(ROUND(OFFSET($P150,0,AM$13),15-13*ORÇAMENTO!$AF$7)*OFFSET(ORÇAMENTO!$W$15,ROW(AM150)-ROW(AM$15),0),15-13*ORÇAMENTO!$AF$11)),
         0)</f>
        <v>0</v>
      </c>
      <c r="AN150" s="453">
        <f ca="1">IF(AND($D150="Serviço",AN$12&lt;&gt;0,$H150&gt;0,OR(AUTOEVENTO&lt;&gt;"manual",$M150&lt;&gt;$A$15)),
        IF(Import.TipoArredondamento&lt;&gt;"TransfereGOV",
              ROUND(OFFSET($P150,0,AN$13),15-13*ORÇAMENTO!$AF$7)/$H150*OFFSET(ORÇAMENTO!$X$15,ROW(AN150)-ROW(AN$15),0),
              ROUND(ROUND(OFFSET($P150,0,AN$13),15-13*ORÇAMENTO!$AF$7)*OFFSET(ORÇAMENTO!$W$15,ROW(AN150)-ROW(AN$15),0),15-13*ORÇAMENTO!$AF$11)),
         0)</f>
        <v>0</v>
      </c>
      <c r="AO150" s="453">
        <f ca="1">IF(AND($D150="Serviço",AO$12&lt;&gt;0,$H150&gt;0,OR(AUTOEVENTO&lt;&gt;"manual",$M150&lt;&gt;$A$15)),
        IF(Import.TipoArredondamento&lt;&gt;"TransfereGOV",
              ROUND(OFFSET($P150,0,AO$13),15-13*ORÇAMENTO!$AF$7)/$H150*OFFSET(ORÇAMENTO!$X$15,ROW(AO150)-ROW(AO$15),0),
              ROUND(ROUND(OFFSET($P150,0,AO$13),15-13*ORÇAMENTO!$AF$7)*OFFSET(ORÇAMENTO!$W$15,ROW(AO150)-ROW(AO$15),0),15-13*ORÇAMENTO!$AF$11)),
         0)</f>
        <v>4308.09</v>
      </c>
      <c r="AP150" s="453">
        <f ca="1">IF(AND($D150="Serviço",AP$12&lt;&gt;0,$H150&gt;0,OR(AUTOEVENTO&lt;&gt;"manual",$M150&lt;&gt;$A$15)),
        IF(Import.TipoArredondamento&lt;&gt;"TransfereGOV",
              ROUND(OFFSET($P150,0,AP$13),15-13*ORÇAMENTO!$AF$7)/$H150*OFFSET(ORÇAMENTO!$X$15,ROW(AP150)-ROW(AP$15),0),
              ROUND(ROUND(OFFSET($P150,0,AP$13),15-13*ORÇAMENTO!$AF$7)*OFFSET(ORÇAMENTO!$W$15,ROW(AP150)-ROW(AP$15),0),15-13*ORÇAMENTO!$AF$11)),
         0)</f>
        <v>0</v>
      </c>
      <c r="AQ150" s="453">
        <f ca="1">IF(AND($D150="Serviço",AQ$12&lt;&gt;0,$H150&gt;0,OR(AUTOEVENTO&lt;&gt;"manual",$M150&lt;&gt;$A$15)),
        IF(Import.TipoArredondamento&lt;&gt;"TransfereGOV",
              ROUND(OFFSET($P150,0,AQ$13),15-13*ORÇAMENTO!$AF$7)/$H150*OFFSET(ORÇAMENTO!$X$15,ROW(AQ150)-ROW(AQ$15),0),
              ROUND(ROUND(OFFSET($P150,0,AQ$13),15-13*ORÇAMENTO!$AF$7)*OFFSET(ORÇAMENTO!$W$15,ROW(AQ150)-ROW(AQ$15),0),15-13*ORÇAMENTO!$AF$11)),
         0)</f>
        <v>0</v>
      </c>
      <c r="AR150" s="453">
        <f ca="1">IF(AND($D150="Serviço",AR$12&lt;&gt;0,$H150&gt;0,OR(AUTOEVENTO&lt;&gt;"manual",$M150&lt;&gt;$A$15)),
        IF(Import.TipoArredondamento&lt;&gt;"TransfereGOV",
              ROUND(OFFSET($P150,0,AR$13),15-13*ORÇAMENTO!$AF$7)/$H150*OFFSET(ORÇAMENTO!$X$15,ROW(AR150)-ROW(AR$15),0),
              ROUND(ROUND(OFFSET($P150,0,AR$13),15-13*ORÇAMENTO!$AF$7)*OFFSET(ORÇAMENTO!$W$15,ROW(AR150)-ROW(AR$15),0),15-13*ORÇAMENTO!$AF$11)),
         0)</f>
        <v>0</v>
      </c>
      <c r="AS150" s="453">
        <f ca="1">IF(AND($D150="Serviço",AS$12&lt;&gt;0,$H150&gt;0,OR(AUTOEVENTO&lt;&gt;"manual",$M150&lt;&gt;$A$15)),
        IF(Import.TipoArredondamento&lt;&gt;"TransfereGOV",
              ROUND(OFFSET($P150,0,AS$13),15-13*ORÇAMENTO!$AF$7)/$H150*OFFSET(ORÇAMENTO!$X$15,ROW(AS150)-ROW(AS$15),0),
              ROUND(ROUND(OFFSET($P150,0,AS$13),15-13*ORÇAMENTO!$AF$7)*OFFSET(ORÇAMENTO!$W$15,ROW(AS150)-ROW(AS$15),0),15-13*ORÇAMENTO!$AF$11)),
         0)</f>
        <v>0</v>
      </c>
      <c r="AT150" s="453">
        <f ca="1">IF(AND($D150="Serviço",AT$12&lt;&gt;0,$H150&gt;0,OR(AUTOEVENTO&lt;&gt;"manual",$M150&lt;&gt;$A$15)),
        IF(Import.TipoArredondamento&lt;&gt;"TransfereGOV",
              ROUND(OFFSET($P150,0,AT$13),15-13*ORÇAMENTO!$AF$7)/$H150*OFFSET(ORÇAMENTO!$X$15,ROW(AT150)-ROW(AT$15),0),
              ROUND(ROUND(OFFSET($P150,0,AT$13),15-13*ORÇAMENTO!$AF$7)*OFFSET(ORÇAMENTO!$W$15,ROW(AT150)-ROW(AT$15),0),15-13*ORÇAMENTO!$AF$11)),
         0)</f>
        <v>0</v>
      </c>
      <c r="AU150" s="453">
        <f ca="1">IF(AND($D150="Serviço",AU$12&lt;&gt;0,$H150&gt;0,OR(AUTOEVENTO&lt;&gt;"manual",$M150&lt;&gt;$A$15)),
        IF(Import.TipoArredondamento&lt;&gt;"TransfereGOV",
              ROUND(OFFSET($P150,0,AU$13),15-13*ORÇAMENTO!$AF$7)/$H150*OFFSET(ORÇAMENTO!$X$15,ROW(AU150)-ROW(AU$15),0),
              ROUND(ROUND(OFFSET($P150,0,AU$13),15-13*ORÇAMENTO!$AF$7)*OFFSET(ORÇAMENTO!$W$15,ROW(AU150)-ROW(AU$15),0),15-13*ORÇAMENTO!$AF$11)),
         0)</f>
        <v>0</v>
      </c>
      <c r="AV150" s="453">
        <f ca="1">IF(AND($D150="Serviço",AV$12&lt;&gt;0,$H150&gt;0,OR(AUTOEVENTO&lt;&gt;"manual",$M150&lt;&gt;$A$15)),
        IF(Import.TipoArredondamento&lt;&gt;"TransfereGOV",
              ROUND(OFFSET($P150,0,AV$13),15-13*ORÇAMENTO!$AF$7)/$H150*OFFSET(ORÇAMENTO!$X$15,ROW(AV150)-ROW(AV$15),0),
              ROUND(ROUND(OFFSET($P150,0,AV$13),15-13*ORÇAMENTO!$AF$7)*OFFSET(ORÇAMENTO!$W$15,ROW(AV150)-ROW(AV$15),0),15-13*ORÇAMENTO!$AF$11)),
         0)</f>
        <v>0</v>
      </c>
      <c r="AW150" s="453">
        <f ca="1">IF(AND($D150="Serviço",AW$12&lt;&gt;0,$H150&gt;0,OR(AUTOEVENTO&lt;&gt;"manual",$M150&lt;&gt;$A$15)),
        IF(Import.TipoArredondamento&lt;&gt;"TransfereGOV",
              ROUND(OFFSET($P150,0,AW$13),15-13*ORÇAMENTO!$AF$7)/$H150*OFFSET(ORÇAMENTO!$X$15,ROW(AW150)-ROW(AW$15),0),
              ROUND(ROUND(OFFSET($P150,0,AW$13),15-13*ORÇAMENTO!$AF$7)*OFFSET(ORÇAMENTO!$W$15,ROW(AW150)-ROW(AW$15),0),15-13*ORÇAMENTO!$AF$11)),
         0)</f>
        <v>0</v>
      </c>
      <c r="AX150" s="453">
        <f ca="1">IF(AND($D150="Serviço",AX$12&lt;&gt;0,$H150&gt;0,OR(AUTOEVENTO&lt;&gt;"manual",$M150&lt;&gt;$A$15)),
        IF(Import.TipoArredondamento&lt;&gt;"TransfereGOV",
              ROUND(OFFSET($P150,0,AX$13),15-13*ORÇAMENTO!$AF$7)/$H150*OFFSET(ORÇAMENTO!$X$15,ROW(AX150)-ROW(AX$15),0),
              ROUND(ROUND(OFFSET($P150,0,AX$13),15-13*ORÇAMENTO!$AF$7)*OFFSET(ORÇAMENTO!$W$15,ROW(AX150)-ROW(AX$15),0),15-13*ORÇAMENTO!$AF$11)),
         0)</f>
        <v>0</v>
      </c>
      <c r="AY150" s="453">
        <f ca="1">IF(AND($D150="Serviço",AY$12&lt;&gt;0,$H150&gt;0,OR(AUTOEVENTO&lt;&gt;"manual",$M150&lt;&gt;$A$15)),
        IF(Import.TipoArredondamento&lt;&gt;"TransfereGOV",
              ROUND(OFFSET($P150,0,AY$13),15-13*ORÇAMENTO!$AF$7)/$H150*OFFSET(ORÇAMENTO!$X$15,ROW(AY150)-ROW(AY$15),0),
              ROUND(ROUND(OFFSET($P150,0,AY$13),15-13*ORÇAMENTO!$AF$7)*OFFSET(ORÇAMENTO!$W$15,ROW(AY150)-ROW(AY$15),0),15-13*ORÇAMENTO!$AF$11)),
         0)</f>
        <v>0</v>
      </c>
      <c r="AZ150" s="453">
        <f ca="1">IF(AND($D150="Serviço",AZ$12&lt;&gt;0,$H150&gt;0,OR(AUTOEVENTO&lt;&gt;"manual",$M150&lt;&gt;$A$15)),
        IF(Import.TipoArredondamento&lt;&gt;"TransfereGOV",
              ROUND(OFFSET($P150,0,AZ$13),15-13*ORÇAMENTO!$AF$7)/$H150*OFFSET(ORÇAMENTO!$X$15,ROW(AZ150)-ROW(AZ$15),0),
              ROUND(ROUND(OFFSET($P150,0,AZ$13),15-13*ORÇAMENTO!$AF$7)*OFFSET(ORÇAMENTO!$W$15,ROW(AZ150)-ROW(AZ$15),0),15-13*ORÇAMENTO!$AF$11)),
         0)</f>
        <v>0</v>
      </c>
      <c r="BA150" s="453">
        <f ca="1">IF(AND($D150="Serviço",BA$12&lt;&gt;0,$H150&gt;0,OR(AUTOEVENTO&lt;&gt;"manual",$M150&lt;&gt;$A$15)),
        IF(Import.TipoArredondamento&lt;&gt;"TransfereGOV",
              ROUND(OFFSET($P150,0,BA$13),15-13*ORÇAMENTO!$AF$7)/$H150*OFFSET(ORÇAMENTO!$X$15,ROW(BA150)-ROW(BA$15),0),
              ROUND(ROUND(OFFSET($P150,0,BA$13),15-13*ORÇAMENTO!$AF$7)*OFFSET(ORÇAMENTO!$W$15,ROW(BA150)-ROW(BA$15),0),15-13*ORÇAMENTO!$AF$11)),
         0)</f>
        <v>0</v>
      </c>
      <c r="BC150" s="171">
        <f ca="1">IF(OR($D150&lt;&gt;"Serviço",AND(AUTOEVENTO="Manual",$M150=$A$15)),0,
         IF(OFFSET(CRONOPLE!$F$15,$M150-$A$15,BC$13)=0,10^12,OFFSET(CRONOPLE!$F$15,$M150-$A$15,BC$13)))</f>
        <v>1000000000000</v>
      </c>
      <c r="BD150" s="171">
        <f ca="1">IF(OR($D150&lt;&gt;"Serviço",AND(AUTOEVENTO="Manual",$M150=$A$15)),0,
         IF(OFFSET(CRONOPLE!$F$15,$M150-$A$15,BD$13)=0,10^12,OFFSET(CRONOPLE!$F$15,$M150-$A$15,BD$13)))</f>
        <v>1000000000000</v>
      </c>
      <c r="BE150" s="171">
        <f ca="1">IF(OR($D150&lt;&gt;"Serviço",AND(AUTOEVENTO="Manual",$M150=$A$15)),0,
         IF(OFFSET(CRONOPLE!$F$15,$M150-$A$15,BE$13)=0,10^12,OFFSET(CRONOPLE!$F$15,$M150-$A$15,BE$13)))</f>
        <v>1000000000000</v>
      </c>
      <c r="BF150" s="171">
        <f ca="1">IF(OR($D150&lt;&gt;"Serviço",AND(AUTOEVENTO="Manual",$M150=$A$15)),0,
         IF(OFFSET(CRONOPLE!$F$15,$M150-$A$15,BF$13)=0,10^12,OFFSET(CRONOPLE!$F$15,$M150-$A$15,BF$13)))</f>
        <v>1000000000000</v>
      </c>
      <c r="BG150" s="171">
        <f ca="1">IF(OR($D150&lt;&gt;"Serviço",AND(AUTOEVENTO="Manual",$M150=$A$15)),0,
         IF(OFFSET(CRONOPLE!$F$15,$M150-$A$15,BG$13)=0,10^12,OFFSET(CRONOPLE!$F$15,$M150-$A$15,BG$13)))</f>
        <v>1000000000000</v>
      </c>
      <c r="BH150" s="171">
        <f ca="1">IF(OR($D150&lt;&gt;"Serviço",AND(AUTOEVENTO="Manual",$M150=$A$15)),0,
         IF(OFFSET(CRONOPLE!$F$15,$M150-$A$15,BH$13)=0,10^12,OFFSET(CRONOPLE!$F$15,$M150-$A$15,BH$13)))</f>
        <v>6</v>
      </c>
      <c r="BI150" s="171">
        <f ca="1">IF(OR($D150&lt;&gt;"Serviço",AND(AUTOEVENTO="Manual",$M150=$A$15)),0,
         IF(OFFSET(CRONOPLE!$F$15,$M150-$A$15,BI$13)=0,10^12,OFFSET(CRONOPLE!$F$15,$M150-$A$15,BI$13)))</f>
        <v>1000000000000</v>
      </c>
      <c r="BJ150" s="171">
        <f ca="1">IF(OR($D150&lt;&gt;"Serviço",AND(AUTOEVENTO="Manual",$M150=$A$15)),0,
         IF(OFFSET(CRONOPLE!$F$15,$M150-$A$15,BJ$13)=0,10^12,OFFSET(CRONOPLE!$F$15,$M150-$A$15,BJ$13)))</f>
        <v>1000000000000</v>
      </c>
      <c r="BK150" s="171">
        <f ca="1">IF(OR($D150&lt;&gt;"Serviço",AND(AUTOEVENTO="Manual",$M150=$A$15)),0,
         IF(OFFSET(CRONOPLE!$F$15,$M150-$A$15,BK$13)=0,10^12,OFFSET(CRONOPLE!$F$15,$M150-$A$15,BK$13)))</f>
        <v>1000000000000</v>
      </c>
      <c r="BL150" s="171">
        <f ca="1">IF(OR($D150&lt;&gt;"Serviço",AND(AUTOEVENTO="Manual",$M150=$A$15)),0,
         IF(OFFSET(CRONOPLE!$F$15,$M150-$A$15,BL$13)=0,10^12,OFFSET(CRONOPLE!$F$15,$M150-$A$15,BL$13)))</f>
        <v>1000000000000</v>
      </c>
      <c r="BM150" s="171">
        <f ca="1">IF(OR($D150&lt;&gt;"Serviço",AND(AUTOEVENTO="Manual",$M150=$A$15)),0,
         IF(OFFSET(CRONOPLE!$F$15,$M150-$A$15,BM$13)=0,10^12,OFFSET(CRONOPLE!$F$15,$M150-$A$15,BM$13)))</f>
        <v>1000000000000</v>
      </c>
      <c r="BN150" s="171">
        <f ca="1">IF(OR($D150&lt;&gt;"Serviço",AND(AUTOEVENTO="Manual",$M150=$A$15)),0,
         IF(OFFSET(CRONOPLE!$F$15,$M150-$A$15,BN$13)=0,10^12,OFFSET(CRONOPLE!$F$15,$M150-$A$15,BN$13)))</f>
        <v>1000000000000</v>
      </c>
      <c r="BO150" s="171">
        <f ca="1">IF(OR($D150&lt;&gt;"Serviço",AND(AUTOEVENTO="Manual",$M150=$A$15)),0,
         IF(OFFSET(CRONOPLE!$F$15,$M150-$A$15,BO$13)=0,10^12,OFFSET(CRONOPLE!$F$15,$M150-$A$15,BO$13)))</f>
        <v>1000000000000</v>
      </c>
      <c r="BP150" s="171">
        <f ca="1">IF(OR($D150&lt;&gt;"Serviço",AND(AUTOEVENTO="Manual",$M150=$A$15)),0,
         IF(OFFSET(CRONOPLE!$F$15,$M150-$A$15,BP$13)=0,10^12,OFFSET(CRONOPLE!$F$15,$M150-$A$15,BP$13)))</f>
        <v>1000000000000</v>
      </c>
      <c r="BQ150" s="171">
        <f ca="1">IF(OR($D150&lt;&gt;"Serviço",AND(AUTOEVENTO="Manual",$M150=$A$15)),0,
         IF(OFFSET(CRONOPLE!$F$15,$M150-$A$15,BQ$13)=0,10^12,OFFSET(CRONOPLE!$F$15,$M150-$A$15,BQ$13)))</f>
        <v>1000000000000</v>
      </c>
      <c r="BR150" s="171">
        <f ca="1">IF(OR($D150&lt;&gt;"Serviço",AND(AUTOEVENTO="Manual",$M150=$A$15)),0,
         IF(OFFSET(CRONOPLE!$F$15,$M150-$A$15,BR$13)=0,10^12,OFFSET(CRONOPLE!$F$15,$M150-$A$15,BR$13)))</f>
        <v>1000000000000</v>
      </c>
      <c r="BS150" s="171">
        <f ca="1">IF(OR($D150&lt;&gt;"Serviço",AND(AUTOEVENTO="Manual",$M150=$A$15)),0,
         IF(OFFSET(CRONOPLE!$F$15,$M150-$A$15,BS$13)=0,10^12,OFFSET(CRONOPLE!$F$15,$M150-$A$15,BS$13)))</f>
        <v>1000000000000</v>
      </c>
      <c r="BT150" s="171">
        <f ca="1">IF(OR($D150&lt;&gt;"Serviço",AND(AUTOEVENTO="Manual",$M150=$A$15)),0,
         IF(OFFSET(CRONOPLE!$F$15,$M150-$A$15,BT$13)=0,10^12,OFFSET(CRONOPLE!$F$15,$M150-$A$15,BT$13)))</f>
        <v>1000000000000</v>
      </c>
      <c r="BV150" s="172">
        <f ca="1">IF(OR($D150&lt;&gt;"Serviço",AND(AUTOEVENTO="Manual",$M150=$A$15),$M150&gt;(ROW(PLE.lastrow)-ROW(PLE.firstrow))),0,
           IF(OFFSET(PLE!$G$15,$M150-$A$15,BV$13)="",10^12,OFFSET(PLE!$G$15,$M150-$A$15,BV$13)))</f>
        <v>1000000000000</v>
      </c>
      <c r="BW150" s="172">
        <f ca="1">IF(OR($D150&lt;&gt;"Serviço",AND(AUTOEVENTO="Manual",$M150=$A$15),$M150&gt;(ROW(PLE.lastrow)-ROW(PLE.firstrow))),0,
           IF(OFFSET(PLE!$G$15,$M150-$A$15,BW$13)="",10^12,OFFSET(PLE!$G$15,$M150-$A$15,BW$13)))</f>
        <v>1000000000000</v>
      </c>
      <c r="BX150" s="172">
        <f ca="1">IF(OR($D150&lt;&gt;"Serviço",AND(AUTOEVENTO="Manual",$M150=$A$15),$M150&gt;(ROW(PLE.lastrow)-ROW(PLE.firstrow))),0,
           IF(OFFSET(PLE!$G$15,$M150-$A$15,BX$13)="",10^12,OFFSET(PLE!$G$15,$M150-$A$15,BX$13)))</f>
        <v>1000000000000</v>
      </c>
      <c r="BY150" s="172">
        <f ca="1">IF(OR($D150&lt;&gt;"Serviço",AND(AUTOEVENTO="Manual",$M150=$A$15),$M150&gt;(ROW(PLE.lastrow)-ROW(PLE.firstrow))),0,
           IF(OFFSET(PLE!$G$15,$M150-$A$15,BY$13)="",10^12,OFFSET(PLE!$G$15,$M150-$A$15,BY$13)))</f>
        <v>1000000000000</v>
      </c>
      <c r="BZ150" s="172">
        <f ca="1">IF(OR($D150&lt;&gt;"Serviço",AND(AUTOEVENTO="Manual",$M150=$A$15),$M150&gt;(ROW(PLE.lastrow)-ROW(PLE.firstrow))),0,
           IF(OFFSET(PLE!$G$15,$M150-$A$15,BZ$13)="",10^12,OFFSET(PLE!$G$15,$M150-$A$15,BZ$13)))</f>
        <v>1000000000000</v>
      </c>
      <c r="CA150" s="172">
        <f ca="1">IF(OR($D150&lt;&gt;"Serviço",AND(AUTOEVENTO="Manual",$M150=$A$15),$M150&gt;(ROW(PLE.lastrow)-ROW(PLE.firstrow))),0,
           IF(OFFSET(PLE!$G$15,$M150-$A$15,CA$13)="",10^12,OFFSET(PLE!$G$15,$M150-$A$15,CA$13)))</f>
        <v>1000000000000</v>
      </c>
      <c r="CB150" s="172">
        <f ca="1">IF(OR($D150&lt;&gt;"Serviço",AND(AUTOEVENTO="Manual",$M150=$A$15),$M150&gt;(ROW(PLE.lastrow)-ROW(PLE.firstrow))),0,
           IF(OFFSET(PLE!$G$15,$M150-$A$15,CB$13)="",10^12,OFFSET(PLE!$G$15,$M150-$A$15,CB$13)))</f>
        <v>1000000000000</v>
      </c>
      <c r="CC150" s="172">
        <f ca="1">IF(OR($D150&lt;&gt;"Serviço",AND(AUTOEVENTO="Manual",$M150=$A$15),$M150&gt;(ROW(PLE.lastrow)-ROW(PLE.firstrow))),0,
           IF(OFFSET(PLE!$G$15,$M150-$A$15,CC$13)="",10^12,OFFSET(PLE!$G$15,$M150-$A$15,CC$13)))</f>
        <v>1000000000000</v>
      </c>
      <c r="CD150" s="172">
        <f ca="1">IF(OR($D150&lt;&gt;"Serviço",AND(AUTOEVENTO="Manual",$M150=$A$15),$M150&gt;(ROW(PLE.lastrow)-ROW(PLE.firstrow))),0,
           IF(OFFSET(PLE!$G$15,$M150-$A$15,CD$13)="",10^12,OFFSET(PLE!$G$15,$M150-$A$15,CD$13)))</f>
        <v>1000000000000</v>
      </c>
      <c r="CE150" s="172">
        <f ca="1">IF(OR($D150&lt;&gt;"Serviço",AND(AUTOEVENTO="Manual",$M150=$A$15),$M150&gt;(ROW(PLE.lastrow)-ROW(PLE.firstrow))),0,
           IF(OFFSET(PLE!$G$15,$M150-$A$15,CE$13)="",10^12,OFFSET(PLE!$G$15,$M150-$A$15,CE$13)))</f>
        <v>1000000000000</v>
      </c>
      <c r="CF150" s="172">
        <f ca="1">IF(OR($D150&lt;&gt;"Serviço",AND(AUTOEVENTO="Manual",$M150=$A$15),$M150&gt;(ROW(PLE.lastrow)-ROW(PLE.firstrow))),0,
           IF(OFFSET(PLE!$G$15,$M150-$A$15,CF$13)="",10^12,OFFSET(PLE!$G$15,$M150-$A$15,CF$13)))</f>
        <v>1000000000000</v>
      </c>
      <c r="CG150" s="172">
        <f ca="1">IF(OR($D150&lt;&gt;"Serviço",AND(AUTOEVENTO="Manual",$M150=$A$15),$M150&gt;(ROW(PLE.lastrow)-ROW(PLE.firstrow))),0,
           IF(OFFSET(PLE!$G$15,$M150-$A$15,CG$13)="",10^12,OFFSET(PLE!$G$15,$M150-$A$15,CG$13)))</f>
        <v>1000000000000</v>
      </c>
      <c r="CH150" s="172">
        <f ca="1">IF(OR($D150&lt;&gt;"Serviço",AND(AUTOEVENTO="Manual",$M150=$A$15),$M150&gt;(ROW(PLE.lastrow)-ROW(PLE.firstrow))),0,
           IF(OFFSET(PLE!$G$15,$M150-$A$15,CH$13)="",10^12,OFFSET(PLE!$G$15,$M150-$A$15,CH$13)))</f>
        <v>1000000000000</v>
      </c>
      <c r="CI150" s="172">
        <f ca="1">IF(OR($D150&lt;&gt;"Serviço",AND(AUTOEVENTO="Manual",$M150=$A$15),$M150&gt;(ROW(PLE.lastrow)-ROW(PLE.firstrow))),0,
           IF(OFFSET(PLE!$G$15,$M150-$A$15,CI$13)="",10^12,OFFSET(PLE!$G$15,$M150-$A$15,CI$13)))</f>
        <v>1000000000000</v>
      </c>
      <c r="CJ150" s="172">
        <f ca="1">IF(OR($D150&lt;&gt;"Serviço",AND(AUTOEVENTO="Manual",$M150=$A$15),$M150&gt;(ROW(PLE.lastrow)-ROW(PLE.firstrow))),0,
           IF(OFFSET(PLE!$G$15,$M150-$A$15,CJ$13)="",10^12,OFFSET(PLE!$G$15,$M150-$A$15,CJ$13)))</f>
        <v>1000000000000</v>
      </c>
      <c r="CK150" s="172">
        <f ca="1">IF(OR($D150&lt;&gt;"Serviço",AND(AUTOEVENTO="Manual",$M150=$A$15),$M150&gt;(ROW(PLE.lastrow)-ROW(PLE.firstrow))),0,
           IF(OFFSET(PLE!$G$15,$M150-$A$15,CK$13)="",10^12,OFFSET(PLE!$G$15,$M150-$A$15,CK$13)))</f>
        <v>1000000000000</v>
      </c>
      <c r="CL150" s="172">
        <f ca="1">IF(OR($D150&lt;&gt;"Serviço",AND(AUTOEVENTO="Manual",$M150=$A$15),$M150&gt;(ROW(PLE.lastrow)-ROW(PLE.firstrow))),0,
           IF(OFFSET(PLE!$G$15,$M150-$A$15,CL$13)="",10^12,OFFSET(PLE!$G$15,$M150-$A$15,CL$13)))</f>
        <v>1000000000000</v>
      </c>
      <c r="CM150" s="172">
        <f ca="1">IF(OR($D150&lt;&gt;"Serviço",AND(AUTOEVENTO="Manual",$M150=$A$15),$M150&gt;(ROW(PLE.lastrow)-ROW(PLE.firstrow))),0,
           IF(OFFSET(PLE!$G$15,$M150-$A$15,CM$13)="",10^12,OFFSET(PLE!$G$15,$M150-$A$15,CM$13)))</f>
        <v>1000000000000</v>
      </c>
    </row>
    <row r="151" spans="1:91" ht="26.4" x14ac:dyDescent="0.25">
      <c r="A151" s="7" t="str">
        <f t="shared" ca="1" si="11"/>
        <v>126</v>
      </c>
      <c r="B151" s="7" t="str">
        <f ca="1">OFFSET(ORÇAMENTO!C$15,ROW(B151)-ROW(B$15),0)</f>
        <v>S</v>
      </c>
      <c r="C151" s="7" t="str">
        <f ca="1">OFFSET(ORÇAMENTO!L$15,ROW(C151)-ROW(C$15),0)</f>
        <v>F</v>
      </c>
      <c r="D151" s="116" t="str">
        <f ca="1">OFFSET(ORÇAMENTO!N$15,ROW(D151)-ROW(D$15),0)</f>
        <v>Serviço</v>
      </c>
      <c r="E151" s="117" t="str">
        <f ca="1">OFFSET(ORÇAMENTO!O$15,ROW(E151)-ROW(E$15),0)</f>
        <v>4.2.10.</v>
      </c>
      <c r="F151" s="163" t="str">
        <f ca="1">OFFSET(ORÇAMENTO!R$15,ROW(F151)-ROW(F$15),0)</f>
        <v>Transporte de material betuminoso com caminhão tanque distribuidor - rodovia pavimentada</v>
      </c>
      <c r="G151" s="164" t="str">
        <f ca="1">IF($D151&lt;&gt;"Serviço","",OFFSET(ORÇAMENTO!S$15,ROW(G151)-ROW(G$15),0))</f>
        <v>tkm</v>
      </c>
      <c r="H151" s="122" cm="1">
        <f t="array" aca="1" ref="H151" ca="1">IF($D151&lt;&gt;"Serviço",0,IF(ACOMPANHAMENTO="BM",ROUND(OFFSET(ORÇAMENTO!AJ$15,ROW(H151)-ROW(H$15),0),15-13*ORÇAMENTO!$AF$7),SUMPRODUCT(($Q$1:$AI$1=1)*ROUND($Q151:$AI151,15-13*ORÇAMENTO!$AF$7))))</f>
        <v>344.85</v>
      </c>
      <c r="I151" s="468"/>
      <c r="J151" s="651" t="e" cm="1">
        <f t="array" aca="1" ref="J151" ca="1">IF(OR(B151&lt;&gt;"S",CÁLCULO.FrentesPreenchidas=0),"",IF(AND(ACOMPANHAMENTO="PLE",AUTOEVENTO="Manual",OR(H151&gt;0,ORÇAMENTO!AC151="QUANT."),OR(K151="",M151=0,N151="")),"►E",IF(AND(ACOMPANHAMENTO="PLE",ORÇAMENTO!AC151="QUANT."),"►Q",IF(AND(ACOMPANHAMENTO="PLE",H151&lt;&gt;SUMPRODUCT(($Q$1:$AI$1=1)*ROUND(Q151:AI151,15))),"►S",IF(AND(COUNTIF($P$11:$AI$11,"▼")=0,H151&gt;0,I151=""),"◄M","")))))</f>
        <v>#NAME?</v>
      </c>
      <c r="K151" s="652"/>
      <c r="L151" s="165" t="s">
        <v>764</v>
      </c>
      <c r="M151" s="166">
        <f ca="1">IF($D151&lt;&gt;"Serviço","",
          IF(AUTOEVENTO="manual",$A151,
                IF(ISERROR(MATCH($A151,$A$15:OFFSET($A151,-1,0),0)),MAX($M$15:OFFSET(M151,-1,0))+1,
                      INDEX($M$15:OFFSET(M151,-1,0),MATCH($A151,$A$15:OFFSET($A151,-1,0),0)))))</f>
        <v>20</v>
      </c>
      <c r="N151" s="167" t="str">
        <f ca="1">IF($D151&lt;&gt;"Serviço","",
         IF(AUTOEVENTO="Manual",
                IF($A151=0,"&lt;-- defina o número do agrupador",
                       OFFSET(EVENTOS!$D$15,$A151-$A$15,0)),
                OFFSET($F$15,$A151,0)))</f>
        <v>PAVIMENTAÇÃO</v>
      </c>
      <c r="O151" s="168"/>
      <c r="Q151" s="168"/>
      <c r="R151" s="169"/>
      <c r="S151" s="169"/>
      <c r="T151" s="169"/>
      <c r="U151" s="169"/>
      <c r="V151" s="169">
        <f>TRUNC(V150/1000*337,2)</f>
        <v>344.85</v>
      </c>
      <c r="W151" s="169"/>
      <c r="X151" s="169"/>
      <c r="Y151" s="169"/>
      <c r="Z151" s="170"/>
      <c r="AA151" s="169"/>
      <c r="AB151" s="169"/>
      <c r="AC151" s="169"/>
      <c r="AD151" s="169"/>
      <c r="AE151" s="169"/>
      <c r="AF151" s="169"/>
      <c r="AG151" s="169"/>
      <c r="AH151" s="170"/>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L151" s="453">
        <f ca="1">IF(AND($D151="Serviço",AL$12&lt;&gt;0,$H151&gt;0,OR(AUTOEVENTO&lt;&gt;"manual",$M151&lt;&gt;$A$15)),
        IF(Import.TipoArredondamento&lt;&gt;"TransfereGOV",
              ROUND(OFFSET($P151,0,AL$13),15-13*ORÇAMENTO!$AF$7)/$H151*OFFSET(ORÇAMENTO!$X$15,ROW(AL151)-ROW(AL$15),0),
              ROUND(ROUND(OFFSET($P151,0,AL$13),15-13*ORÇAMENTO!$AF$7)*OFFSET(ORÇAMENTO!$W$15,ROW(AL151)-ROW(AL$15),0),15-13*ORÇAMENTO!$AF$11)),
         0)</f>
        <v>0</v>
      </c>
      <c r="AM151" s="453">
        <f ca="1">IF(AND($D151="Serviço",AM$12&lt;&gt;0,$H151&gt;0,OR(AUTOEVENTO&lt;&gt;"manual",$M151&lt;&gt;$A$15)),
        IF(Import.TipoArredondamento&lt;&gt;"TransfereGOV",
              ROUND(OFFSET($P151,0,AM$13),15-13*ORÇAMENTO!$AF$7)/$H151*OFFSET(ORÇAMENTO!$X$15,ROW(AM151)-ROW(AM$15),0),
              ROUND(ROUND(OFFSET($P151,0,AM$13),15-13*ORÇAMENTO!$AF$7)*OFFSET(ORÇAMENTO!$W$15,ROW(AM151)-ROW(AM$15),0),15-13*ORÇAMENTO!$AF$11)),
         0)</f>
        <v>0</v>
      </c>
      <c r="AN151" s="453">
        <f ca="1">IF(AND($D151="Serviço",AN$12&lt;&gt;0,$H151&gt;0,OR(AUTOEVENTO&lt;&gt;"manual",$M151&lt;&gt;$A$15)),
        IF(Import.TipoArredondamento&lt;&gt;"TransfereGOV",
              ROUND(OFFSET($P151,0,AN$13),15-13*ORÇAMENTO!$AF$7)/$H151*OFFSET(ORÇAMENTO!$X$15,ROW(AN151)-ROW(AN$15),0),
              ROUND(ROUND(OFFSET($P151,0,AN$13),15-13*ORÇAMENTO!$AF$7)*OFFSET(ORÇAMENTO!$W$15,ROW(AN151)-ROW(AN$15),0),15-13*ORÇAMENTO!$AF$11)),
         0)</f>
        <v>0</v>
      </c>
      <c r="AO151" s="453">
        <f ca="1">IF(AND($D151="Serviço",AO$12&lt;&gt;0,$H151&gt;0,OR(AUTOEVENTO&lt;&gt;"manual",$M151&lt;&gt;$A$15)),
        IF(Import.TipoArredondamento&lt;&gt;"TransfereGOV",
              ROUND(OFFSET($P151,0,AO$13),15-13*ORÇAMENTO!$AF$7)/$H151*OFFSET(ORÇAMENTO!$X$15,ROW(AO151)-ROW(AO$15),0),
              ROUND(ROUND(OFFSET($P151,0,AO$13),15-13*ORÇAMENTO!$AF$7)*OFFSET(ORÇAMENTO!$W$15,ROW(AO151)-ROW(AO$15),0),15-13*ORÇAMENTO!$AF$11)),
         0)</f>
        <v>879.37</v>
      </c>
      <c r="AP151" s="453">
        <f ca="1">IF(AND($D151="Serviço",AP$12&lt;&gt;0,$H151&gt;0,OR(AUTOEVENTO&lt;&gt;"manual",$M151&lt;&gt;$A$15)),
        IF(Import.TipoArredondamento&lt;&gt;"TransfereGOV",
              ROUND(OFFSET($P151,0,AP$13),15-13*ORÇAMENTO!$AF$7)/$H151*OFFSET(ORÇAMENTO!$X$15,ROW(AP151)-ROW(AP$15),0),
              ROUND(ROUND(OFFSET($P151,0,AP$13),15-13*ORÇAMENTO!$AF$7)*OFFSET(ORÇAMENTO!$W$15,ROW(AP151)-ROW(AP$15),0),15-13*ORÇAMENTO!$AF$11)),
         0)</f>
        <v>0</v>
      </c>
      <c r="AQ151" s="453">
        <f ca="1">IF(AND($D151="Serviço",AQ$12&lt;&gt;0,$H151&gt;0,OR(AUTOEVENTO&lt;&gt;"manual",$M151&lt;&gt;$A$15)),
        IF(Import.TipoArredondamento&lt;&gt;"TransfereGOV",
              ROUND(OFFSET($P151,0,AQ$13),15-13*ORÇAMENTO!$AF$7)/$H151*OFFSET(ORÇAMENTO!$X$15,ROW(AQ151)-ROW(AQ$15),0),
              ROUND(ROUND(OFFSET($P151,0,AQ$13),15-13*ORÇAMENTO!$AF$7)*OFFSET(ORÇAMENTO!$W$15,ROW(AQ151)-ROW(AQ$15),0),15-13*ORÇAMENTO!$AF$11)),
         0)</f>
        <v>0</v>
      </c>
      <c r="AR151" s="453">
        <f ca="1">IF(AND($D151="Serviço",AR$12&lt;&gt;0,$H151&gt;0,OR(AUTOEVENTO&lt;&gt;"manual",$M151&lt;&gt;$A$15)),
        IF(Import.TipoArredondamento&lt;&gt;"TransfereGOV",
              ROUND(OFFSET($P151,0,AR$13),15-13*ORÇAMENTO!$AF$7)/$H151*OFFSET(ORÇAMENTO!$X$15,ROW(AR151)-ROW(AR$15),0),
              ROUND(ROUND(OFFSET($P151,0,AR$13),15-13*ORÇAMENTO!$AF$7)*OFFSET(ORÇAMENTO!$W$15,ROW(AR151)-ROW(AR$15),0),15-13*ORÇAMENTO!$AF$11)),
         0)</f>
        <v>0</v>
      </c>
      <c r="AS151" s="453">
        <f ca="1">IF(AND($D151="Serviço",AS$12&lt;&gt;0,$H151&gt;0,OR(AUTOEVENTO&lt;&gt;"manual",$M151&lt;&gt;$A$15)),
        IF(Import.TipoArredondamento&lt;&gt;"TransfereGOV",
              ROUND(OFFSET($P151,0,AS$13),15-13*ORÇAMENTO!$AF$7)/$H151*OFFSET(ORÇAMENTO!$X$15,ROW(AS151)-ROW(AS$15),0),
              ROUND(ROUND(OFFSET($P151,0,AS$13),15-13*ORÇAMENTO!$AF$7)*OFFSET(ORÇAMENTO!$W$15,ROW(AS151)-ROW(AS$15),0),15-13*ORÇAMENTO!$AF$11)),
         0)</f>
        <v>0</v>
      </c>
      <c r="AT151" s="453">
        <f ca="1">IF(AND($D151="Serviço",AT$12&lt;&gt;0,$H151&gt;0,OR(AUTOEVENTO&lt;&gt;"manual",$M151&lt;&gt;$A$15)),
        IF(Import.TipoArredondamento&lt;&gt;"TransfereGOV",
              ROUND(OFFSET($P151,0,AT$13),15-13*ORÇAMENTO!$AF$7)/$H151*OFFSET(ORÇAMENTO!$X$15,ROW(AT151)-ROW(AT$15),0),
              ROUND(ROUND(OFFSET($P151,0,AT$13),15-13*ORÇAMENTO!$AF$7)*OFFSET(ORÇAMENTO!$W$15,ROW(AT151)-ROW(AT$15),0),15-13*ORÇAMENTO!$AF$11)),
         0)</f>
        <v>0</v>
      </c>
      <c r="AU151" s="453">
        <f ca="1">IF(AND($D151="Serviço",AU$12&lt;&gt;0,$H151&gt;0,OR(AUTOEVENTO&lt;&gt;"manual",$M151&lt;&gt;$A$15)),
        IF(Import.TipoArredondamento&lt;&gt;"TransfereGOV",
              ROUND(OFFSET($P151,0,AU$13),15-13*ORÇAMENTO!$AF$7)/$H151*OFFSET(ORÇAMENTO!$X$15,ROW(AU151)-ROW(AU$15),0),
              ROUND(ROUND(OFFSET($P151,0,AU$13),15-13*ORÇAMENTO!$AF$7)*OFFSET(ORÇAMENTO!$W$15,ROW(AU151)-ROW(AU$15),0),15-13*ORÇAMENTO!$AF$11)),
         0)</f>
        <v>0</v>
      </c>
      <c r="AV151" s="453">
        <f ca="1">IF(AND($D151="Serviço",AV$12&lt;&gt;0,$H151&gt;0,OR(AUTOEVENTO&lt;&gt;"manual",$M151&lt;&gt;$A$15)),
        IF(Import.TipoArredondamento&lt;&gt;"TransfereGOV",
              ROUND(OFFSET($P151,0,AV$13),15-13*ORÇAMENTO!$AF$7)/$H151*OFFSET(ORÇAMENTO!$X$15,ROW(AV151)-ROW(AV$15),0),
              ROUND(ROUND(OFFSET($P151,0,AV$13),15-13*ORÇAMENTO!$AF$7)*OFFSET(ORÇAMENTO!$W$15,ROW(AV151)-ROW(AV$15),0),15-13*ORÇAMENTO!$AF$11)),
         0)</f>
        <v>0</v>
      </c>
      <c r="AW151" s="453">
        <f ca="1">IF(AND($D151="Serviço",AW$12&lt;&gt;0,$H151&gt;0,OR(AUTOEVENTO&lt;&gt;"manual",$M151&lt;&gt;$A$15)),
        IF(Import.TipoArredondamento&lt;&gt;"TransfereGOV",
              ROUND(OFFSET($P151,0,AW$13),15-13*ORÇAMENTO!$AF$7)/$H151*OFFSET(ORÇAMENTO!$X$15,ROW(AW151)-ROW(AW$15),0),
              ROUND(ROUND(OFFSET($P151,0,AW$13),15-13*ORÇAMENTO!$AF$7)*OFFSET(ORÇAMENTO!$W$15,ROW(AW151)-ROW(AW$15),0),15-13*ORÇAMENTO!$AF$11)),
         0)</f>
        <v>0</v>
      </c>
      <c r="AX151" s="453">
        <f ca="1">IF(AND($D151="Serviço",AX$12&lt;&gt;0,$H151&gt;0,OR(AUTOEVENTO&lt;&gt;"manual",$M151&lt;&gt;$A$15)),
        IF(Import.TipoArredondamento&lt;&gt;"TransfereGOV",
              ROUND(OFFSET($P151,0,AX$13),15-13*ORÇAMENTO!$AF$7)/$H151*OFFSET(ORÇAMENTO!$X$15,ROW(AX151)-ROW(AX$15),0),
              ROUND(ROUND(OFFSET($P151,0,AX$13),15-13*ORÇAMENTO!$AF$7)*OFFSET(ORÇAMENTO!$W$15,ROW(AX151)-ROW(AX$15),0),15-13*ORÇAMENTO!$AF$11)),
         0)</f>
        <v>0</v>
      </c>
      <c r="AY151" s="453">
        <f ca="1">IF(AND($D151="Serviço",AY$12&lt;&gt;0,$H151&gt;0,OR(AUTOEVENTO&lt;&gt;"manual",$M151&lt;&gt;$A$15)),
        IF(Import.TipoArredondamento&lt;&gt;"TransfereGOV",
              ROUND(OFFSET($P151,0,AY$13),15-13*ORÇAMENTO!$AF$7)/$H151*OFFSET(ORÇAMENTO!$X$15,ROW(AY151)-ROW(AY$15),0),
              ROUND(ROUND(OFFSET($P151,0,AY$13),15-13*ORÇAMENTO!$AF$7)*OFFSET(ORÇAMENTO!$W$15,ROW(AY151)-ROW(AY$15),0),15-13*ORÇAMENTO!$AF$11)),
         0)</f>
        <v>0</v>
      </c>
      <c r="AZ151" s="453">
        <f ca="1">IF(AND($D151="Serviço",AZ$12&lt;&gt;0,$H151&gt;0,OR(AUTOEVENTO&lt;&gt;"manual",$M151&lt;&gt;$A$15)),
        IF(Import.TipoArredondamento&lt;&gt;"TransfereGOV",
              ROUND(OFFSET($P151,0,AZ$13),15-13*ORÇAMENTO!$AF$7)/$H151*OFFSET(ORÇAMENTO!$X$15,ROW(AZ151)-ROW(AZ$15),0),
              ROUND(ROUND(OFFSET($P151,0,AZ$13),15-13*ORÇAMENTO!$AF$7)*OFFSET(ORÇAMENTO!$W$15,ROW(AZ151)-ROW(AZ$15),0),15-13*ORÇAMENTO!$AF$11)),
         0)</f>
        <v>0</v>
      </c>
      <c r="BA151" s="453">
        <f ca="1">IF(AND($D151="Serviço",BA$12&lt;&gt;0,$H151&gt;0,OR(AUTOEVENTO&lt;&gt;"manual",$M151&lt;&gt;$A$15)),
        IF(Import.TipoArredondamento&lt;&gt;"TransfereGOV",
              ROUND(OFFSET($P151,0,BA$13),15-13*ORÇAMENTO!$AF$7)/$H151*OFFSET(ORÇAMENTO!$X$15,ROW(BA151)-ROW(BA$15),0),
              ROUND(ROUND(OFFSET($P151,0,BA$13),15-13*ORÇAMENTO!$AF$7)*OFFSET(ORÇAMENTO!$W$15,ROW(BA151)-ROW(BA$15),0),15-13*ORÇAMENTO!$AF$11)),
         0)</f>
        <v>0</v>
      </c>
      <c r="BC151" s="171">
        <f ca="1">IF(OR($D151&lt;&gt;"Serviço",AND(AUTOEVENTO="Manual",$M151=$A$15)),0,
         IF(OFFSET(CRONOPLE!$F$15,$M151-$A$15,BC$13)=0,10^12,OFFSET(CRONOPLE!$F$15,$M151-$A$15,BC$13)))</f>
        <v>1000000000000</v>
      </c>
      <c r="BD151" s="171">
        <f ca="1">IF(OR($D151&lt;&gt;"Serviço",AND(AUTOEVENTO="Manual",$M151=$A$15)),0,
         IF(OFFSET(CRONOPLE!$F$15,$M151-$A$15,BD$13)=0,10^12,OFFSET(CRONOPLE!$F$15,$M151-$A$15,BD$13)))</f>
        <v>1000000000000</v>
      </c>
      <c r="BE151" s="171">
        <f ca="1">IF(OR($D151&lt;&gt;"Serviço",AND(AUTOEVENTO="Manual",$M151=$A$15)),0,
         IF(OFFSET(CRONOPLE!$F$15,$M151-$A$15,BE$13)=0,10^12,OFFSET(CRONOPLE!$F$15,$M151-$A$15,BE$13)))</f>
        <v>1000000000000</v>
      </c>
      <c r="BF151" s="171">
        <f ca="1">IF(OR($D151&lt;&gt;"Serviço",AND(AUTOEVENTO="Manual",$M151=$A$15)),0,
         IF(OFFSET(CRONOPLE!$F$15,$M151-$A$15,BF$13)=0,10^12,OFFSET(CRONOPLE!$F$15,$M151-$A$15,BF$13)))</f>
        <v>1000000000000</v>
      </c>
      <c r="BG151" s="171">
        <f ca="1">IF(OR($D151&lt;&gt;"Serviço",AND(AUTOEVENTO="Manual",$M151=$A$15)),0,
         IF(OFFSET(CRONOPLE!$F$15,$M151-$A$15,BG$13)=0,10^12,OFFSET(CRONOPLE!$F$15,$M151-$A$15,BG$13)))</f>
        <v>1000000000000</v>
      </c>
      <c r="BH151" s="171">
        <f ca="1">IF(OR($D151&lt;&gt;"Serviço",AND(AUTOEVENTO="Manual",$M151=$A$15)),0,
         IF(OFFSET(CRONOPLE!$F$15,$M151-$A$15,BH$13)=0,10^12,OFFSET(CRONOPLE!$F$15,$M151-$A$15,BH$13)))</f>
        <v>6</v>
      </c>
      <c r="BI151" s="171">
        <f ca="1">IF(OR($D151&lt;&gt;"Serviço",AND(AUTOEVENTO="Manual",$M151=$A$15)),0,
         IF(OFFSET(CRONOPLE!$F$15,$M151-$A$15,BI$13)=0,10^12,OFFSET(CRONOPLE!$F$15,$M151-$A$15,BI$13)))</f>
        <v>1000000000000</v>
      </c>
      <c r="BJ151" s="171">
        <f ca="1">IF(OR($D151&lt;&gt;"Serviço",AND(AUTOEVENTO="Manual",$M151=$A$15)),0,
         IF(OFFSET(CRONOPLE!$F$15,$M151-$A$15,BJ$13)=0,10^12,OFFSET(CRONOPLE!$F$15,$M151-$A$15,BJ$13)))</f>
        <v>1000000000000</v>
      </c>
      <c r="BK151" s="171">
        <f ca="1">IF(OR($D151&lt;&gt;"Serviço",AND(AUTOEVENTO="Manual",$M151=$A$15)),0,
         IF(OFFSET(CRONOPLE!$F$15,$M151-$A$15,BK$13)=0,10^12,OFFSET(CRONOPLE!$F$15,$M151-$A$15,BK$13)))</f>
        <v>1000000000000</v>
      </c>
      <c r="BL151" s="171">
        <f ca="1">IF(OR($D151&lt;&gt;"Serviço",AND(AUTOEVENTO="Manual",$M151=$A$15)),0,
         IF(OFFSET(CRONOPLE!$F$15,$M151-$A$15,BL$13)=0,10^12,OFFSET(CRONOPLE!$F$15,$M151-$A$15,BL$13)))</f>
        <v>1000000000000</v>
      </c>
      <c r="BM151" s="171">
        <f ca="1">IF(OR($D151&lt;&gt;"Serviço",AND(AUTOEVENTO="Manual",$M151=$A$15)),0,
         IF(OFFSET(CRONOPLE!$F$15,$M151-$A$15,BM$13)=0,10^12,OFFSET(CRONOPLE!$F$15,$M151-$A$15,BM$13)))</f>
        <v>1000000000000</v>
      </c>
      <c r="BN151" s="171">
        <f ca="1">IF(OR($D151&lt;&gt;"Serviço",AND(AUTOEVENTO="Manual",$M151=$A$15)),0,
         IF(OFFSET(CRONOPLE!$F$15,$M151-$A$15,BN$13)=0,10^12,OFFSET(CRONOPLE!$F$15,$M151-$A$15,BN$13)))</f>
        <v>1000000000000</v>
      </c>
      <c r="BO151" s="171">
        <f ca="1">IF(OR($D151&lt;&gt;"Serviço",AND(AUTOEVENTO="Manual",$M151=$A$15)),0,
         IF(OFFSET(CRONOPLE!$F$15,$M151-$A$15,BO$13)=0,10^12,OFFSET(CRONOPLE!$F$15,$M151-$A$15,BO$13)))</f>
        <v>1000000000000</v>
      </c>
      <c r="BP151" s="171">
        <f ca="1">IF(OR($D151&lt;&gt;"Serviço",AND(AUTOEVENTO="Manual",$M151=$A$15)),0,
         IF(OFFSET(CRONOPLE!$F$15,$M151-$A$15,BP$13)=0,10^12,OFFSET(CRONOPLE!$F$15,$M151-$A$15,BP$13)))</f>
        <v>1000000000000</v>
      </c>
      <c r="BQ151" s="171">
        <f ca="1">IF(OR($D151&lt;&gt;"Serviço",AND(AUTOEVENTO="Manual",$M151=$A$15)),0,
         IF(OFFSET(CRONOPLE!$F$15,$M151-$A$15,BQ$13)=0,10^12,OFFSET(CRONOPLE!$F$15,$M151-$A$15,BQ$13)))</f>
        <v>1000000000000</v>
      </c>
      <c r="BR151" s="171">
        <f ca="1">IF(OR($D151&lt;&gt;"Serviço",AND(AUTOEVENTO="Manual",$M151=$A$15)),0,
         IF(OFFSET(CRONOPLE!$F$15,$M151-$A$15,BR$13)=0,10^12,OFFSET(CRONOPLE!$F$15,$M151-$A$15,BR$13)))</f>
        <v>1000000000000</v>
      </c>
      <c r="BS151" s="171">
        <f ca="1">IF(OR($D151&lt;&gt;"Serviço",AND(AUTOEVENTO="Manual",$M151=$A$15)),0,
         IF(OFFSET(CRONOPLE!$F$15,$M151-$A$15,BS$13)=0,10^12,OFFSET(CRONOPLE!$F$15,$M151-$A$15,BS$13)))</f>
        <v>1000000000000</v>
      </c>
      <c r="BT151" s="171">
        <f ca="1">IF(OR($D151&lt;&gt;"Serviço",AND(AUTOEVENTO="Manual",$M151=$A$15)),0,
         IF(OFFSET(CRONOPLE!$F$15,$M151-$A$15,BT$13)=0,10^12,OFFSET(CRONOPLE!$F$15,$M151-$A$15,BT$13)))</f>
        <v>1000000000000</v>
      </c>
      <c r="BV151" s="172">
        <f ca="1">IF(OR($D151&lt;&gt;"Serviço",AND(AUTOEVENTO="Manual",$M151=$A$15),$M151&gt;(ROW(PLE.lastrow)-ROW(PLE.firstrow))),0,
           IF(OFFSET(PLE!$G$15,$M151-$A$15,BV$13)="",10^12,OFFSET(PLE!$G$15,$M151-$A$15,BV$13)))</f>
        <v>1000000000000</v>
      </c>
      <c r="BW151" s="172">
        <f ca="1">IF(OR($D151&lt;&gt;"Serviço",AND(AUTOEVENTO="Manual",$M151=$A$15),$M151&gt;(ROW(PLE.lastrow)-ROW(PLE.firstrow))),0,
           IF(OFFSET(PLE!$G$15,$M151-$A$15,BW$13)="",10^12,OFFSET(PLE!$G$15,$M151-$A$15,BW$13)))</f>
        <v>1000000000000</v>
      </c>
      <c r="BX151" s="172">
        <f ca="1">IF(OR($D151&lt;&gt;"Serviço",AND(AUTOEVENTO="Manual",$M151=$A$15),$M151&gt;(ROW(PLE.lastrow)-ROW(PLE.firstrow))),0,
           IF(OFFSET(PLE!$G$15,$M151-$A$15,BX$13)="",10^12,OFFSET(PLE!$G$15,$M151-$A$15,BX$13)))</f>
        <v>1000000000000</v>
      </c>
      <c r="BY151" s="172">
        <f ca="1">IF(OR($D151&lt;&gt;"Serviço",AND(AUTOEVENTO="Manual",$M151=$A$15),$M151&gt;(ROW(PLE.lastrow)-ROW(PLE.firstrow))),0,
           IF(OFFSET(PLE!$G$15,$M151-$A$15,BY$13)="",10^12,OFFSET(PLE!$G$15,$M151-$A$15,BY$13)))</f>
        <v>1000000000000</v>
      </c>
      <c r="BZ151" s="172">
        <f ca="1">IF(OR($D151&lt;&gt;"Serviço",AND(AUTOEVENTO="Manual",$M151=$A$15),$M151&gt;(ROW(PLE.lastrow)-ROW(PLE.firstrow))),0,
           IF(OFFSET(PLE!$G$15,$M151-$A$15,BZ$13)="",10^12,OFFSET(PLE!$G$15,$M151-$A$15,BZ$13)))</f>
        <v>1000000000000</v>
      </c>
      <c r="CA151" s="172">
        <f ca="1">IF(OR($D151&lt;&gt;"Serviço",AND(AUTOEVENTO="Manual",$M151=$A$15),$M151&gt;(ROW(PLE.lastrow)-ROW(PLE.firstrow))),0,
           IF(OFFSET(PLE!$G$15,$M151-$A$15,CA$13)="",10^12,OFFSET(PLE!$G$15,$M151-$A$15,CA$13)))</f>
        <v>1000000000000</v>
      </c>
      <c r="CB151" s="172">
        <f ca="1">IF(OR($D151&lt;&gt;"Serviço",AND(AUTOEVENTO="Manual",$M151=$A$15),$M151&gt;(ROW(PLE.lastrow)-ROW(PLE.firstrow))),0,
           IF(OFFSET(PLE!$G$15,$M151-$A$15,CB$13)="",10^12,OFFSET(PLE!$G$15,$M151-$A$15,CB$13)))</f>
        <v>1000000000000</v>
      </c>
      <c r="CC151" s="172">
        <f ca="1">IF(OR($D151&lt;&gt;"Serviço",AND(AUTOEVENTO="Manual",$M151=$A$15),$M151&gt;(ROW(PLE.lastrow)-ROW(PLE.firstrow))),0,
           IF(OFFSET(PLE!$G$15,$M151-$A$15,CC$13)="",10^12,OFFSET(PLE!$G$15,$M151-$A$15,CC$13)))</f>
        <v>1000000000000</v>
      </c>
      <c r="CD151" s="172">
        <f ca="1">IF(OR($D151&lt;&gt;"Serviço",AND(AUTOEVENTO="Manual",$M151=$A$15),$M151&gt;(ROW(PLE.lastrow)-ROW(PLE.firstrow))),0,
           IF(OFFSET(PLE!$G$15,$M151-$A$15,CD$13)="",10^12,OFFSET(PLE!$G$15,$M151-$A$15,CD$13)))</f>
        <v>1000000000000</v>
      </c>
      <c r="CE151" s="172">
        <f ca="1">IF(OR($D151&lt;&gt;"Serviço",AND(AUTOEVENTO="Manual",$M151=$A$15),$M151&gt;(ROW(PLE.lastrow)-ROW(PLE.firstrow))),0,
           IF(OFFSET(PLE!$G$15,$M151-$A$15,CE$13)="",10^12,OFFSET(PLE!$G$15,$M151-$A$15,CE$13)))</f>
        <v>1000000000000</v>
      </c>
      <c r="CF151" s="172">
        <f ca="1">IF(OR($D151&lt;&gt;"Serviço",AND(AUTOEVENTO="Manual",$M151=$A$15),$M151&gt;(ROW(PLE.lastrow)-ROW(PLE.firstrow))),0,
           IF(OFFSET(PLE!$G$15,$M151-$A$15,CF$13)="",10^12,OFFSET(PLE!$G$15,$M151-$A$15,CF$13)))</f>
        <v>1000000000000</v>
      </c>
      <c r="CG151" s="172">
        <f ca="1">IF(OR($D151&lt;&gt;"Serviço",AND(AUTOEVENTO="Manual",$M151=$A$15),$M151&gt;(ROW(PLE.lastrow)-ROW(PLE.firstrow))),0,
           IF(OFFSET(PLE!$G$15,$M151-$A$15,CG$13)="",10^12,OFFSET(PLE!$G$15,$M151-$A$15,CG$13)))</f>
        <v>1000000000000</v>
      </c>
      <c r="CH151" s="172">
        <f ca="1">IF(OR($D151&lt;&gt;"Serviço",AND(AUTOEVENTO="Manual",$M151=$A$15),$M151&gt;(ROW(PLE.lastrow)-ROW(PLE.firstrow))),0,
           IF(OFFSET(PLE!$G$15,$M151-$A$15,CH$13)="",10^12,OFFSET(PLE!$G$15,$M151-$A$15,CH$13)))</f>
        <v>1000000000000</v>
      </c>
      <c r="CI151" s="172">
        <f ca="1">IF(OR($D151&lt;&gt;"Serviço",AND(AUTOEVENTO="Manual",$M151=$A$15),$M151&gt;(ROW(PLE.lastrow)-ROW(PLE.firstrow))),0,
           IF(OFFSET(PLE!$G$15,$M151-$A$15,CI$13)="",10^12,OFFSET(PLE!$G$15,$M151-$A$15,CI$13)))</f>
        <v>1000000000000</v>
      </c>
      <c r="CJ151" s="172">
        <f ca="1">IF(OR($D151&lt;&gt;"Serviço",AND(AUTOEVENTO="Manual",$M151=$A$15),$M151&gt;(ROW(PLE.lastrow)-ROW(PLE.firstrow))),0,
           IF(OFFSET(PLE!$G$15,$M151-$A$15,CJ$13)="",10^12,OFFSET(PLE!$G$15,$M151-$A$15,CJ$13)))</f>
        <v>1000000000000</v>
      </c>
      <c r="CK151" s="172">
        <f ca="1">IF(OR($D151&lt;&gt;"Serviço",AND(AUTOEVENTO="Manual",$M151=$A$15),$M151&gt;(ROW(PLE.lastrow)-ROW(PLE.firstrow))),0,
           IF(OFFSET(PLE!$G$15,$M151-$A$15,CK$13)="",10^12,OFFSET(PLE!$G$15,$M151-$A$15,CK$13)))</f>
        <v>1000000000000</v>
      </c>
      <c r="CL151" s="172">
        <f ca="1">IF(OR($D151&lt;&gt;"Serviço",AND(AUTOEVENTO="Manual",$M151=$A$15),$M151&gt;(ROW(PLE.lastrow)-ROW(PLE.firstrow))),0,
           IF(OFFSET(PLE!$G$15,$M151-$A$15,CL$13)="",10^12,OFFSET(PLE!$G$15,$M151-$A$15,CL$13)))</f>
        <v>1000000000000</v>
      </c>
      <c r="CM151" s="172">
        <f ca="1">IF(OR($D151&lt;&gt;"Serviço",AND(AUTOEVENTO="Manual",$M151=$A$15),$M151&gt;(ROW(PLE.lastrow)-ROW(PLE.firstrow))),0,
           IF(OFFSET(PLE!$G$15,$M151-$A$15,CM$13)="",10^12,OFFSET(PLE!$G$15,$M151-$A$15,CM$13)))</f>
        <v>1000000000000</v>
      </c>
    </row>
    <row r="152" spans="1:91" ht="13.2" x14ac:dyDescent="0.25">
      <c r="A152" s="7" t="str">
        <f t="shared" ca="1" si="11"/>
        <v>126</v>
      </c>
      <c r="B152" s="7" t="str">
        <f ca="1">OFFSET(ORÇAMENTO!C$15,ROW(B152)-ROW(B$15),0)</f>
        <v>S</v>
      </c>
      <c r="C152" s="7" t="str">
        <f ca="1">OFFSET(ORÇAMENTO!L$15,ROW(C152)-ROW(C$15),0)</f>
        <v>F</v>
      </c>
      <c r="D152" s="116" t="str">
        <f ca="1">OFFSET(ORÇAMENTO!N$15,ROW(D152)-ROW(D$15),0)</f>
        <v>Serviço</v>
      </c>
      <c r="E152" s="117" t="str">
        <f ca="1">OFFSET(ORÇAMENTO!O$15,ROW(E152)-ROW(E$15),0)</f>
        <v>4.2.11.</v>
      </c>
      <c r="F152" s="163" t="str">
        <f ca="1">OFFSET(ORÇAMENTO!R$15,ROW(F152)-ROW(F$15),0)</f>
        <v>Concreto asfáltico - faixa C-12,5 - areia e brita comerciais</v>
      </c>
      <c r="G152" s="164" t="str">
        <f ca="1">IF($D152&lt;&gt;"Serviço","",OFFSET(ORÇAMENTO!S$15,ROW(G152)-ROW(G$15),0))</f>
        <v>t</v>
      </c>
      <c r="H152" s="122" cm="1">
        <f t="array" aca="1" ref="H152" ca="1">IF($D152&lt;&gt;"Serviço",0,IF(ACOMPANHAMENTO="BM",ROUND(OFFSET(ORÇAMENTO!AJ$15,ROW(H152)-ROW(H$15),0),15-13*ORÇAMENTO!$AF$7),SUMPRODUCT(($Q$1:$AI$1=1)*ROUND($Q152:$AI152,15-13*ORÇAMENTO!$AF$7))))</f>
        <v>228.3</v>
      </c>
      <c r="I152" s="468"/>
      <c r="J152" s="651" t="e" cm="1">
        <f t="array" aca="1" ref="J152" ca="1">IF(OR(B152&lt;&gt;"S",CÁLCULO.FrentesPreenchidas=0),"",IF(AND(ACOMPANHAMENTO="PLE",AUTOEVENTO="Manual",OR(H152&gt;0,ORÇAMENTO!AC152="QUANT."),OR(K152="",M152=0,N152="")),"►E",IF(AND(ACOMPANHAMENTO="PLE",ORÇAMENTO!AC152="QUANT."),"►Q",IF(AND(ACOMPANHAMENTO="PLE",H152&lt;&gt;SUMPRODUCT(($Q$1:$AI$1=1)*ROUND(Q152:AI152,15))),"►S",IF(AND(COUNTIF($P$11:$AI$11,"▼")=0,H152&gt;0,I152=""),"◄M","")))))</f>
        <v>#NAME?</v>
      </c>
      <c r="K152" s="652"/>
      <c r="L152" s="165" t="s">
        <v>764</v>
      </c>
      <c r="M152" s="166">
        <f ca="1">IF($D152&lt;&gt;"Serviço","",
          IF(AUTOEVENTO="manual",$A152,
                IF(ISERROR(MATCH($A152,$A$15:OFFSET($A152,-1,0),0)),MAX($M$15:OFFSET(M152,-1,0))+1,
                      INDEX($M$15:OFFSET(M152,-1,0),MATCH($A152,$A$15:OFFSET($A152,-1,0),0)))))</f>
        <v>20</v>
      </c>
      <c r="N152" s="167" t="str">
        <f ca="1">IF($D152&lt;&gt;"Serviço","",
         IF(AUTOEVENTO="Manual",
                IF($A152=0,"&lt;-- defina o número do agrupador",
                       OFFSET(EVENTOS!$D$15,$A152-$A$15,0)),
                OFFSET($F$15,$A152,0)))</f>
        <v>PAVIMENTAÇÃO</v>
      </c>
      <c r="O152" s="168"/>
      <c r="Q152" s="168"/>
      <c r="R152" s="169"/>
      <c r="S152" s="169"/>
      <c r="T152" s="169"/>
      <c r="U152" s="169"/>
      <c r="V152" s="169">
        <f>TRUNC(V149*0.04*2.51,2)</f>
        <v>228.3</v>
      </c>
      <c r="W152" s="169"/>
      <c r="X152" s="169"/>
      <c r="Y152" s="169"/>
      <c r="Z152" s="170"/>
      <c r="AA152" s="169"/>
      <c r="AB152" s="169"/>
      <c r="AC152" s="169"/>
      <c r="AD152" s="169"/>
      <c r="AE152" s="169"/>
      <c r="AF152" s="169"/>
      <c r="AG152" s="169"/>
      <c r="AH152" s="170"/>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L152" s="453">
        <f ca="1">IF(AND($D152="Serviço",AL$12&lt;&gt;0,$H152&gt;0,OR(AUTOEVENTO&lt;&gt;"manual",$M152&lt;&gt;$A$15)),
        IF(Import.TipoArredondamento&lt;&gt;"TransfereGOV",
              ROUND(OFFSET($P152,0,AL$13),15-13*ORÇAMENTO!$AF$7)/$H152*OFFSET(ORÇAMENTO!$X$15,ROW(AL152)-ROW(AL$15),0),
              ROUND(ROUND(OFFSET($P152,0,AL$13),15-13*ORÇAMENTO!$AF$7)*OFFSET(ORÇAMENTO!$W$15,ROW(AL152)-ROW(AL$15),0),15-13*ORÇAMENTO!$AF$11)),
         0)</f>
        <v>0</v>
      </c>
      <c r="AM152" s="453">
        <f ca="1">IF(AND($D152="Serviço",AM$12&lt;&gt;0,$H152&gt;0,OR(AUTOEVENTO&lt;&gt;"manual",$M152&lt;&gt;$A$15)),
        IF(Import.TipoArredondamento&lt;&gt;"TransfereGOV",
              ROUND(OFFSET($P152,0,AM$13),15-13*ORÇAMENTO!$AF$7)/$H152*OFFSET(ORÇAMENTO!$X$15,ROW(AM152)-ROW(AM$15),0),
              ROUND(ROUND(OFFSET($P152,0,AM$13),15-13*ORÇAMENTO!$AF$7)*OFFSET(ORÇAMENTO!$W$15,ROW(AM152)-ROW(AM$15),0),15-13*ORÇAMENTO!$AF$11)),
         0)</f>
        <v>0</v>
      </c>
      <c r="AN152" s="453">
        <f ca="1">IF(AND($D152="Serviço",AN$12&lt;&gt;0,$H152&gt;0,OR(AUTOEVENTO&lt;&gt;"manual",$M152&lt;&gt;$A$15)),
        IF(Import.TipoArredondamento&lt;&gt;"TransfereGOV",
              ROUND(OFFSET($P152,0,AN$13),15-13*ORÇAMENTO!$AF$7)/$H152*OFFSET(ORÇAMENTO!$X$15,ROW(AN152)-ROW(AN$15),0),
              ROUND(ROUND(OFFSET($P152,0,AN$13),15-13*ORÇAMENTO!$AF$7)*OFFSET(ORÇAMENTO!$W$15,ROW(AN152)-ROW(AN$15),0),15-13*ORÇAMENTO!$AF$11)),
         0)</f>
        <v>0</v>
      </c>
      <c r="AO152" s="453">
        <f ca="1">IF(AND($D152="Serviço",AO$12&lt;&gt;0,$H152&gt;0,OR(AUTOEVENTO&lt;&gt;"manual",$M152&lt;&gt;$A$15)),
        IF(Import.TipoArredondamento&lt;&gt;"TransfereGOV",
              ROUND(OFFSET($P152,0,AO$13),15-13*ORÇAMENTO!$AF$7)/$H152*OFFSET(ORÇAMENTO!$X$15,ROW(AO152)-ROW(AO$15),0),
              ROUND(ROUND(OFFSET($P152,0,AO$13),15-13*ORÇAMENTO!$AF$7)*OFFSET(ORÇAMENTO!$W$15,ROW(AO152)-ROW(AO$15),0),15-13*ORÇAMENTO!$AF$11)),
         0)</f>
        <v>53401.65</v>
      </c>
      <c r="AP152" s="453">
        <f ca="1">IF(AND($D152="Serviço",AP$12&lt;&gt;0,$H152&gt;0,OR(AUTOEVENTO&lt;&gt;"manual",$M152&lt;&gt;$A$15)),
        IF(Import.TipoArredondamento&lt;&gt;"TransfereGOV",
              ROUND(OFFSET($P152,0,AP$13),15-13*ORÇAMENTO!$AF$7)/$H152*OFFSET(ORÇAMENTO!$X$15,ROW(AP152)-ROW(AP$15),0),
              ROUND(ROUND(OFFSET($P152,0,AP$13),15-13*ORÇAMENTO!$AF$7)*OFFSET(ORÇAMENTO!$W$15,ROW(AP152)-ROW(AP$15),0),15-13*ORÇAMENTO!$AF$11)),
         0)</f>
        <v>0</v>
      </c>
      <c r="AQ152" s="453">
        <f ca="1">IF(AND($D152="Serviço",AQ$12&lt;&gt;0,$H152&gt;0,OR(AUTOEVENTO&lt;&gt;"manual",$M152&lt;&gt;$A$15)),
        IF(Import.TipoArredondamento&lt;&gt;"TransfereGOV",
              ROUND(OFFSET($P152,0,AQ$13),15-13*ORÇAMENTO!$AF$7)/$H152*OFFSET(ORÇAMENTO!$X$15,ROW(AQ152)-ROW(AQ$15),0),
              ROUND(ROUND(OFFSET($P152,0,AQ$13),15-13*ORÇAMENTO!$AF$7)*OFFSET(ORÇAMENTO!$W$15,ROW(AQ152)-ROW(AQ$15),0),15-13*ORÇAMENTO!$AF$11)),
         0)</f>
        <v>0</v>
      </c>
      <c r="AR152" s="453">
        <f ca="1">IF(AND($D152="Serviço",AR$12&lt;&gt;0,$H152&gt;0,OR(AUTOEVENTO&lt;&gt;"manual",$M152&lt;&gt;$A$15)),
        IF(Import.TipoArredondamento&lt;&gt;"TransfereGOV",
              ROUND(OFFSET($P152,0,AR$13),15-13*ORÇAMENTO!$AF$7)/$H152*OFFSET(ORÇAMENTO!$X$15,ROW(AR152)-ROW(AR$15),0),
              ROUND(ROUND(OFFSET($P152,0,AR$13),15-13*ORÇAMENTO!$AF$7)*OFFSET(ORÇAMENTO!$W$15,ROW(AR152)-ROW(AR$15),0),15-13*ORÇAMENTO!$AF$11)),
         0)</f>
        <v>0</v>
      </c>
      <c r="AS152" s="453">
        <f ca="1">IF(AND($D152="Serviço",AS$12&lt;&gt;0,$H152&gt;0,OR(AUTOEVENTO&lt;&gt;"manual",$M152&lt;&gt;$A$15)),
        IF(Import.TipoArredondamento&lt;&gt;"TransfereGOV",
              ROUND(OFFSET($P152,0,AS$13),15-13*ORÇAMENTO!$AF$7)/$H152*OFFSET(ORÇAMENTO!$X$15,ROW(AS152)-ROW(AS$15),0),
              ROUND(ROUND(OFFSET($P152,0,AS$13),15-13*ORÇAMENTO!$AF$7)*OFFSET(ORÇAMENTO!$W$15,ROW(AS152)-ROW(AS$15),0),15-13*ORÇAMENTO!$AF$11)),
         0)</f>
        <v>0</v>
      </c>
      <c r="AT152" s="453">
        <f ca="1">IF(AND($D152="Serviço",AT$12&lt;&gt;0,$H152&gt;0,OR(AUTOEVENTO&lt;&gt;"manual",$M152&lt;&gt;$A$15)),
        IF(Import.TipoArredondamento&lt;&gt;"TransfereGOV",
              ROUND(OFFSET($P152,0,AT$13),15-13*ORÇAMENTO!$AF$7)/$H152*OFFSET(ORÇAMENTO!$X$15,ROW(AT152)-ROW(AT$15),0),
              ROUND(ROUND(OFFSET($P152,0,AT$13),15-13*ORÇAMENTO!$AF$7)*OFFSET(ORÇAMENTO!$W$15,ROW(AT152)-ROW(AT$15),0),15-13*ORÇAMENTO!$AF$11)),
         0)</f>
        <v>0</v>
      </c>
      <c r="AU152" s="453">
        <f ca="1">IF(AND($D152="Serviço",AU$12&lt;&gt;0,$H152&gt;0,OR(AUTOEVENTO&lt;&gt;"manual",$M152&lt;&gt;$A$15)),
        IF(Import.TipoArredondamento&lt;&gt;"TransfereGOV",
              ROUND(OFFSET($P152,0,AU$13),15-13*ORÇAMENTO!$AF$7)/$H152*OFFSET(ORÇAMENTO!$X$15,ROW(AU152)-ROW(AU$15),0),
              ROUND(ROUND(OFFSET($P152,0,AU$13),15-13*ORÇAMENTO!$AF$7)*OFFSET(ORÇAMENTO!$W$15,ROW(AU152)-ROW(AU$15),0),15-13*ORÇAMENTO!$AF$11)),
         0)</f>
        <v>0</v>
      </c>
      <c r="AV152" s="453">
        <f ca="1">IF(AND($D152="Serviço",AV$12&lt;&gt;0,$H152&gt;0,OR(AUTOEVENTO&lt;&gt;"manual",$M152&lt;&gt;$A$15)),
        IF(Import.TipoArredondamento&lt;&gt;"TransfereGOV",
              ROUND(OFFSET($P152,0,AV$13),15-13*ORÇAMENTO!$AF$7)/$H152*OFFSET(ORÇAMENTO!$X$15,ROW(AV152)-ROW(AV$15),0),
              ROUND(ROUND(OFFSET($P152,0,AV$13),15-13*ORÇAMENTO!$AF$7)*OFFSET(ORÇAMENTO!$W$15,ROW(AV152)-ROW(AV$15),0),15-13*ORÇAMENTO!$AF$11)),
         0)</f>
        <v>0</v>
      </c>
      <c r="AW152" s="453">
        <f ca="1">IF(AND($D152="Serviço",AW$12&lt;&gt;0,$H152&gt;0,OR(AUTOEVENTO&lt;&gt;"manual",$M152&lt;&gt;$A$15)),
        IF(Import.TipoArredondamento&lt;&gt;"TransfereGOV",
              ROUND(OFFSET($P152,0,AW$13),15-13*ORÇAMENTO!$AF$7)/$H152*OFFSET(ORÇAMENTO!$X$15,ROW(AW152)-ROW(AW$15),0),
              ROUND(ROUND(OFFSET($P152,0,AW$13),15-13*ORÇAMENTO!$AF$7)*OFFSET(ORÇAMENTO!$W$15,ROW(AW152)-ROW(AW$15),0),15-13*ORÇAMENTO!$AF$11)),
         0)</f>
        <v>0</v>
      </c>
      <c r="AX152" s="453">
        <f ca="1">IF(AND($D152="Serviço",AX$12&lt;&gt;0,$H152&gt;0,OR(AUTOEVENTO&lt;&gt;"manual",$M152&lt;&gt;$A$15)),
        IF(Import.TipoArredondamento&lt;&gt;"TransfereGOV",
              ROUND(OFFSET($P152,0,AX$13),15-13*ORÇAMENTO!$AF$7)/$H152*OFFSET(ORÇAMENTO!$X$15,ROW(AX152)-ROW(AX$15),0),
              ROUND(ROUND(OFFSET($P152,0,AX$13),15-13*ORÇAMENTO!$AF$7)*OFFSET(ORÇAMENTO!$W$15,ROW(AX152)-ROW(AX$15),0),15-13*ORÇAMENTO!$AF$11)),
         0)</f>
        <v>0</v>
      </c>
      <c r="AY152" s="453">
        <f ca="1">IF(AND($D152="Serviço",AY$12&lt;&gt;0,$H152&gt;0,OR(AUTOEVENTO&lt;&gt;"manual",$M152&lt;&gt;$A$15)),
        IF(Import.TipoArredondamento&lt;&gt;"TransfereGOV",
              ROUND(OFFSET($P152,0,AY$13),15-13*ORÇAMENTO!$AF$7)/$H152*OFFSET(ORÇAMENTO!$X$15,ROW(AY152)-ROW(AY$15),0),
              ROUND(ROUND(OFFSET($P152,0,AY$13),15-13*ORÇAMENTO!$AF$7)*OFFSET(ORÇAMENTO!$W$15,ROW(AY152)-ROW(AY$15),0),15-13*ORÇAMENTO!$AF$11)),
         0)</f>
        <v>0</v>
      </c>
      <c r="AZ152" s="453">
        <f ca="1">IF(AND($D152="Serviço",AZ$12&lt;&gt;0,$H152&gt;0,OR(AUTOEVENTO&lt;&gt;"manual",$M152&lt;&gt;$A$15)),
        IF(Import.TipoArredondamento&lt;&gt;"TransfereGOV",
              ROUND(OFFSET($P152,0,AZ$13),15-13*ORÇAMENTO!$AF$7)/$H152*OFFSET(ORÇAMENTO!$X$15,ROW(AZ152)-ROW(AZ$15),0),
              ROUND(ROUND(OFFSET($P152,0,AZ$13),15-13*ORÇAMENTO!$AF$7)*OFFSET(ORÇAMENTO!$W$15,ROW(AZ152)-ROW(AZ$15),0),15-13*ORÇAMENTO!$AF$11)),
         0)</f>
        <v>0</v>
      </c>
      <c r="BA152" s="453">
        <f ca="1">IF(AND($D152="Serviço",BA$12&lt;&gt;0,$H152&gt;0,OR(AUTOEVENTO&lt;&gt;"manual",$M152&lt;&gt;$A$15)),
        IF(Import.TipoArredondamento&lt;&gt;"TransfereGOV",
              ROUND(OFFSET($P152,0,BA$13),15-13*ORÇAMENTO!$AF$7)/$H152*OFFSET(ORÇAMENTO!$X$15,ROW(BA152)-ROW(BA$15),0),
              ROUND(ROUND(OFFSET($P152,0,BA$13),15-13*ORÇAMENTO!$AF$7)*OFFSET(ORÇAMENTO!$W$15,ROW(BA152)-ROW(BA$15),0),15-13*ORÇAMENTO!$AF$11)),
         0)</f>
        <v>0</v>
      </c>
      <c r="BC152" s="171">
        <f ca="1">IF(OR($D152&lt;&gt;"Serviço",AND(AUTOEVENTO="Manual",$M152=$A$15)),0,
         IF(OFFSET(CRONOPLE!$F$15,$M152-$A$15,BC$13)=0,10^12,OFFSET(CRONOPLE!$F$15,$M152-$A$15,BC$13)))</f>
        <v>1000000000000</v>
      </c>
      <c r="BD152" s="171">
        <f ca="1">IF(OR($D152&lt;&gt;"Serviço",AND(AUTOEVENTO="Manual",$M152=$A$15)),0,
         IF(OFFSET(CRONOPLE!$F$15,$M152-$A$15,BD$13)=0,10^12,OFFSET(CRONOPLE!$F$15,$M152-$A$15,BD$13)))</f>
        <v>1000000000000</v>
      </c>
      <c r="BE152" s="171">
        <f ca="1">IF(OR($D152&lt;&gt;"Serviço",AND(AUTOEVENTO="Manual",$M152=$A$15)),0,
         IF(OFFSET(CRONOPLE!$F$15,$M152-$A$15,BE$13)=0,10^12,OFFSET(CRONOPLE!$F$15,$M152-$A$15,BE$13)))</f>
        <v>1000000000000</v>
      </c>
      <c r="BF152" s="171">
        <f ca="1">IF(OR($D152&lt;&gt;"Serviço",AND(AUTOEVENTO="Manual",$M152=$A$15)),0,
         IF(OFFSET(CRONOPLE!$F$15,$M152-$A$15,BF$13)=0,10^12,OFFSET(CRONOPLE!$F$15,$M152-$A$15,BF$13)))</f>
        <v>1000000000000</v>
      </c>
      <c r="BG152" s="171">
        <f ca="1">IF(OR($D152&lt;&gt;"Serviço",AND(AUTOEVENTO="Manual",$M152=$A$15)),0,
         IF(OFFSET(CRONOPLE!$F$15,$M152-$A$15,BG$13)=0,10^12,OFFSET(CRONOPLE!$F$15,$M152-$A$15,BG$13)))</f>
        <v>1000000000000</v>
      </c>
      <c r="BH152" s="171">
        <f ca="1">IF(OR($D152&lt;&gt;"Serviço",AND(AUTOEVENTO="Manual",$M152=$A$15)),0,
         IF(OFFSET(CRONOPLE!$F$15,$M152-$A$15,BH$13)=0,10^12,OFFSET(CRONOPLE!$F$15,$M152-$A$15,BH$13)))</f>
        <v>6</v>
      </c>
      <c r="BI152" s="171">
        <f ca="1">IF(OR($D152&lt;&gt;"Serviço",AND(AUTOEVENTO="Manual",$M152=$A$15)),0,
         IF(OFFSET(CRONOPLE!$F$15,$M152-$A$15,BI$13)=0,10^12,OFFSET(CRONOPLE!$F$15,$M152-$A$15,BI$13)))</f>
        <v>1000000000000</v>
      </c>
      <c r="BJ152" s="171">
        <f ca="1">IF(OR($D152&lt;&gt;"Serviço",AND(AUTOEVENTO="Manual",$M152=$A$15)),0,
         IF(OFFSET(CRONOPLE!$F$15,$M152-$A$15,BJ$13)=0,10^12,OFFSET(CRONOPLE!$F$15,$M152-$A$15,BJ$13)))</f>
        <v>1000000000000</v>
      </c>
      <c r="BK152" s="171">
        <f ca="1">IF(OR($D152&lt;&gt;"Serviço",AND(AUTOEVENTO="Manual",$M152=$A$15)),0,
         IF(OFFSET(CRONOPLE!$F$15,$M152-$A$15,BK$13)=0,10^12,OFFSET(CRONOPLE!$F$15,$M152-$A$15,BK$13)))</f>
        <v>1000000000000</v>
      </c>
      <c r="BL152" s="171">
        <f ca="1">IF(OR($D152&lt;&gt;"Serviço",AND(AUTOEVENTO="Manual",$M152=$A$15)),0,
         IF(OFFSET(CRONOPLE!$F$15,$M152-$A$15,BL$13)=0,10^12,OFFSET(CRONOPLE!$F$15,$M152-$A$15,BL$13)))</f>
        <v>1000000000000</v>
      </c>
      <c r="BM152" s="171">
        <f ca="1">IF(OR($D152&lt;&gt;"Serviço",AND(AUTOEVENTO="Manual",$M152=$A$15)),0,
         IF(OFFSET(CRONOPLE!$F$15,$M152-$A$15,BM$13)=0,10^12,OFFSET(CRONOPLE!$F$15,$M152-$A$15,BM$13)))</f>
        <v>1000000000000</v>
      </c>
      <c r="BN152" s="171">
        <f ca="1">IF(OR($D152&lt;&gt;"Serviço",AND(AUTOEVENTO="Manual",$M152=$A$15)),0,
         IF(OFFSET(CRONOPLE!$F$15,$M152-$A$15,BN$13)=0,10^12,OFFSET(CRONOPLE!$F$15,$M152-$A$15,BN$13)))</f>
        <v>1000000000000</v>
      </c>
      <c r="BO152" s="171">
        <f ca="1">IF(OR($D152&lt;&gt;"Serviço",AND(AUTOEVENTO="Manual",$M152=$A$15)),0,
         IF(OFFSET(CRONOPLE!$F$15,$M152-$A$15,BO$13)=0,10^12,OFFSET(CRONOPLE!$F$15,$M152-$A$15,BO$13)))</f>
        <v>1000000000000</v>
      </c>
      <c r="BP152" s="171">
        <f ca="1">IF(OR($D152&lt;&gt;"Serviço",AND(AUTOEVENTO="Manual",$M152=$A$15)),0,
         IF(OFFSET(CRONOPLE!$F$15,$M152-$A$15,BP$13)=0,10^12,OFFSET(CRONOPLE!$F$15,$M152-$A$15,BP$13)))</f>
        <v>1000000000000</v>
      </c>
      <c r="BQ152" s="171">
        <f ca="1">IF(OR($D152&lt;&gt;"Serviço",AND(AUTOEVENTO="Manual",$M152=$A$15)),0,
         IF(OFFSET(CRONOPLE!$F$15,$M152-$A$15,BQ$13)=0,10^12,OFFSET(CRONOPLE!$F$15,$M152-$A$15,BQ$13)))</f>
        <v>1000000000000</v>
      </c>
      <c r="BR152" s="171">
        <f ca="1">IF(OR($D152&lt;&gt;"Serviço",AND(AUTOEVENTO="Manual",$M152=$A$15)),0,
         IF(OFFSET(CRONOPLE!$F$15,$M152-$A$15,BR$13)=0,10^12,OFFSET(CRONOPLE!$F$15,$M152-$A$15,BR$13)))</f>
        <v>1000000000000</v>
      </c>
      <c r="BS152" s="171">
        <f ca="1">IF(OR($D152&lt;&gt;"Serviço",AND(AUTOEVENTO="Manual",$M152=$A$15)),0,
         IF(OFFSET(CRONOPLE!$F$15,$M152-$A$15,BS$13)=0,10^12,OFFSET(CRONOPLE!$F$15,$M152-$A$15,BS$13)))</f>
        <v>1000000000000</v>
      </c>
      <c r="BT152" s="171">
        <f ca="1">IF(OR($D152&lt;&gt;"Serviço",AND(AUTOEVENTO="Manual",$M152=$A$15)),0,
         IF(OFFSET(CRONOPLE!$F$15,$M152-$A$15,BT$13)=0,10^12,OFFSET(CRONOPLE!$F$15,$M152-$A$15,BT$13)))</f>
        <v>1000000000000</v>
      </c>
      <c r="BV152" s="172">
        <f ca="1">IF(OR($D152&lt;&gt;"Serviço",AND(AUTOEVENTO="Manual",$M152=$A$15),$M152&gt;(ROW(PLE.lastrow)-ROW(PLE.firstrow))),0,
           IF(OFFSET(PLE!$G$15,$M152-$A$15,BV$13)="",10^12,OFFSET(PLE!$G$15,$M152-$A$15,BV$13)))</f>
        <v>1000000000000</v>
      </c>
      <c r="BW152" s="172">
        <f ca="1">IF(OR($D152&lt;&gt;"Serviço",AND(AUTOEVENTO="Manual",$M152=$A$15),$M152&gt;(ROW(PLE.lastrow)-ROW(PLE.firstrow))),0,
           IF(OFFSET(PLE!$G$15,$M152-$A$15,BW$13)="",10^12,OFFSET(PLE!$G$15,$M152-$A$15,BW$13)))</f>
        <v>1000000000000</v>
      </c>
      <c r="BX152" s="172">
        <f ca="1">IF(OR($D152&lt;&gt;"Serviço",AND(AUTOEVENTO="Manual",$M152=$A$15),$M152&gt;(ROW(PLE.lastrow)-ROW(PLE.firstrow))),0,
           IF(OFFSET(PLE!$G$15,$M152-$A$15,BX$13)="",10^12,OFFSET(PLE!$G$15,$M152-$A$15,BX$13)))</f>
        <v>1000000000000</v>
      </c>
      <c r="BY152" s="172">
        <f ca="1">IF(OR($D152&lt;&gt;"Serviço",AND(AUTOEVENTO="Manual",$M152=$A$15),$M152&gt;(ROW(PLE.lastrow)-ROW(PLE.firstrow))),0,
           IF(OFFSET(PLE!$G$15,$M152-$A$15,BY$13)="",10^12,OFFSET(PLE!$G$15,$M152-$A$15,BY$13)))</f>
        <v>1000000000000</v>
      </c>
      <c r="BZ152" s="172">
        <f ca="1">IF(OR($D152&lt;&gt;"Serviço",AND(AUTOEVENTO="Manual",$M152=$A$15),$M152&gt;(ROW(PLE.lastrow)-ROW(PLE.firstrow))),0,
           IF(OFFSET(PLE!$G$15,$M152-$A$15,BZ$13)="",10^12,OFFSET(PLE!$G$15,$M152-$A$15,BZ$13)))</f>
        <v>1000000000000</v>
      </c>
      <c r="CA152" s="172">
        <f ca="1">IF(OR($D152&lt;&gt;"Serviço",AND(AUTOEVENTO="Manual",$M152=$A$15),$M152&gt;(ROW(PLE.lastrow)-ROW(PLE.firstrow))),0,
           IF(OFFSET(PLE!$G$15,$M152-$A$15,CA$13)="",10^12,OFFSET(PLE!$G$15,$M152-$A$15,CA$13)))</f>
        <v>1000000000000</v>
      </c>
      <c r="CB152" s="172">
        <f ca="1">IF(OR($D152&lt;&gt;"Serviço",AND(AUTOEVENTO="Manual",$M152=$A$15),$M152&gt;(ROW(PLE.lastrow)-ROW(PLE.firstrow))),0,
           IF(OFFSET(PLE!$G$15,$M152-$A$15,CB$13)="",10^12,OFFSET(PLE!$G$15,$M152-$A$15,CB$13)))</f>
        <v>1000000000000</v>
      </c>
      <c r="CC152" s="172">
        <f ca="1">IF(OR($D152&lt;&gt;"Serviço",AND(AUTOEVENTO="Manual",$M152=$A$15),$M152&gt;(ROW(PLE.lastrow)-ROW(PLE.firstrow))),0,
           IF(OFFSET(PLE!$G$15,$M152-$A$15,CC$13)="",10^12,OFFSET(PLE!$G$15,$M152-$A$15,CC$13)))</f>
        <v>1000000000000</v>
      </c>
      <c r="CD152" s="172">
        <f ca="1">IF(OR($D152&lt;&gt;"Serviço",AND(AUTOEVENTO="Manual",$M152=$A$15),$M152&gt;(ROW(PLE.lastrow)-ROW(PLE.firstrow))),0,
           IF(OFFSET(PLE!$G$15,$M152-$A$15,CD$13)="",10^12,OFFSET(PLE!$G$15,$M152-$A$15,CD$13)))</f>
        <v>1000000000000</v>
      </c>
      <c r="CE152" s="172">
        <f ca="1">IF(OR($D152&lt;&gt;"Serviço",AND(AUTOEVENTO="Manual",$M152=$A$15),$M152&gt;(ROW(PLE.lastrow)-ROW(PLE.firstrow))),0,
           IF(OFFSET(PLE!$G$15,$M152-$A$15,CE$13)="",10^12,OFFSET(PLE!$G$15,$M152-$A$15,CE$13)))</f>
        <v>1000000000000</v>
      </c>
      <c r="CF152" s="172">
        <f ca="1">IF(OR($D152&lt;&gt;"Serviço",AND(AUTOEVENTO="Manual",$M152=$A$15),$M152&gt;(ROW(PLE.lastrow)-ROW(PLE.firstrow))),0,
           IF(OFFSET(PLE!$G$15,$M152-$A$15,CF$13)="",10^12,OFFSET(PLE!$G$15,$M152-$A$15,CF$13)))</f>
        <v>1000000000000</v>
      </c>
      <c r="CG152" s="172">
        <f ca="1">IF(OR($D152&lt;&gt;"Serviço",AND(AUTOEVENTO="Manual",$M152=$A$15),$M152&gt;(ROW(PLE.lastrow)-ROW(PLE.firstrow))),0,
           IF(OFFSET(PLE!$G$15,$M152-$A$15,CG$13)="",10^12,OFFSET(PLE!$G$15,$M152-$A$15,CG$13)))</f>
        <v>1000000000000</v>
      </c>
      <c r="CH152" s="172">
        <f ca="1">IF(OR($D152&lt;&gt;"Serviço",AND(AUTOEVENTO="Manual",$M152=$A$15),$M152&gt;(ROW(PLE.lastrow)-ROW(PLE.firstrow))),0,
           IF(OFFSET(PLE!$G$15,$M152-$A$15,CH$13)="",10^12,OFFSET(PLE!$G$15,$M152-$A$15,CH$13)))</f>
        <v>1000000000000</v>
      </c>
      <c r="CI152" s="172">
        <f ca="1">IF(OR($D152&lt;&gt;"Serviço",AND(AUTOEVENTO="Manual",$M152=$A$15),$M152&gt;(ROW(PLE.lastrow)-ROW(PLE.firstrow))),0,
           IF(OFFSET(PLE!$G$15,$M152-$A$15,CI$13)="",10^12,OFFSET(PLE!$G$15,$M152-$A$15,CI$13)))</f>
        <v>1000000000000</v>
      </c>
      <c r="CJ152" s="172">
        <f ca="1">IF(OR($D152&lt;&gt;"Serviço",AND(AUTOEVENTO="Manual",$M152=$A$15),$M152&gt;(ROW(PLE.lastrow)-ROW(PLE.firstrow))),0,
           IF(OFFSET(PLE!$G$15,$M152-$A$15,CJ$13)="",10^12,OFFSET(PLE!$G$15,$M152-$A$15,CJ$13)))</f>
        <v>1000000000000</v>
      </c>
      <c r="CK152" s="172">
        <f ca="1">IF(OR($D152&lt;&gt;"Serviço",AND(AUTOEVENTO="Manual",$M152=$A$15),$M152&gt;(ROW(PLE.lastrow)-ROW(PLE.firstrow))),0,
           IF(OFFSET(PLE!$G$15,$M152-$A$15,CK$13)="",10^12,OFFSET(PLE!$G$15,$M152-$A$15,CK$13)))</f>
        <v>1000000000000</v>
      </c>
      <c r="CL152" s="172">
        <f ca="1">IF(OR($D152&lt;&gt;"Serviço",AND(AUTOEVENTO="Manual",$M152=$A$15),$M152&gt;(ROW(PLE.lastrow)-ROW(PLE.firstrow))),0,
           IF(OFFSET(PLE!$G$15,$M152-$A$15,CL$13)="",10^12,OFFSET(PLE!$G$15,$M152-$A$15,CL$13)))</f>
        <v>1000000000000</v>
      </c>
      <c r="CM152" s="172">
        <f ca="1">IF(OR($D152&lt;&gt;"Serviço",AND(AUTOEVENTO="Manual",$M152=$A$15),$M152&gt;(ROW(PLE.lastrow)-ROW(PLE.firstrow))),0,
           IF(OFFSET(PLE!$G$15,$M152-$A$15,CM$13)="",10^12,OFFSET(PLE!$G$15,$M152-$A$15,CM$13)))</f>
        <v>1000000000000</v>
      </c>
    </row>
    <row r="153" spans="1:91" ht="13.2" x14ac:dyDescent="0.25">
      <c r="A153" s="7" t="str">
        <f t="shared" ca="1" si="11"/>
        <v>126</v>
      </c>
      <c r="B153" s="7" t="str">
        <f ca="1">OFFSET(ORÇAMENTO!C$15,ROW(B153)-ROW(B$15),0)</f>
        <v>S</v>
      </c>
      <c r="C153" s="7" t="str">
        <f ca="1">OFFSET(ORÇAMENTO!L$15,ROW(C153)-ROW(C$15),0)</f>
        <v>F</v>
      </c>
      <c r="D153" s="116" t="str">
        <f ca="1">OFFSET(ORÇAMENTO!N$15,ROW(D153)-ROW(D$15),0)</f>
        <v>Serviço</v>
      </c>
      <c r="E153" s="117" t="str">
        <f ca="1">OFFSET(ORÇAMENTO!O$15,ROW(E153)-ROW(E$15),0)</f>
        <v>4.2.12.</v>
      </c>
      <c r="F153" s="163" t="str">
        <f ca="1">OFFSET(ORÇAMENTO!R$15,ROW(F153)-ROW(F$15),0)</f>
        <v>Transporte com caminhão basculante de 10 m³ - rodovia pavimentada</v>
      </c>
      <c r="G153" s="164" t="str">
        <f ca="1">IF($D153&lt;&gt;"Serviço","",OFFSET(ORÇAMENTO!S$15,ROW(G153)-ROW(G$15),0))</f>
        <v>tkm</v>
      </c>
      <c r="H153" s="122" cm="1">
        <f t="array" aca="1" ref="H153" ca="1">IF($D153&lt;&gt;"Serviço",0,IF(ACOMPANHAMENTO="BM",ROUND(OFFSET(ORÇAMENTO!AJ$15,ROW(H153)-ROW(H$15),0),15-13*ORÇAMENTO!$AF$7),SUMPRODUCT(($Q$1:$AI$1=1)*ROUND($Q153:$AI153,15-13*ORÇAMENTO!$AF$7))))</f>
        <v>4794.3</v>
      </c>
      <c r="I153" s="468"/>
      <c r="J153" s="651" t="e" cm="1">
        <f t="array" aca="1" ref="J153" ca="1">IF(OR(B153&lt;&gt;"S",CÁLCULO.FrentesPreenchidas=0),"",IF(AND(ACOMPANHAMENTO="PLE",AUTOEVENTO="Manual",OR(H153&gt;0,ORÇAMENTO!AC153="QUANT."),OR(K153="",M153=0,N153="")),"►E",IF(AND(ACOMPANHAMENTO="PLE",ORÇAMENTO!AC153="QUANT."),"►Q",IF(AND(ACOMPANHAMENTO="PLE",H153&lt;&gt;SUMPRODUCT(($Q$1:$AI$1=1)*ROUND(Q153:AI153,15))),"►S",IF(AND(COUNTIF($P$11:$AI$11,"▼")=0,H153&gt;0,I153=""),"◄M","")))))</f>
        <v>#NAME?</v>
      </c>
      <c r="K153" s="652"/>
      <c r="L153" s="165" t="s">
        <v>764</v>
      </c>
      <c r="M153" s="166">
        <f ca="1">IF($D153&lt;&gt;"Serviço","",
          IF(AUTOEVENTO="manual",$A153,
                IF(ISERROR(MATCH($A153,$A$15:OFFSET($A153,-1,0),0)),MAX($M$15:OFFSET(M153,-1,0))+1,
                      INDEX($M$15:OFFSET(M153,-1,0),MATCH($A153,$A$15:OFFSET($A153,-1,0),0)))))</f>
        <v>20</v>
      </c>
      <c r="N153" s="167" t="str">
        <f ca="1">IF($D153&lt;&gt;"Serviço","",
         IF(AUTOEVENTO="Manual",
                IF($A153=0,"&lt;-- defina o número do agrupador",
                       OFFSET(EVENTOS!$D$15,$A153-$A$15,0)),
                OFFSET($F$15,$A153,0)))</f>
        <v>PAVIMENTAÇÃO</v>
      </c>
      <c r="O153" s="168"/>
      <c r="Q153" s="168"/>
      <c r="R153" s="169"/>
      <c r="S153" s="169"/>
      <c r="T153" s="169"/>
      <c r="U153" s="169"/>
      <c r="V153" s="169">
        <f>V152*21</f>
        <v>4794.3</v>
      </c>
      <c r="W153" s="169"/>
      <c r="X153" s="169"/>
      <c r="Y153" s="169"/>
      <c r="Z153" s="170"/>
      <c r="AA153" s="169"/>
      <c r="AB153" s="169"/>
      <c r="AC153" s="169"/>
      <c r="AD153" s="169"/>
      <c r="AE153" s="169"/>
      <c r="AF153" s="169"/>
      <c r="AG153" s="169"/>
      <c r="AH153" s="170"/>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L153" s="453">
        <f ca="1">IF(AND($D153="Serviço",AL$12&lt;&gt;0,$H153&gt;0,OR(AUTOEVENTO&lt;&gt;"manual",$M153&lt;&gt;$A$15)),
        IF(Import.TipoArredondamento&lt;&gt;"TransfereGOV",
              ROUND(OFFSET($P153,0,AL$13),15-13*ORÇAMENTO!$AF$7)/$H153*OFFSET(ORÇAMENTO!$X$15,ROW(AL153)-ROW(AL$15),0),
              ROUND(ROUND(OFFSET($P153,0,AL$13),15-13*ORÇAMENTO!$AF$7)*OFFSET(ORÇAMENTO!$W$15,ROW(AL153)-ROW(AL$15),0),15-13*ORÇAMENTO!$AF$11)),
         0)</f>
        <v>0</v>
      </c>
      <c r="AM153" s="453">
        <f ca="1">IF(AND($D153="Serviço",AM$12&lt;&gt;0,$H153&gt;0,OR(AUTOEVENTO&lt;&gt;"manual",$M153&lt;&gt;$A$15)),
        IF(Import.TipoArredondamento&lt;&gt;"TransfereGOV",
              ROUND(OFFSET($P153,0,AM$13),15-13*ORÇAMENTO!$AF$7)/$H153*OFFSET(ORÇAMENTO!$X$15,ROW(AM153)-ROW(AM$15),0),
              ROUND(ROUND(OFFSET($P153,0,AM$13),15-13*ORÇAMENTO!$AF$7)*OFFSET(ORÇAMENTO!$W$15,ROW(AM153)-ROW(AM$15),0),15-13*ORÇAMENTO!$AF$11)),
         0)</f>
        <v>0</v>
      </c>
      <c r="AN153" s="453">
        <f ca="1">IF(AND($D153="Serviço",AN$12&lt;&gt;0,$H153&gt;0,OR(AUTOEVENTO&lt;&gt;"manual",$M153&lt;&gt;$A$15)),
        IF(Import.TipoArredondamento&lt;&gt;"TransfereGOV",
              ROUND(OFFSET($P153,0,AN$13),15-13*ORÇAMENTO!$AF$7)/$H153*OFFSET(ORÇAMENTO!$X$15,ROW(AN153)-ROW(AN$15),0),
              ROUND(ROUND(OFFSET($P153,0,AN$13),15-13*ORÇAMENTO!$AF$7)*OFFSET(ORÇAMENTO!$W$15,ROW(AN153)-ROW(AN$15),0),15-13*ORÇAMENTO!$AF$11)),
         0)</f>
        <v>0</v>
      </c>
      <c r="AO153" s="453">
        <f ca="1">IF(AND($D153="Serviço",AO$12&lt;&gt;0,$H153&gt;0,OR(AUTOEVENTO&lt;&gt;"manual",$M153&lt;&gt;$A$15)),
        IF(Import.TipoArredondamento&lt;&gt;"TransfereGOV",
              ROUND(OFFSET($P153,0,AO$13),15-13*ORÇAMENTO!$AF$7)/$H153*OFFSET(ORÇAMENTO!$X$15,ROW(AO153)-ROW(AO$15),0),
              ROUND(ROUND(OFFSET($P153,0,AO$13),15-13*ORÇAMENTO!$AF$7)*OFFSET(ORÇAMENTO!$W$15,ROW(AO153)-ROW(AO$15),0),15-13*ORÇAMENTO!$AF$11)),
         0)</f>
        <v>4842.24</v>
      </c>
      <c r="AP153" s="453">
        <f ca="1">IF(AND($D153="Serviço",AP$12&lt;&gt;0,$H153&gt;0,OR(AUTOEVENTO&lt;&gt;"manual",$M153&lt;&gt;$A$15)),
        IF(Import.TipoArredondamento&lt;&gt;"TransfereGOV",
              ROUND(OFFSET($P153,0,AP$13),15-13*ORÇAMENTO!$AF$7)/$H153*OFFSET(ORÇAMENTO!$X$15,ROW(AP153)-ROW(AP$15),0),
              ROUND(ROUND(OFFSET($P153,0,AP$13),15-13*ORÇAMENTO!$AF$7)*OFFSET(ORÇAMENTO!$W$15,ROW(AP153)-ROW(AP$15),0),15-13*ORÇAMENTO!$AF$11)),
         0)</f>
        <v>0</v>
      </c>
      <c r="AQ153" s="453">
        <f ca="1">IF(AND($D153="Serviço",AQ$12&lt;&gt;0,$H153&gt;0,OR(AUTOEVENTO&lt;&gt;"manual",$M153&lt;&gt;$A$15)),
        IF(Import.TipoArredondamento&lt;&gt;"TransfereGOV",
              ROUND(OFFSET($P153,0,AQ$13),15-13*ORÇAMENTO!$AF$7)/$H153*OFFSET(ORÇAMENTO!$X$15,ROW(AQ153)-ROW(AQ$15),0),
              ROUND(ROUND(OFFSET($P153,0,AQ$13),15-13*ORÇAMENTO!$AF$7)*OFFSET(ORÇAMENTO!$W$15,ROW(AQ153)-ROW(AQ$15),0),15-13*ORÇAMENTO!$AF$11)),
         0)</f>
        <v>0</v>
      </c>
      <c r="AR153" s="453">
        <f ca="1">IF(AND($D153="Serviço",AR$12&lt;&gt;0,$H153&gt;0,OR(AUTOEVENTO&lt;&gt;"manual",$M153&lt;&gt;$A$15)),
        IF(Import.TipoArredondamento&lt;&gt;"TransfereGOV",
              ROUND(OFFSET($P153,0,AR$13),15-13*ORÇAMENTO!$AF$7)/$H153*OFFSET(ORÇAMENTO!$X$15,ROW(AR153)-ROW(AR$15),0),
              ROUND(ROUND(OFFSET($P153,0,AR$13),15-13*ORÇAMENTO!$AF$7)*OFFSET(ORÇAMENTO!$W$15,ROW(AR153)-ROW(AR$15),0),15-13*ORÇAMENTO!$AF$11)),
         0)</f>
        <v>0</v>
      </c>
      <c r="AS153" s="453">
        <f ca="1">IF(AND($D153="Serviço",AS$12&lt;&gt;0,$H153&gt;0,OR(AUTOEVENTO&lt;&gt;"manual",$M153&lt;&gt;$A$15)),
        IF(Import.TipoArredondamento&lt;&gt;"TransfereGOV",
              ROUND(OFFSET($P153,0,AS$13),15-13*ORÇAMENTO!$AF$7)/$H153*OFFSET(ORÇAMENTO!$X$15,ROW(AS153)-ROW(AS$15),0),
              ROUND(ROUND(OFFSET($P153,0,AS$13),15-13*ORÇAMENTO!$AF$7)*OFFSET(ORÇAMENTO!$W$15,ROW(AS153)-ROW(AS$15),0),15-13*ORÇAMENTO!$AF$11)),
         0)</f>
        <v>0</v>
      </c>
      <c r="AT153" s="453">
        <f ca="1">IF(AND($D153="Serviço",AT$12&lt;&gt;0,$H153&gt;0,OR(AUTOEVENTO&lt;&gt;"manual",$M153&lt;&gt;$A$15)),
        IF(Import.TipoArredondamento&lt;&gt;"TransfereGOV",
              ROUND(OFFSET($P153,0,AT$13),15-13*ORÇAMENTO!$AF$7)/$H153*OFFSET(ORÇAMENTO!$X$15,ROW(AT153)-ROW(AT$15),0),
              ROUND(ROUND(OFFSET($P153,0,AT$13),15-13*ORÇAMENTO!$AF$7)*OFFSET(ORÇAMENTO!$W$15,ROW(AT153)-ROW(AT$15),0),15-13*ORÇAMENTO!$AF$11)),
         0)</f>
        <v>0</v>
      </c>
      <c r="AU153" s="453">
        <f ca="1">IF(AND($D153="Serviço",AU$12&lt;&gt;0,$H153&gt;0,OR(AUTOEVENTO&lt;&gt;"manual",$M153&lt;&gt;$A$15)),
        IF(Import.TipoArredondamento&lt;&gt;"TransfereGOV",
              ROUND(OFFSET($P153,0,AU$13),15-13*ORÇAMENTO!$AF$7)/$H153*OFFSET(ORÇAMENTO!$X$15,ROW(AU153)-ROW(AU$15),0),
              ROUND(ROUND(OFFSET($P153,0,AU$13),15-13*ORÇAMENTO!$AF$7)*OFFSET(ORÇAMENTO!$W$15,ROW(AU153)-ROW(AU$15),0),15-13*ORÇAMENTO!$AF$11)),
         0)</f>
        <v>0</v>
      </c>
      <c r="AV153" s="453">
        <f ca="1">IF(AND($D153="Serviço",AV$12&lt;&gt;0,$H153&gt;0,OR(AUTOEVENTO&lt;&gt;"manual",$M153&lt;&gt;$A$15)),
        IF(Import.TipoArredondamento&lt;&gt;"TransfereGOV",
              ROUND(OFFSET($P153,0,AV$13),15-13*ORÇAMENTO!$AF$7)/$H153*OFFSET(ORÇAMENTO!$X$15,ROW(AV153)-ROW(AV$15),0),
              ROUND(ROUND(OFFSET($P153,0,AV$13),15-13*ORÇAMENTO!$AF$7)*OFFSET(ORÇAMENTO!$W$15,ROW(AV153)-ROW(AV$15),0),15-13*ORÇAMENTO!$AF$11)),
         0)</f>
        <v>0</v>
      </c>
      <c r="AW153" s="453">
        <f ca="1">IF(AND($D153="Serviço",AW$12&lt;&gt;0,$H153&gt;0,OR(AUTOEVENTO&lt;&gt;"manual",$M153&lt;&gt;$A$15)),
        IF(Import.TipoArredondamento&lt;&gt;"TransfereGOV",
              ROUND(OFFSET($P153,0,AW$13),15-13*ORÇAMENTO!$AF$7)/$H153*OFFSET(ORÇAMENTO!$X$15,ROW(AW153)-ROW(AW$15),0),
              ROUND(ROUND(OFFSET($P153,0,AW$13),15-13*ORÇAMENTO!$AF$7)*OFFSET(ORÇAMENTO!$W$15,ROW(AW153)-ROW(AW$15),0),15-13*ORÇAMENTO!$AF$11)),
         0)</f>
        <v>0</v>
      </c>
      <c r="AX153" s="453">
        <f ca="1">IF(AND($D153="Serviço",AX$12&lt;&gt;0,$H153&gt;0,OR(AUTOEVENTO&lt;&gt;"manual",$M153&lt;&gt;$A$15)),
        IF(Import.TipoArredondamento&lt;&gt;"TransfereGOV",
              ROUND(OFFSET($P153,0,AX$13),15-13*ORÇAMENTO!$AF$7)/$H153*OFFSET(ORÇAMENTO!$X$15,ROW(AX153)-ROW(AX$15),0),
              ROUND(ROUND(OFFSET($P153,0,AX$13),15-13*ORÇAMENTO!$AF$7)*OFFSET(ORÇAMENTO!$W$15,ROW(AX153)-ROW(AX$15),0),15-13*ORÇAMENTO!$AF$11)),
         0)</f>
        <v>0</v>
      </c>
      <c r="AY153" s="453">
        <f ca="1">IF(AND($D153="Serviço",AY$12&lt;&gt;0,$H153&gt;0,OR(AUTOEVENTO&lt;&gt;"manual",$M153&lt;&gt;$A$15)),
        IF(Import.TipoArredondamento&lt;&gt;"TransfereGOV",
              ROUND(OFFSET($P153,0,AY$13),15-13*ORÇAMENTO!$AF$7)/$H153*OFFSET(ORÇAMENTO!$X$15,ROW(AY153)-ROW(AY$15),0),
              ROUND(ROUND(OFFSET($P153,0,AY$13),15-13*ORÇAMENTO!$AF$7)*OFFSET(ORÇAMENTO!$W$15,ROW(AY153)-ROW(AY$15),0),15-13*ORÇAMENTO!$AF$11)),
         0)</f>
        <v>0</v>
      </c>
      <c r="AZ153" s="453">
        <f ca="1">IF(AND($D153="Serviço",AZ$12&lt;&gt;0,$H153&gt;0,OR(AUTOEVENTO&lt;&gt;"manual",$M153&lt;&gt;$A$15)),
        IF(Import.TipoArredondamento&lt;&gt;"TransfereGOV",
              ROUND(OFFSET($P153,0,AZ$13),15-13*ORÇAMENTO!$AF$7)/$H153*OFFSET(ORÇAMENTO!$X$15,ROW(AZ153)-ROW(AZ$15),0),
              ROUND(ROUND(OFFSET($P153,0,AZ$13),15-13*ORÇAMENTO!$AF$7)*OFFSET(ORÇAMENTO!$W$15,ROW(AZ153)-ROW(AZ$15),0),15-13*ORÇAMENTO!$AF$11)),
         0)</f>
        <v>0</v>
      </c>
      <c r="BA153" s="453">
        <f ca="1">IF(AND($D153="Serviço",BA$12&lt;&gt;0,$H153&gt;0,OR(AUTOEVENTO&lt;&gt;"manual",$M153&lt;&gt;$A$15)),
        IF(Import.TipoArredondamento&lt;&gt;"TransfereGOV",
              ROUND(OFFSET($P153,0,BA$13),15-13*ORÇAMENTO!$AF$7)/$H153*OFFSET(ORÇAMENTO!$X$15,ROW(BA153)-ROW(BA$15),0),
              ROUND(ROUND(OFFSET($P153,0,BA$13),15-13*ORÇAMENTO!$AF$7)*OFFSET(ORÇAMENTO!$W$15,ROW(BA153)-ROW(BA$15),0),15-13*ORÇAMENTO!$AF$11)),
         0)</f>
        <v>0</v>
      </c>
      <c r="BC153" s="171">
        <f ca="1">IF(OR($D153&lt;&gt;"Serviço",AND(AUTOEVENTO="Manual",$M153=$A$15)),0,
         IF(OFFSET(CRONOPLE!$F$15,$M153-$A$15,BC$13)=0,10^12,OFFSET(CRONOPLE!$F$15,$M153-$A$15,BC$13)))</f>
        <v>1000000000000</v>
      </c>
      <c r="BD153" s="171">
        <f ca="1">IF(OR($D153&lt;&gt;"Serviço",AND(AUTOEVENTO="Manual",$M153=$A$15)),0,
         IF(OFFSET(CRONOPLE!$F$15,$M153-$A$15,BD$13)=0,10^12,OFFSET(CRONOPLE!$F$15,$M153-$A$15,BD$13)))</f>
        <v>1000000000000</v>
      </c>
      <c r="BE153" s="171">
        <f ca="1">IF(OR($D153&lt;&gt;"Serviço",AND(AUTOEVENTO="Manual",$M153=$A$15)),0,
         IF(OFFSET(CRONOPLE!$F$15,$M153-$A$15,BE$13)=0,10^12,OFFSET(CRONOPLE!$F$15,$M153-$A$15,BE$13)))</f>
        <v>1000000000000</v>
      </c>
      <c r="BF153" s="171">
        <f ca="1">IF(OR($D153&lt;&gt;"Serviço",AND(AUTOEVENTO="Manual",$M153=$A$15)),0,
         IF(OFFSET(CRONOPLE!$F$15,$M153-$A$15,BF$13)=0,10^12,OFFSET(CRONOPLE!$F$15,$M153-$A$15,BF$13)))</f>
        <v>1000000000000</v>
      </c>
      <c r="BG153" s="171">
        <f ca="1">IF(OR($D153&lt;&gt;"Serviço",AND(AUTOEVENTO="Manual",$M153=$A$15)),0,
         IF(OFFSET(CRONOPLE!$F$15,$M153-$A$15,BG$13)=0,10^12,OFFSET(CRONOPLE!$F$15,$M153-$A$15,BG$13)))</f>
        <v>1000000000000</v>
      </c>
      <c r="BH153" s="171">
        <f ca="1">IF(OR($D153&lt;&gt;"Serviço",AND(AUTOEVENTO="Manual",$M153=$A$15)),0,
         IF(OFFSET(CRONOPLE!$F$15,$M153-$A$15,BH$13)=0,10^12,OFFSET(CRONOPLE!$F$15,$M153-$A$15,BH$13)))</f>
        <v>6</v>
      </c>
      <c r="BI153" s="171">
        <f ca="1">IF(OR($D153&lt;&gt;"Serviço",AND(AUTOEVENTO="Manual",$M153=$A$15)),0,
         IF(OFFSET(CRONOPLE!$F$15,$M153-$A$15,BI$13)=0,10^12,OFFSET(CRONOPLE!$F$15,$M153-$A$15,BI$13)))</f>
        <v>1000000000000</v>
      </c>
      <c r="BJ153" s="171">
        <f ca="1">IF(OR($D153&lt;&gt;"Serviço",AND(AUTOEVENTO="Manual",$M153=$A$15)),0,
         IF(OFFSET(CRONOPLE!$F$15,$M153-$A$15,BJ$13)=0,10^12,OFFSET(CRONOPLE!$F$15,$M153-$A$15,BJ$13)))</f>
        <v>1000000000000</v>
      </c>
      <c r="BK153" s="171">
        <f ca="1">IF(OR($D153&lt;&gt;"Serviço",AND(AUTOEVENTO="Manual",$M153=$A$15)),0,
         IF(OFFSET(CRONOPLE!$F$15,$M153-$A$15,BK$13)=0,10^12,OFFSET(CRONOPLE!$F$15,$M153-$A$15,BK$13)))</f>
        <v>1000000000000</v>
      </c>
      <c r="BL153" s="171">
        <f ca="1">IF(OR($D153&lt;&gt;"Serviço",AND(AUTOEVENTO="Manual",$M153=$A$15)),0,
         IF(OFFSET(CRONOPLE!$F$15,$M153-$A$15,BL$13)=0,10^12,OFFSET(CRONOPLE!$F$15,$M153-$A$15,BL$13)))</f>
        <v>1000000000000</v>
      </c>
      <c r="BM153" s="171">
        <f ca="1">IF(OR($D153&lt;&gt;"Serviço",AND(AUTOEVENTO="Manual",$M153=$A$15)),0,
         IF(OFFSET(CRONOPLE!$F$15,$M153-$A$15,BM$13)=0,10^12,OFFSET(CRONOPLE!$F$15,$M153-$A$15,BM$13)))</f>
        <v>1000000000000</v>
      </c>
      <c r="BN153" s="171">
        <f ca="1">IF(OR($D153&lt;&gt;"Serviço",AND(AUTOEVENTO="Manual",$M153=$A$15)),0,
         IF(OFFSET(CRONOPLE!$F$15,$M153-$A$15,BN$13)=0,10^12,OFFSET(CRONOPLE!$F$15,$M153-$A$15,BN$13)))</f>
        <v>1000000000000</v>
      </c>
      <c r="BO153" s="171">
        <f ca="1">IF(OR($D153&lt;&gt;"Serviço",AND(AUTOEVENTO="Manual",$M153=$A$15)),0,
         IF(OFFSET(CRONOPLE!$F$15,$M153-$A$15,BO$13)=0,10^12,OFFSET(CRONOPLE!$F$15,$M153-$A$15,BO$13)))</f>
        <v>1000000000000</v>
      </c>
      <c r="BP153" s="171">
        <f ca="1">IF(OR($D153&lt;&gt;"Serviço",AND(AUTOEVENTO="Manual",$M153=$A$15)),0,
         IF(OFFSET(CRONOPLE!$F$15,$M153-$A$15,BP$13)=0,10^12,OFFSET(CRONOPLE!$F$15,$M153-$A$15,BP$13)))</f>
        <v>1000000000000</v>
      </c>
      <c r="BQ153" s="171">
        <f ca="1">IF(OR($D153&lt;&gt;"Serviço",AND(AUTOEVENTO="Manual",$M153=$A$15)),0,
         IF(OFFSET(CRONOPLE!$F$15,$M153-$A$15,BQ$13)=0,10^12,OFFSET(CRONOPLE!$F$15,$M153-$A$15,BQ$13)))</f>
        <v>1000000000000</v>
      </c>
      <c r="BR153" s="171">
        <f ca="1">IF(OR($D153&lt;&gt;"Serviço",AND(AUTOEVENTO="Manual",$M153=$A$15)),0,
         IF(OFFSET(CRONOPLE!$F$15,$M153-$A$15,BR$13)=0,10^12,OFFSET(CRONOPLE!$F$15,$M153-$A$15,BR$13)))</f>
        <v>1000000000000</v>
      </c>
      <c r="BS153" s="171">
        <f ca="1">IF(OR($D153&lt;&gt;"Serviço",AND(AUTOEVENTO="Manual",$M153=$A$15)),0,
         IF(OFFSET(CRONOPLE!$F$15,$M153-$A$15,BS$13)=0,10^12,OFFSET(CRONOPLE!$F$15,$M153-$A$15,BS$13)))</f>
        <v>1000000000000</v>
      </c>
      <c r="BT153" s="171">
        <f ca="1">IF(OR($D153&lt;&gt;"Serviço",AND(AUTOEVENTO="Manual",$M153=$A$15)),0,
         IF(OFFSET(CRONOPLE!$F$15,$M153-$A$15,BT$13)=0,10^12,OFFSET(CRONOPLE!$F$15,$M153-$A$15,BT$13)))</f>
        <v>1000000000000</v>
      </c>
      <c r="BV153" s="172">
        <f ca="1">IF(OR($D153&lt;&gt;"Serviço",AND(AUTOEVENTO="Manual",$M153=$A$15),$M153&gt;(ROW(PLE.lastrow)-ROW(PLE.firstrow))),0,
           IF(OFFSET(PLE!$G$15,$M153-$A$15,BV$13)="",10^12,OFFSET(PLE!$G$15,$M153-$A$15,BV$13)))</f>
        <v>1000000000000</v>
      </c>
      <c r="BW153" s="172">
        <f ca="1">IF(OR($D153&lt;&gt;"Serviço",AND(AUTOEVENTO="Manual",$M153=$A$15),$M153&gt;(ROW(PLE.lastrow)-ROW(PLE.firstrow))),0,
           IF(OFFSET(PLE!$G$15,$M153-$A$15,BW$13)="",10^12,OFFSET(PLE!$G$15,$M153-$A$15,BW$13)))</f>
        <v>1000000000000</v>
      </c>
      <c r="BX153" s="172">
        <f ca="1">IF(OR($D153&lt;&gt;"Serviço",AND(AUTOEVENTO="Manual",$M153=$A$15),$M153&gt;(ROW(PLE.lastrow)-ROW(PLE.firstrow))),0,
           IF(OFFSET(PLE!$G$15,$M153-$A$15,BX$13)="",10^12,OFFSET(PLE!$G$15,$M153-$A$15,BX$13)))</f>
        <v>1000000000000</v>
      </c>
      <c r="BY153" s="172">
        <f ca="1">IF(OR($D153&lt;&gt;"Serviço",AND(AUTOEVENTO="Manual",$M153=$A$15),$M153&gt;(ROW(PLE.lastrow)-ROW(PLE.firstrow))),0,
           IF(OFFSET(PLE!$G$15,$M153-$A$15,BY$13)="",10^12,OFFSET(PLE!$G$15,$M153-$A$15,BY$13)))</f>
        <v>1000000000000</v>
      </c>
      <c r="BZ153" s="172">
        <f ca="1">IF(OR($D153&lt;&gt;"Serviço",AND(AUTOEVENTO="Manual",$M153=$A$15),$M153&gt;(ROW(PLE.lastrow)-ROW(PLE.firstrow))),0,
           IF(OFFSET(PLE!$G$15,$M153-$A$15,BZ$13)="",10^12,OFFSET(PLE!$G$15,$M153-$A$15,BZ$13)))</f>
        <v>1000000000000</v>
      </c>
      <c r="CA153" s="172">
        <f ca="1">IF(OR($D153&lt;&gt;"Serviço",AND(AUTOEVENTO="Manual",$M153=$A$15),$M153&gt;(ROW(PLE.lastrow)-ROW(PLE.firstrow))),0,
           IF(OFFSET(PLE!$G$15,$M153-$A$15,CA$13)="",10^12,OFFSET(PLE!$G$15,$M153-$A$15,CA$13)))</f>
        <v>1000000000000</v>
      </c>
      <c r="CB153" s="172">
        <f ca="1">IF(OR($D153&lt;&gt;"Serviço",AND(AUTOEVENTO="Manual",$M153=$A$15),$M153&gt;(ROW(PLE.lastrow)-ROW(PLE.firstrow))),0,
           IF(OFFSET(PLE!$G$15,$M153-$A$15,CB$13)="",10^12,OFFSET(PLE!$G$15,$M153-$A$15,CB$13)))</f>
        <v>1000000000000</v>
      </c>
      <c r="CC153" s="172">
        <f ca="1">IF(OR($D153&lt;&gt;"Serviço",AND(AUTOEVENTO="Manual",$M153=$A$15),$M153&gt;(ROW(PLE.lastrow)-ROW(PLE.firstrow))),0,
           IF(OFFSET(PLE!$G$15,$M153-$A$15,CC$13)="",10^12,OFFSET(PLE!$G$15,$M153-$A$15,CC$13)))</f>
        <v>1000000000000</v>
      </c>
      <c r="CD153" s="172">
        <f ca="1">IF(OR($D153&lt;&gt;"Serviço",AND(AUTOEVENTO="Manual",$M153=$A$15),$M153&gt;(ROW(PLE.lastrow)-ROW(PLE.firstrow))),0,
           IF(OFFSET(PLE!$G$15,$M153-$A$15,CD$13)="",10^12,OFFSET(PLE!$G$15,$M153-$A$15,CD$13)))</f>
        <v>1000000000000</v>
      </c>
      <c r="CE153" s="172">
        <f ca="1">IF(OR($D153&lt;&gt;"Serviço",AND(AUTOEVENTO="Manual",$M153=$A$15),$M153&gt;(ROW(PLE.lastrow)-ROW(PLE.firstrow))),0,
           IF(OFFSET(PLE!$G$15,$M153-$A$15,CE$13)="",10^12,OFFSET(PLE!$G$15,$M153-$A$15,CE$13)))</f>
        <v>1000000000000</v>
      </c>
      <c r="CF153" s="172">
        <f ca="1">IF(OR($D153&lt;&gt;"Serviço",AND(AUTOEVENTO="Manual",$M153=$A$15),$M153&gt;(ROW(PLE.lastrow)-ROW(PLE.firstrow))),0,
           IF(OFFSET(PLE!$G$15,$M153-$A$15,CF$13)="",10^12,OFFSET(PLE!$G$15,$M153-$A$15,CF$13)))</f>
        <v>1000000000000</v>
      </c>
      <c r="CG153" s="172">
        <f ca="1">IF(OR($D153&lt;&gt;"Serviço",AND(AUTOEVENTO="Manual",$M153=$A$15),$M153&gt;(ROW(PLE.lastrow)-ROW(PLE.firstrow))),0,
           IF(OFFSET(PLE!$G$15,$M153-$A$15,CG$13)="",10^12,OFFSET(PLE!$G$15,$M153-$A$15,CG$13)))</f>
        <v>1000000000000</v>
      </c>
      <c r="CH153" s="172">
        <f ca="1">IF(OR($D153&lt;&gt;"Serviço",AND(AUTOEVENTO="Manual",$M153=$A$15),$M153&gt;(ROW(PLE.lastrow)-ROW(PLE.firstrow))),0,
           IF(OFFSET(PLE!$G$15,$M153-$A$15,CH$13)="",10^12,OFFSET(PLE!$G$15,$M153-$A$15,CH$13)))</f>
        <v>1000000000000</v>
      </c>
      <c r="CI153" s="172">
        <f ca="1">IF(OR($D153&lt;&gt;"Serviço",AND(AUTOEVENTO="Manual",$M153=$A$15),$M153&gt;(ROW(PLE.lastrow)-ROW(PLE.firstrow))),0,
           IF(OFFSET(PLE!$G$15,$M153-$A$15,CI$13)="",10^12,OFFSET(PLE!$G$15,$M153-$A$15,CI$13)))</f>
        <v>1000000000000</v>
      </c>
      <c r="CJ153" s="172">
        <f ca="1">IF(OR($D153&lt;&gt;"Serviço",AND(AUTOEVENTO="Manual",$M153=$A$15),$M153&gt;(ROW(PLE.lastrow)-ROW(PLE.firstrow))),0,
           IF(OFFSET(PLE!$G$15,$M153-$A$15,CJ$13)="",10^12,OFFSET(PLE!$G$15,$M153-$A$15,CJ$13)))</f>
        <v>1000000000000</v>
      </c>
      <c r="CK153" s="172">
        <f ca="1">IF(OR($D153&lt;&gt;"Serviço",AND(AUTOEVENTO="Manual",$M153=$A$15),$M153&gt;(ROW(PLE.lastrow)-ROW(PLE.firstrow))),0,
           IF(OFFSET(PLE!$G$15,$M153-$A$15,CK$13)="",10^12,OFFSET(PLE!$G$15,$M153-$A$15,CK$13)))</f>
        <v>1000000000000</v>
      </c>
      <c r="CL153" s="172">
        <f ca="1">IF(OR($D153&lt;&gt;"Serviço",AND(AUTOEVENTO="Manual",$M153=$A$15),$M153&gt;(ROW(PLE.lastrow)-ROW(PLE.firstrow))),0,
           IF(OFFSET(PLE!$G$15,$M153-$A$15,CL$13)="",10^12,OFFSET(PLE!$G$15,$M153-$A$15,CL$13)))</f>
        <v>1000000000000</v>
      </c>
      <c r="CM153" s="172">
        <f ca="1">IF(OR($D153&lt;&gt;"Serviço",AND(AUTOEVENTO="Manual",$M153=$A$15),$M153&gt;(ROW(PLE.lastrow)-ROW(PLE.firstrow))),0,
           IF(OFFSET(PLE!$G$15,$M153-$A$15,CM$13)="",10^12,OFFSET(PLE!$G$15,$M153-$A$15,CM$13)))</f>
        <v>1000000000000</v>
      </c>
    </row>
    <row r="154" spans="1:91" ht="26.4" x14ac:dyDescent="0.25">
      <c r="A154" s="7" t="str">
        <f t="shared" ca="1" si="11"/>
        <v>126</v>
      </c>
      <c r="B154" s="7" t="str">
        <f ca="1">OFFSET(ORÇAMENTO!C$15,ROW(B154)-ROW(B$15),0)</f>
        <v>S</v>
      </c>
      <c r="C154" s="7" t="str">
        <f ca="1">OFFSET(ORÇAMENTO!L$15,ROW(C154)-ROW(C$15),0)</f>
        <v>F</v>
      </c>
      <c r="D154" s="116" t="str">
        <f ca="1">OFFSET(ORÇAMENTO!N$15,ROW(D154)-ROW(D$15),0)</f>
        <v>Serviço</v>
      </c>
      <c r="E154" s="117" t="str">
        <f ca="1">OFFSET(ORÇAMENTO!O$15,ROW(E154)-ROW(E$15),0)</f>
        <v>4.2.13.</v>
      </c>
      <c r="F154" s="163" t="str">
        <f ca="1">OFFSET(ORÇAMENTO!R$15,ROW(F154)-ROW(F$15),0)</f>
        <v>CIMENTO ASFÁLTICO CAP 50-70, COLETADO NA ANP, ACRESCIDO DE IMPOSTOS (ICMS, PIS, CONFINS)</v>
      </c>
      <c r="G154" s="164" t="str">
        <f ca="1">IF($D154&lt;&gt;"Serviço","",OFFSET(ORÇAMENTO!S$15,ROW(G154)-ROW(G$15),0))</f>
        <v>KG</v>
      </c>
      <c r="H154" s="122" cm="1">
        <f t="array" aca="1" ref="H154" ca="1">IF($D154&lt;&gt;"Serviço",0,IF(ACOMPANHAMENTO="BM",ROUND(OFFSET(ORÇAMENTO!AJ$15,ROW(H154)-ROW(H$15),0),15-13*ORÇAMENTO!$AF$7),SUMPRODUCT(($Q$1:$AI$1=1)*ROUND($Q154:$AI154,15-13*ORÇAMENTO!$AF$7))))</f>
        <v>12922.32</v>
      </c>
      <c r="I154" s="468"/>
      <c r="J154" s="651" t="e" cm="1">
        <f t="array" aca="1" ref="J154" ca="1">IF(OR(B154&lt;&gt;"S",CÁLCULO.FrentesPreenchidas=0),"",IF(AND(ACOMPANHAMENTO="PLE",AUTOEVENTO="Manual",OR(H154&gt;0,ORÇAMENTO!AC154="QUANT."),OR(K154="",M154=0,N154="")),"►E",IF(AND(ACOMPANHAMENTO="PLE",ORÇAMENTO!AC154="QUANT."),"►Q",IF(AND(ACOMPANHAMENTO="PLE",H154&lt;&gt;SUMPRODUCT(($Q$1:$AI$1=1)*ROUND(Q154:AI154,15))),"►S",IF(AND(COUNTIF($P$11:$AI$11,"▼")=0,H154&gt;0,I154=""),"◄M","")))))</f>
        <v>#NAME?</v>
      </c>
      <c r="K154" s="652"/>
      <c r="L154" s="165" t="s">
        <v>764</v>
      </c>
      <c r="M154" s="166">
        <f ca="1">IF($D154&lt;&gt;"Serviço","",
          IF(AUTOEVENTO="manual",$A154,
                IF(ISERROR(MATCH($A154,$A$15:OFFSET($A154,-1,0),0)),MAX($M$15:OFFSET(M154,-1,0))+1,
                      INDEX($M$15:OFFSET(M154,-1,0),MATCH($A154,$A$15:OFFSET($A154,-1,0),0)))))</f>
        <v>20</v>
      </c>
      <c r="N154" s="167" t="str">
        <f ca="1">IF($D154&lt;&gt;"Serviço","",
         IF(AUTOEVENTO="Manual",
                IF($A154=0,"&lt;-- defina o número do agrupador",
                       OFFSET(EVENTOS!$D$15,$A154-$A$15,0)),
                OFFSET($F$15,$A154,0)))</f>
        <v>PAVIMENTAÇÃO</v>
      </c>
      <c r="O154" s="168"/>
      <c r="Q154" s="168"/>
      <c r="R154" s="169"/>
      <c r="S154" s="169"/>
      <c r="T154" s="169"/>
      <c r="U154" s="169"/>
      <c r="V154" s="169">
        <v>12922.32</v>
      </c>
      <c r="W154" s="169"/>
      <c r="X154" s="169"/>
      <c r="Y154" s="169"/>
      <c r="Z154" s="170"/>
      <c r="AA154" s="169"/>
      <c r="AB154" s="169"/>
      <c r="AC154" s="169"/>
      <c r="AD154" s="169"/>
      <c r="AE154" s="169"/>
      <c r="AF154" s="169"/>
      <c r="AG154" s="169"/>
      <c r="AH154" s="170"/>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L154" s="453">
        <f ca="1">IF(AND($D154="Serviço",AL$12&lt;&gt;0,$H154&gt;0,OR(AUTOEVENTO&lt;&gt;"manual",$M154&lt;&gt;$A$15)),
        IF(Import.TipoArredondamento&lt;&gt;"TransfereGOV",
              ROUND(OFFSET($P154,0,AL$13),15-13*ORÇAMENTO!$AF$7)/$H154*OFFSET(ORÇAMENTO!$X$15,ROW(AL154)-ROW(AL$15),0),
              ROUND(ROUND(OFFSET($P154,0,AL$13),15-13*ORÇAMENTO!$AF$7)*OFFSET(ORÇAMENTO!$W$15,ROW(AL154)-ROW(AL$15),0),15-13*ORÇAMENTO!$AF$11)),
         0)</f>
        <v>0</v>
      </c>
      <c r="AM154" s="453">
        <f ca="1">IF(AND($D154="Serviço",AM$12&lt;&gt;0,$H154&gt;0,OR(AUTOEVENTO&lt;&gt;"manual",$M154&lt;&gt;$A$15)),
        IF(Import.TipoArredondamento&lt;&gt;"TransfereGOV",
              ROUND(OFFSET($P154,0,AM$13),15-13*ORÇAMENTO!$AF$7)/$H154*OFFSET(ORÇAMENTO!$X$15,ROW(AM154)-ROW(AM$15),0),
              ROUND(ROUND(OFFSET($P154,0,AM$13),15-13*ORÇAMENTO!$AF$7)*OFFSET(ORÇAMENTO!$W$15,ROW(AM154)-ROW(AM$15),0),15-13*ORÇAMENTO!$AF$11)),
         0)</f>
        <v>0</v>
      </c>
      <c r="AN154" s="453">
        <f ca="1">IF(AND($D154="Serviço",AN$12&lt;&gt;0,$H154&gt;0,OR(AUTOEVENTO&lt;&gt;"manual",$M154&lt;&gt;$A$15)),
        IF(Import.TipoArredondamento&lt;&gt;"TransfereGOV",
              ROUND(OFFSET($P154,0,AN$13),15-13*ORÇAMENTO!$AF$7)/$H154*OFFSET(ORÇAMENTO!$X$15,ROW(AN154)-ROW(AN$15),0),
              ROUND(ROUND(OFFSET($P154,0,AN$13),15-13*ORÇAMENTO!$AF$7)*OFFSET(ORÇAMENTO!$W$15,ROW(AN154)-ROW(AN$15),0),15-13*ORÇAMENTO!$AF$11)),
         0)</f>
        <v>0</v>
      </c>
      <c r="AO154" s="453">
        <f ca="1">IF(AND($D154="Serviço",AO$12&lt;&gt;0,$H154&gt;0,OR(AUTOEVENTO&lt;&gt;"manual",$M154&lt;&gt;$A$15)),
        IF(Import.TipoArredondamento&lt;&gt;"TransfereGOV",
              ROUND(OFFSET($P154,0,AO$13),15-13*ORÇAMENTO!$AF$7)/$H154*OFFSET(ORÇAMENTO!$X$15,ROW(AO154)-ROW(AO$15),0),
              ROUND(ROUND(OFFSET($P154,0,AO$13),15-13*ORÇAMENTO!$AF$7)*OFFSET(ORÇAMENTO!$W$15,ROW(AO154)-ROW(AO$15),0),15-13*ORÇAMENTO!$AF$11)),
         0)</f>
        <v>72235.77</v>
      </c>
      <c r="AP154" s="453">
        <f ca="1">IF(AND($D154="Serviço",AP$12&lt;&gt;0,$H154&gt;0,OR(AUTOEVENTO&lt;&gt;"manual",$M154&lt;&gt;$A$15)),
        IF(Import.TipoArredondamento&lt;&gt;"TransfereGOV",
              ROUND(OFFSET($P154,0,AP$13),15-13*ORÇAMENTO!$AF$7)/$H154*OFFSET(ORÇAMENTO!$X$15,ROW(AP154)-ROW(AP$15),0),
              ROUND(ROUND(OFFSET($P154,0,AP$13),15-13*ORÇAMENTO!$AF$7)*OFFSET(ORÇAMENTO!$W$15,ROW(AP154)-ROW(AP$15),0),15-13*ORÇAMENTO!$AF$11)),
         0)</f>
        <v>0</v>
      </c>
      <c r="AQ154" s="453">
        <f ca="1">IF(AND($D154="Serviço",AQ$12&lt;&gt;0,$H154&gt;0,OR(AUTOEVENTO&lt;&gt;"manual",$M154&lt;&gt;$A$15)),
        IF(Import.TipoArredondamento&lt;&gt;"TransfereGOV",
              ROUND(OFFSET($P154,0,AQ$13),15-13*ORÇAMENTO!$AF$7)/$H154*OFFSET(ORÇAMENTO!$X$15,ROW(AQ154)-ROW(AQ$15),0),
              ROUND(ROUND(OFFSET($P154,0,AQ$13),15-13*ORÇAMENTO!$AF$7)*OFFSET(ORÇAMENTO!$W$15,ROW(AQ154)-ROW(AQ$15),0),15-13*ORÇAMENTO!$AF$11)),
         0)</f>
        <v>0</v>
      </c>
      <c r="AR154" s="453">
        <f ca="1">IF(AND($D154="Serviço",AR$12&lt;&gt;0,$H154&gt;0,OR(AUTOEVENTO&lt;&gt;"manual",$M154&lt;&gt;$A$15)),
        IF(Import.TipoArredondamento&lt;&gt;"TransfereGOV",
              ROUND(OFFSET($P154,0,AR$13),15-13*ORÇAMENTO!$AF$7)/$H154*OFFSET(ORÇAMENTO!$X$15,ROW(AR154)-ROW(AR$15),0),
              ROUND(ROUND(OFFSET($P154,0,AR$13),15-13*ORÇAMENTO!$AF$7)*OFFSET(ORÇAMENTO!$W$15,ROW(AR154)-ROW(AR$15),0),15-13*ORÇAMENTO!$AF$11)),
         0)</f>
        <v>0</v>
      </c>
      <c r="AS154" s="453">
        <f ca="1">IF(AND($D154="Serviço",AS$12&lt;&gt;0,$H154&gt;0,OR(AUTOEVENTO&lt;&gt;"manual",$M154&lt;&gt;$A$15)),
        IF(Import.TipoArredondamento&lt;&gt;"TransfereGOV",
              ROUND(OFFSET($P154,0,AS$13),15-13*ORÇAMENTO!$AF$7)/$H154*OFFSET(ORÇAMENTO!$X$15,ROW(AS154)-ROW(AS$15),0),
              ROUND(ROUND(OFFSET($P154,0,AS$13),15-13*ORÇAMENTO!$AF$7)*OFFSET(ORÇAMENTO!$W$15,ROW(AS154)-ROW(AS$15),0),15-13*ORÇAMENTO!$AF$11)),
         0)</f>
        <v>0</v>
      </c>
      <c r="AT154" s="453">
        <f ca="1">IF(AND($D154="Serviço",AT$12&lt;&gt;0,$H154&gt;0,OR(AUTOEVENTO&lt;&gt;"manual",$M154&lt;&gt;$A$15)),
        IF(Import.TipoArredondamento&lt;&gt;"TransfereGOV",
              ROUND(OFFSET($P154,0,AT$13),15-13*ORÇAMENTO!$AF$7)/$H154*OFFSET(ORÇAMENTO!$X$15,ROW(AT154)-ROW(AT$15),0),
              ROUND(ROUND(OFFSET($P154,0,AT$13),15-13*ORÇAMENTO!$AF$7)*OFFSET(ORÇAMENTO!$W$15,ROW(AT154)-ROW(AT$15),0),15-13*ORÇAMENTO!$AF$11)),
         0)</f>
        <v>0</v>
      </c>
      <c r="AU154" s="453">
        <f ca="1">IF(AND($D154="Serviço",AU$12&lt;&gt;0,$H154&gt;0,OR(AUTOEVENTO&lt;&gt;"manual",$M154&lt;&gt;$A$15)),
        IF(Import.TipoArredondamento&lt;&gt;"TransfereGOV",
              ROUND(OFFSET($P154,0,AU$13),15-13*ORÇAMENTO!$AF$7)/$H154*OFFSET(ORÇAMENTO!$X$15,ROW(AU154)-ROW(AU$15),0),
              ROUND(ROUND(OFFSET($P154,0,AU$13),15-13*ORÇAMENTO!$AF$7)*OFFSET(ORÇAMENTO!$W$15,ROW(AU154)-ROW(AU$15),0),15-13*ORÇAMENTO!$AF$11)),
         0)</f>
        <v>0</v>
      </c>
      <c r="AV154" s="453">
        <f ca="1">IF(AND($D154="Serviço",AV$12&lt;&gt;0,$H154&gt;0,OR(AUTOEVENTO&lt;&gt;"manual",$M154&lt;&gt;$A$15)),
        IF(Import.TipoArredondamento&lt;&gt;"TransfereGOV",
              ROUND(OFFSET($P154,0,AV$13),15-13*ORÇAMENTO!$AF$7)/$H154*OFFSET(ORÇAMENTO!$X$15,ROW(AV154)-ROW(AV$15),0),
              ROUND(ROUND(OFFSET($P154,0,AV$13),15-13*ORÇAMENTO!$AF$7)*OFFSET(ORÇAMENTO!$W$15,ROW(AV154)-ROW(AV$15),0),15-13*ORÇAMENTO!$AF$11)),
         0)</f>
        <v>0</v>
      </c>
      <c r="AW154" s="453">
        <f ca="1">IF(AND($D154="Serviço",AW$12&lt;&gt;0,$H154&gt;0,OR(AUTOEVENTO&lt;&gt;"manual",$M154&lt;&gt;$A$15)),
        IF(Import.TipoArredondamento&lt;&gt;"TransfereGOV",
              ROUND(OFFSET($P154,0,AW$13),15-13*ORÇAMENTO!$AF$7)/$H154*OFFSET(ORÇAMENTO!$X$15,ROW(AW154)-ROW(AW$15),0),
              ROUND(ROUND(OFFSET($P154,0,AW$13),15-13*ORÇAMENTO!$AF$7)*OFFSET(ORÇAMENTO!$W$15,ROW(AW154)-ROW(AW$15),0),15-13*ORÇAMENTO!$AF$11)),
         0)</f>
        <v>0</v>
      </c>
      <c r="AX154" s="453">
        <f ca="1">IF(AND($D154="Serviço",AX$12&lt;&gt;0,$H154&gt;0,OR(AUTOEVENTO&lt;&gt;"manual",$M154&lt;&gt;$A$15)),
        IF(Import.TipoArredondamento&lt;&gt;"TransfereGOV",
              ROUND(OFFSET($P154,0,AX$13),15-13*ORÇAMENTO!$AF$7)/$H154*OFFSET(ORÇAMENTO!$X$15,ROW(AX154)-ROW(AX$15),0),
              ROUND(ROUND(OFFSET($P154,0,AX$13),15-13*ORÇAMENTO!$AF$7)*OFFSET(ORÇAMENTO!$W$15,ROW(AX154)-ROW(AX$15),0),15-13*ORÇAMENTO!$AF$11)),
         0)</f>
        <v>0</v>
      </c>
      <c r="AY154" s="453">
        <f ca="1">IF(AND($D154="Serviço",AY$12&lt;&gt;0,$H154&gt;0,OR(AUTOEVENTO&lt;&gt;"manual",$M154&lt;&gt;$A$15)),
        IF(Import.TipoArredondamento&lt;&gt;"TransfereGOV",
              ROUND(OFFSET($P154,0,AY$13),15-13*ORÇAMENTO!$AF$7)/$H154*OFFSET(ORÇAMENTO!$X$15,ROW(AY154)-ROW(AY$15),0),
              ROUND(ROUND(OFFSET($P154,0,AY$13),15-13*ORÇAMENTO!$AF$7)*OFFSET(ORÇAMENTO!$W$15,ROW(AY154)-ROW(AY$15),0),15-13*ORÇAMENTO!$AF$11)),
         0)</f>
        <v>0</v>
      </c>
      <c r="AZ154" s="453">
        <f ca="1">IF(AND($D154="Serviço",AZ$12&lt;&gt;0,$H154&gt;0,OR(AUTOEVENTO&lt;&gt;"manual",$M154&lt;&gt;$A$15)),
        IF(Import.TipoArredondamento&lt;&gt;"TransfereGOV",
              ROUND(OFFSET($P154,0,AZ$13),15-13*ORÇAMENTO!$AF$7)/$H154*OFFSET(ORÇAMENTO!$X$15,ROW(AZ154)-ROW(AZ$15),0),
              ROUND(ROUND(OFFSET($P154,0,AZ$13),15-13*ORÇAMENTO!$AF$7)*OFFSET(ORÇAMENTO!$W$15,ROW(AZ154)-ROW(AZ$15),0),15-13*ORÇAMENTO!$AF$11)),
         0)</f>
        <v>0</v>
      </c>
      <c r="BA154" s="453">
        <f ca="1">IF(AND($D154="Serviço",BA$12&lt;&gt;0,$H154&gt;0,OR(AUTOEVENTO&lt;&gt;"manual",$M154&lt;&gt;$A$15)),
        IF(Import.TipoArredondamento&lt;&gt;"TransfereGOV",
              ROUND(OFFSET($P154,0,BA$13),15-13*ORÇAMENTO!$AF$7)/$H154*OFFSET(ORÇAMENTO!$X$15,ROW(BA154)-ROW(BA$15),0),
              ROUND(ROUND(OFFSET($P154,0,BA$13),15-13*ORÇAMENTO!$AF$7)*OFFSET(ORÇAMENTO!$W$15,ROW(BA154)-ROW(BA$15),0),15-13*ORÇAMENTO!$AF$11)),
         0)</f>
        <v>0</v>
      </c>
      <c r="BC154" s="171">
        <f ca="1">IF(OR($D154&lt;&gt;"Serviço",AND(AUTOEVENTO="Manual",$M154=$A$15)),0,
         IF(OFFSET(CRONOPLE!$F$15,$M154-$A$15,BC$13)=0,10^12,OFFSET(CRONOPLE!$F$15,$M154-$A$15,BC$13)))</f>
        <v>1000000000000</v>
      </c>
      <c r="BD154" s="171">
        <f ca="1">IF(OR($D154&lt;&gt;"Serviço",AND(AUTOEVENTO="Manual",$M154=$A$15)),0,
         IF(OFFSET(CRONOPLE!$F$15,$M154-$A$15,BD$13)=0,10^12,OFFSET(CRONOPLE!$F$15,$M154-$A$15,BD$13)))</f>
        <v>1000000000000</v>
      </c>
      <c r="BE154" s="171">
        <f ca="1">IF(OR($D154&lt;&gt;"Serviço",AND(AUTOEVENTO="Manual",$M154=$A$15)),0,
         IF(OFFSET(CRONOPLE!$F$15,$M154-$A$15,BE$13)=0,10^12,OFFSET(CRONOPLE!$F$15,$M154-$A$15,BE$13)))</f>
        <v>1000000000000</v>
      </c>
      <c r="BF154" s="171">
        <f ca="1">IF(OR($D154&lt;&gt;"Serviço",AND(AUTOEVENTO="Manual",$M154=$A$15)),0,
         IF(OFFSET(CRONOPLE!$F$15,$M154-$A$15,BF$13)=0,10^12,OFFSET(CRONOPLE!$F$15,$M154-$A$15,BF$13)))</f>
        <v>1000000000000</v>
      </c>
      <c r="BG154" s="171">
        <f ca="1">IF(OR($D154&lt;&gt;"Serviço",AND(AUTOEVENTO="Manual",$M154=$A$15)),0,
         IF(OFFSET(CRONOPLE!$F$15,$M154-$A$15,BG$13)=0,10^12,OFFSET(CRONOPLE!$F$15,$M154-$A$15,BG$13)))</f>
        <v>1000000000000</v>
      </c>
      <c r="BH154" s="171">
        <f ca="1">IF(OR($D154&lt;&gt;"Serviço",AND(AUTOEVENTO="Manual",$M154=$A$15)),0,
         IF(OFFSET(CRONOPLE!$F$15,$M154-$A$15,BH$13)=0,10^12,OFFSET(CRONOPLE!$F$15,$M154-$A$15,BH$13)))</f>
        <v>6</v>
      </c>
      <c r="BI154" s="171">
        <f ca="1">IF(OR($D154&lt;&gt;"Serviço",AND(AUTOEVENTO="Manual",$M154=$A$15)),0,
         IF(OFFSET(CRONOPLE!$F$15,$M154-$A$15,BI$13)=0,10^12,OFFSET(CRONOPLE!$F$15,$M154-$A$15,BI$13)))</f>
        <v>1000000000000</v>
      </c>
      <c r="BJ154" s="171">
        <f ca="1">IF(OR($D154&lt;&gt;"Serviço",AND(AUTOEVENTO="Manual",$M154=$A$15)),0,
         IF(OFFSET(CRONOPLE!$F$15,$M154-$A$15,BJ$13)=0,10^12,OFFSET(CRONOPLE!$F$15,$M154-$A$15,BJ$13)))</f>
        <v>1000000000000</v>
      </c>
      <c r="BK154" s="171">
        <f ca="1">IF(OR($D154&lt;&gt;"Serviço",AND(AUTOEVENTO="Manual",$M154=$A$15)),0,
         IF(OFFSET(CRONOPLE!$F$15,$M154-$A$15,BK$13)=0,10^12,OFFSET(CRONOPLE!$F$15,$M154-$A$15,BK$13)))</f>
        <v>1000000000000</v>
      </c>
      <c r="BL154" s="171">
        <f ca="1">IF(OR($D154&lt;&gt;"Serviço",AND(AUTOEVENTO="Manual",$M154=$A$15)),0,
         IF(OFFSET(CRONOPLE!$F$15,$M154-$A$15,BL$13)=0,10^12,OFFSET(CRONOPLE!$F$15,$M154-$A$15,BL$13)))</f>
        <v>1000000000000</v>
      </c>
      <c r="BM154" s="171">
        <f ca="1">IF(OR($D154&lt;&gt;"Serviço",AND(AUTOEVENTO="Manual",$M154=$A$15)),0,
         IF(OFFSET(CRONOPLE!$F$15,$M154-$A$15,BM$13)=0,10^12,OFFSET(CRONOPLE!$F$15,$M154-$A$15,BM$13)))</f>
        <v>1000000000000</v>
      </c>
      <c r="BN154" s="171">
        <f ca="1">IF(OR($D154&lt;&gt;"Serviço",AND(AUTOEVENTO="Manual",$M154=$A$15)),0,
         IF(OFFSET(CRONOPLE!$F$15,$M154-$A$15,BN$13)=0,10^12,OFFSET(CRONOPLE!$F$15,$M154-$A$15,BN$13)))</f>
        <v>1000000000000</v>
      </c>
      <c r="BO154" s="171">
        <f ca="1">IF(OR($D154&lt;&gt;"Serviço",AND(AUTOEVENTO="Manual",$M154=$A$15)),0,
         IF(OFFSET(CRONOPLE!$F$15,$M154-$A$15,BO$13)=0,10^12,OFFSET(CRONOPLE!$F$15,$M154-$A$15,BO$13)))</f>
        <v>1000000000000</v>
      </c>
      <c r="BP154" s="171">
        <f ca="1">IF(OR($D154&lt;&gt;"Serviço",AND(AUTOEVENTO="Manual",$M154=$A$15)),0,
         IF(OFFSET(CRONOPLE!$F$15,$M154-$A$15,BP$13)=0,10^12,OFFSET(CRONOPLE!$F$15,$M154-$A$15,BP$13)))</f>
        <v>1000000000000</v>
      </c>
      <c r="BQ154" s="171">
        <f ca="1">IF(OR($D154&lt;&gt;"Serviço",AND(AUTOEVENTO="Manual",$M154=$A$15)),0,
         IF(OFFSET(CRONOPLE!$F$15,$M154-$A$15,BQ$13)=0,10^12,OFFSET(CRONOPLE!$F$15,$M154-$A$15,BQ$13)))</f>
        <v>1000000000000</v>
      </c>
      <c r="BR154" s="171">
        <f ca="1">IF(OR($D154&lt;&gt;"Serviço",AND(AUTOEVENTO="Manual",$M154=$A$15)),0,
         IF(OFFSET(CRONOPLE!$F$15,$M154-$A$15,BR$13)=0,10^12,OFFSET(CRONOPLE!$F$15,$M154-$A$15,BR$13)))</f>
        <v>1000000000000</v>
      </c>
      <c r="BS154" s="171">
        <f ca="1">IF(OR($D154&lt;&gt;"Serviço",AND(AUTOEVENTO="Manual",$M154=$A$15)),0,
         IF(OFFSET(CRONOPLE!$F$15,$M154-$A$15,BS$13)=0,10^12,OFFSET(CRONOPLE!$F$15,$M154-$A$15,BS$13)))</f>
        <v>1000000000000</v>
      </c>
      <c r="BT154" s="171">
        <f ca="1">IF(OR($D154&lt;&gt;"Serviço",AND(AUTOEVENTO="Manual",$M154=$A$15)),0,
         IF(OFFSET(CRONOPLE!$F$15,$M154-$A$15,BT$13)=0,10^12,OFFSET(CRONOPLE!$F$15,$M154-$A$15,BT$13)))</f>
        <v>1000000000000</v>
      </c>
      <c r="BV154" s="172">
        <f ca="1">IF(OR($D154&lt;&gt;"Serviço",AND(AUTOEVENTO="Manual",$M154=$A$15),$M154&gt;(ROW(PLE.lastrow)-ROW(PLE.firstrow))),0,
           IF(OFFSET(PLE!$G$15,$M154-$A$15,BV$13)="",10^12,OFFSET(PLE!$G$15,$M154-$A$15,BV$13)))</f>
        <v>1000000000000</v>
      </c>
      <c r="BW154" s="172">
        <f ca="1">IF(OR($D154&lt;&gt;"Serviço",AND(AUTOEVENTO="Manual",$M154=$A$15),$M154&gt;(ROW(PLE.lastrow)-ROW(PLE.firstrow))),0,
           IF(OFFSET(PLE!$G$15,$M154-$A$15,BW$13)="",10^12,OFFSET(PLE!$G$15,$M154-$A$15,BW$13)))</f>
        <v>1000000000000</v>
      </c>
      <c r="BX154" s="172">
        <f ca="1">IF(OR($D154&lt;&gt;"Serviço",AND(AUTOEVENTO="Manual",$M154=$A$15),$M154&gt;(ROW(PLE.lastrow)-ROW(PLE.firstrow))),0,
           IF(OFFSET(PLE!$G$15,$M154-$A$15,BX$13)="",10^12,OFFSET(PLE!$G$15,$M154-$A$15,BX$13)))</f>
        <v>1000000000000</v>
      </c>
      <c r="BY154" s="172">
        <f ca="1">IF(OR($D154&lt;&gt;"Serviço",AND(AUTOEVENTO="Manual",$M154=$A$15),$M154&gt;(ROW(PLE.lastrow)-ROW(PLE.firstrow))),0,
           IF(OFFSET(PLE!$G$15,$M154-$A$15,BY$13)="",10^12,OFFSET(PLE!$G$15,$M154-$A$15,BY$13)))</f>
        <v>1000000000000</v>
      </c>
      <c r="BZ154" s="172">
        <f ca="1">IF(OR($D154&lt;&gt;"Serviço",AND(AUTOEVENTO="Manual",$M154=$A$15),$M154&gt;(ROW(PLE.lastrow)-ROW(PLE.firstrow))),0,
           IF(OFFSET(PLE!$G$15,$M154-$A$15,BZ$13)="",10^12,OFFSET(PLE!$G$15,$M154-$A$15,BZ$13)))</f>
        <v>1000000000000</v>
      </c>
      <c r="CA154" s="172">
        <f ca="1">IF(OR($D154&lt;&gt;"Serviço",AND(AUTOEVENTO="Manual",$M154=$A$15),$M154&gt;(ROW(PLE.lastrow)-ROW(PLE.firstrow))),0,
           IF(OFFSET(PLE!$G$15,$M154-$A$15,CA$13)="",10^12,OFFSET(PLE!$G$15,$M154-$A$15,CA$13)))</f>
        <v>1000000000000</v>
      </c>
      <c r="CB154" s="172">
        <f ca="1">IF(OR($D154&lt;&gt;"Serviço",AND(AUTOEVENTO="Manual",$M154=$A$15),$M154&gt;(ROW(PLE.lastrow)-ROW(PLE.firstrow))),0,
           IF(OFFSET(PLE!$G$15,$M154-$A$15,CB$13)="",10^12,OFFSET(PLE!$G$15,$M154-$A$15,CB$13)))</f>
        <v>1000000000000</v>
      </c>
      <c r="CC154" s="172">
        <f ca="1">IF(OR($D154&lt;&gt;"Serviço",AND(AUTOEVENTO="Manual",$M154=$A$15),$M154&gt;(ROW(PLE.lastrow)-ROW(PLE.firstrow))),0,
           IF(OFFSET(PLE!$G$15,$M154-$A$15,CC$13)="",10^12,OFFSET(PLE!$G$15,$M154-$A$15,CC$13)))</f>
        <v>1000000000000</v>
      </c>
      <c r="CD154" s="172">
        <f ca="1">IF(OR($D154&lt;&gt;"Serviço",AND(AUTOEVENTO="Manual",$M154=$A$15),$M154&gt;(ROW(PLE.lastrow)-ROW(PLE.firstrow))),0,
           IF(OFFSET(PLE!$G$15,$M154-$A$15,CD$13)="",10^12,OFFSET(PLE!$G$15,$M154-$A$15,CD$13)))</f>
        <v>1000000000000</v>
      </c>
      <c r="CE154" s="172">
        <f ca="1">IF(OR($D154&lt;&gt;"Serviço",AND(AUTOEVENTO="Manual",$M154=$A$15),$M154&gt;(ROW(PLE.lastrow)-ROW(PLE.firstrow))),0,
           IF(OFFSET(PLE!$G$15,$M154-$A$15,CE$13)="",10^12,OFFSET(PLE!$G$15,$M154-$A$15,CE$13)))</f>
        <v>1000000000000</v>
      </c>
      <c r="CF154" s="172">
        <f ca="1">IF(OR($D154&lt;&gt;"Serviço",AND(AUTOEVENTO="Manual",$M154=$A$15),$M154&gt;(ROW(PLE.lastrow)-ROW(PLE.firstrow))),0,
           IF(OFFSET(PLE!$G$15,$M154-$A$15,CF$13)="",10^12,OFFSET(PLE!$G$15,$M154-$A$15,CF$13)))</f>
        <v>1000000000000</v>
      </c>
      <c r="CG154" s="172">
        <f ca="1">IF(OR($D154&lt;&gt;"Serviço",AND(AUTOEVENTO="Manual",$M154=$A$15),$M154&gt;(ROW(PLE.lastrow)-ROW(PLE.firstrow))),0,
           IF(OFFSET(PLE!$G$15,$M154-$A$15,CG$13)="",10^12,OFFSET(PLE!$G$15,$M154-$A$15,CG$13)))</f>
        <v>1000000000000</v>
      </c>
      <c r="CH154" s="172">
        <f ca="1">IF(OR($D154&lt;&gt;"Serviço",AND(AUTOEVENTO="Manual",$M154=$A$15),$M154&gt;(ROW(PLE.lastrow)-ROW(PLE.firstrow))),0,
           IF(OFFSET(PLE!$G$15,$M154-$A$15,CH$13)="",10^12,OFFSET(PLE!$G$15,$M154-$A$15,CH$13)))</f>
        <v>1000000000000</v>
      </c>
      <c r="CI154" s="172">
        <f ca="1">IF(OR($D154&lt;&gt;"Serviço",AND(AUTOEVENTO="Manual",$M154=$A$15),$M154&gt;(ROW(PLE.lastrow)-ROW(PLE.firstrow))),0,
           IF(OFFSET(PLE!$G$15,$M154-$A$15,CI$13)="",10^12,OFFSET(PLE!$G$15,$M154-$A$15,CI$13)))</f>
        <v>1000000000000</v>
      </c>
      <c r="CJ154" s="172">
        <f ca="1">IF(OR($D154&lt;&gt;"Serviço",AND(AUTOEVENTO="Manual",$M154=$A$15),$M154&gt;(ROW(PLE.lastrow)-ROW(PLE.firstrow))),0,
           IF(OFFSET(PLE!$G$15,$M154-$A$15,CJ$13)="",10^12,OFFSET(PLE!$G$15,$M154-$A$15,CJ$13)))</f>
        <v>1000000000000</v>
      </c>
      <c r="CK154" s="172">
        <f ca="1">IF(OR($D154&lt;&gt;"Serviço",AND(AUTOEVENTO="Manual",$M154=$A$15),$M154&gt;(ROW(PLE.lastrow)-ROW(PLE.firstrow))),0,
           IF(OFFSET(PLE!$G$15,$M154-$A$15,CK$13)="",10^12,OFFSET(PLE!$G$15,$M154-$A$15,CK$13)))</f>
        <v>1000000000000</v>
      </c>
      <c r="CL154" s="172">
        <f ca="1">IF(OR($D154&lt;&gt;"Serviço",AND(AUTOEVENTO="Manual",$M154=$A$15),$M154&gt;(ROW(PLE.lastrow)-ROW(PLE.firstrow))),0,
           IF(OFFSET(PLE!$G$15,$M154-$A$15,CL$13)="",10^12,OFFSET(PLE!$G$15,$M154-$A$15,CL$13)))</f>
        <v>1000000000000</v>
      </c>
      <c r="CM154" s="172">
        <f ca="1">IF(OR($D154&lt;&gt;"Serviço",AND(AUTOEVENTO="Manual",$M154=$A$15),$M154&gt;(ROW(PLE.lastrow)-ROW(PLE.firstrow))),0,
           IF(OFFSET(PLE!$G$15,$M154-$A$15,CM$13)="",10^12,OFFSET(PLE!$G$15,$M154-$A$15,CM$13)))</f>
        <v>1000000000000</v>
      </c>
    </row>
    <row r="155" spans="1:91" ht="26.4" x14ac:dyDescent="0.25">
      <c r="A155" s="7" t="str">
        <f t="shared" ca="1" si="11"/>
        <v>126</v>
      </c>
      <c r="B155" s="7" t="str">
        <f ca="1">OFFSET(ORÇAMENTO!C$15,ROW(B155)-ROW(B$15),0)</f>
        <v>S</v>
      </c>
      <c r="C155" s="7" t="str">
        <f ca="1">OFFSET(ORÇAMENTO!L$15,ROW(C155)-ROW(C$15),0)</f>
        <v>F</v>
      </c>
      <c r="D155" s="116" t="str">
        <f ca="1">OFFSET(ORÇAMENTO!N$15,ROW(D155)-ROW(D$15),0)</f>
        <v>Serviço</v>
      </c>
      <c r="E155" s="117" t="str">
        <f ca="1">OFFSET(ORÇAMENTO!O$15,ROW(E155)-ROW(E$15),0)</f>
        <v>4.2.14.</v>
      </c>
      <c r="F155" s="163" t="str">
        <f ca="1">OFFSET(ORÇAMENTO!R$15,ROW(F155)-ROW(F$15),0)</f>
        <v>Transporte de material betuminoso com caminhão tanque distribuidor - rodovia pavimentada</v>
      </c>
      <c r="G155" s="164" t="str">
        <f ca="1">IF($D155&lt;&gt;"Serviço","",OFFSET(ORÇAMENTO!S$15,ROW(G155)-ROW(G$15),0))</f>
        <v>tkm</v>
      </c>
      <c r="H155" s="122" cm="1">
        <f t="array" aca="1" ref="H155" ca="1">IF($D155&lt;&gt;"Serviço",0,IF(ACOMPANHAMENTO="BM",ROUND(OFFSET(ORÇAMENTO!AJ$15,ROW(H155)-ROW(H$15),0),15-13*ORÇAMENTO!$AF$7),SUMPRODUCT(($Q$1:$AI$1=1)*ROUND($Q155:$AI155,15-13*ORÇAMENTO!$AF$7))))</f>
        <v>4354.82</v>
      </c>
      <c r="I155" s="468"/>
      <c r="J155" s="651" t="e" cm="1">
        <f t="array" aca="1" ref="J155" ca="1">IF(OR(B155&lt;&gt;"S",CÁLCULO.FrentesPreenchidas=0),"",IF(AND(ACOMPANHAMENTO="PLE",AUTOEVENTO="Manual",OR(H155&gt;0,ORÇAMENTO!AC155="QUANT."),OR(K155="",M155=0,N155="")),"►E",IF(AND(ACOMPANHAMENTO="PLE",ORÇAMENTO!AC155="QUANT."),"►Q",IF(AND(ACOMPANHAMENTO="PLE",H155&lt;&gt;SUMPRODUCT(($Q$1:$AI$1=1)*ROUND(Q155:AI155,15))),"►S",IF(AND(COUNTIF($P$11:$AI$11,"▼")=0,H155&gt;0,I155=""),"◄M","")))))</f>
        <v>#NAME?</v>
      </c>
      <c r="K155" s="652"/>
      <c r="L155" s="165" t="s">
        <v>764</v>
      </c>
      <c r="M155" s="166">
        <f ca="1">IF($D155&lt;&gt;"Serviço","",
          IF(AUTOEVENTO="manual",$A155,
                IF(ISERROR(MATCH($A155,$A$15:OFFSET($A155,-1,0),0)),MAX($M$15:OFFSET(M155,-1,0))+1,
                      INDEX($M$15:OFFSET(M155,-1,0),MATCH($A155,$A$15:OFFSET($A155,-1,0),0)))))</f>
        <v>20</v>
      </c>
      <c r="N155" s="167" t="str">
        <f ca="1">IF($D155&lt;&gt;"Serviço","",
         IF(AUTOEVENTO="Manual",
                IF($A155=0,"&lt;-- defina o número do agrupador",
                       OFFSET(EVENTOS!$D$15,$A155-$A$15,0)),
                OFFSET($F$15,$A155,0)))</f>
        <v>PAVIMENTAÇÃO</v>
      </c>
      <c r="O155" s="168"/>
      <c r="Q155" s="168"/>
      <c r="R155" s="169"/>
      <c r="S155" s="169"/>
      <c r="T155" s="169"/>
      <c r="U155" s="169"/>
      <c r="V155" s="169">
        <f>TRUNC(V154/1000*337,2)</f>
        <v>4354.82</v>
      </c>
      <c r="W155" s="169"/>
      <c r="X155" s="169"/>
      <c r="Y155" s="169"/>
      <c r="Z155" s="170"/>
      <c r="AA155" s="169"/>
      <c r="AB155" s="169"/>
      <c r="AC155" s="169"/>
      <c r="AD155" s="169"/>
      <c r="AE155" s="169"/>
      <c r="AF155" s="169"/>
      <c r="AG155" s="169"/>
      <c r="AH155" s="170"/>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L155" s="453">
        <f ca="1">IF(AND($D155="Serviço",AL$12&lt;&gt;0,$H155&gt;0,OR(AUTOEVENTO&lt;&gt;"manual",$M155&lt;&gt;$A$15)),
        IF(Import.TipoArredondamento&lt;&gt;"TransfereGOV",
              ROUND(OFFSET($P155,0,AL$13),15-13*ORÇAMENTO!$AF$7)/$H155*OFFSET(ORÇAMENTO!$X$15,ROW(AL155)-ROW(AL$15),0),
              ROUND(ROUND(OFFSET($P155,0,AL$13),15-13*ORÇAMENTO!$AF$7)*OFFSET(ORÇAMENTO!$W$15,ROW(AL155)-ROW(AL$15),0),15-13*ORÇAMENTO!$AF$11)),
         0)</f>
        <v>0</v>
      </c>
      <c r="AM155" s="453">
        <f ca="1">IF(AND($D155="Serviço",AM$12&lt;&gt;0,$H155&gt;0,OR(AUTOEVENTO&lt;&gt;"manual",$M155&lt;&gt;$A$15)),
        IF(Import.TipoArredondamento&lt;&gt;"TransfereGOV",
              ROUND(OFFSET($P155,0,AM$13),15-13*ORÇAMENTO!$AF$7)/$H155*OFFSET(ORÇAMENTO!$X$15,ROW(AM155)-ROW(AM$15),0),
              ROUND(ROUND(OFFSET($P155,0,AM$13),15-13*ORÇAMENTO!$AF$7)*OFFSET(ORÇAMENTO!$W$15,ROW(AM155)-ROW(AM$15),0),15-13*ORÇAMENTO!$AF$11)),
         0)</f>
        <v>0</v>
      </c>
      <c r="AN155" s="453">
        <f ca="1">IF(AND($D155="Serviço",AN$12&lt;&gt;0,$H155&gt;0,OR(AUTOEVENTO&lt;&gt;"manual",$M155&lt;&gt;$A$15)),
        IF(Import.TipoArredondamento&lt;&gt;"TransfereGOV",
              ROUND(OFFSET($P155,0,AN$13),15-13*ORÇAMENTO!$AF$7)/$H155*OFFSET(ORÇAMENTO!$X$15,ROW(AN155)-ROW(AN$15),0),
              ROUND(ROUND(OFFSET($P155,0,AN$13),15-13*ORÇAMENTO!$AF$7)*OFFSET(ORÇAMENTO!$W$15,ROW(AN155)-ROW(AN$15),0),15-13*ORÇAMENTO!$AF$11)),
         0)</f>
        <v>0</v>
      </c>
      <c r="AO155" s="453">
        <f ca="1">IF(AND($D155="Serviço",AO$12&lt;&gt;0,$H155&gt;0,OR(AUTOEVENTO&lt;&gt;"manual",$M155&lt;&gt;$A$15)),
        IF(Import.TipoArredondamento&lt;&gt;"TransfereGOV",
              ROUND(OFFSET($P155,0,AO$13),15-13*ORÇAMENTO!$AF$7)/$H155*OFFSET(ORÇAMENTO!$X$15,ROW(AO155)-ROW(AO$15),0),
              ROUND(ROUND(OFFSET($P155,0,AO$13),15-13*ORÇAMENTO!$AF$7)*OFFSET(ORÇAMENTO!$W$15,ROW(AO155)-ROW(AO$15),0),15-13*ORÇAMENTO!$AF$11)),
         0)</f>
        <v>11104.79</v>
      </c>
      <c r="AP155" s="453">
        <f ca="1">IF(AND($D155="Serviço",AP$12&lt;&gt;0,$H155&gt;0,OR(AUTOEVENTO&lt;&gt;"manual",$M155&lt;&gt;$A$15)),
        IF(Import.TipoArredondamento&lt;&gt;"TransfereGOV",
              ROUND(OFFSET($P155,0,AP$13),15-13*ORÇAMENTO!$AF$7)/$H155*OFFSET(ORÇAMENTO!$X$15,ROW(AP155)-ROW(AP$15),0),
              ROUND(ROUND(OFFSET($P155,0,AP$13),15-13*ORÇAMENTO!$AF$7)*OFFSET(ORÇAMENTO!$W$15,ROW(AP155)-ROW(AP$15),0),15-13*ORÇAMENTO!$AF$11)),
         0)</f>
        <v>0</v>
      </c>
      <c r="AQ155" s="453">
        <f ca="1">IF(AND($D155="Serviço",AQ$12&lt;&gt;0,$H155&gt;0,OR(AUTOEVENTO&lt;&gt;"manual",$M155&lt;&gt;$A$15)),
        IF(Import.TipoArredondamento&lt;&gt;"TransfereGOV",
              ROUND(OFFSET($P155,0,AQ$13),15-13*ORÇAMENTO!$AF$7)/$H155*OFFSET(ORÇAMENTO!$X$15,ROW(AQ155)-ROW(AQ$15),0),
              ROUND(ROUND(OFFSET($P155,0,AQ$13),15-13*ORÇAMENTO!$AF$7)*OFFSET(ORÇAMENTO!$W$15,ROW(AQ155)-ROW(AQ$15),0),15-13*ORÇAMENTO!$AF$11)),
         0)</f>
        <v>0</v>
      </c>
      <c r="AR155" s="453">
        <f ca="1">IF(AND($D155="Serviço",AR$12&lt;&gt;0,$H155&gt;0,OR(AUTOEVENTO&lt;&gt;"manual",$M155&lt;&gt;$A$15)),
        IF(Import.TipoArredondamento&lt;&gt;"TransfereGOV",
              ROUND(OFFSET($P155,0,AR$13),15-13*ORÇAMENTO!$AF$7)/$H155*OFFSET(ORÇAMENTO!$X$15,ROW(AR155)-ROW(AR$15),0),
              ROUND(ROUND(OFFSET($P155,0,AR$13),15-13*ORÇAMENTO!$AF$7)*OFFSET(ORÇAMENTO!$W$15,ROW(AR155)-ROW(AR$15),0),15-13*ORÇAMENTO!$AF$11)),
         0)</f>
        <v>0</v>
      </c>
      <c r="AS155" s="453">
        <f ca="1">IF(AND($D155="Serviço",AS$12&lt;&gt;0,$H155&gt;0,OR(AUTOEVENTO&lt;&gt;"manual",$M155&lt;&gt;$A$15)),
        IF(Import.TipoArredondamento&lt;&gt;"TransfereGOV",
              ROUND(OFFSET($P155,0,AS$13),15-13*ORÇAMENTO!$AF$7)/$H155*OFFSET(ORÇAMENTO!$X$15,ROW(AS155)-ROW(AS$15),0),
              ROUND(ROUND(OFFSET($P155,0,AS$13),15-13*ORÇAMENTO!$AF$7)*OFFSET(ORÇAMENTO!$W$15,ROW(AS155)-ROW(AS$15),0),15-13*ORÇAMENTO!$AF$11)),
         0)</f>
        <v>0</v>
      </c>
      <c r="AT155" s="453">
        <f ca="1">IF(AND($D155="Serviço",AT$12&lt;&gt;0,$H155&gt;0,OR(AUTOEVENTO&lt;&gt;"manual",$M155&lt;&gt;$A$15)),
        IF(Import.TipoArredondamento&lt;&gt;"TransfereGOV",
              ROUND(OFFSET($P155,0,AT$13),15-13*ORÇAMENTO!$AF$7)/$H155*OFFSET(ORÇAMENTO!$X$15,ROW(AT155)-ROW(AT$15),0),
              ROUND(ROUND(OFFSET($P155,0,AT$13),15-13*ORÇAMENTO!$AF$7)*OFFSET(ORÇAMENTO!$W$15,ROW(AT155)-ROW(AT$15),0),15-13*ORÇAMENTO!$AF$11)),
         0)</f>
        <v>0</v>
      </c>
      <c r="AU155" s="453">
        <f ca="1">IF(AND($D155="Serviço",AU$12&lt;&gt;0,$H155&gt;0,OR(AUTOEVENTO&lt;&gt;"manual",$M155&lt;&gt;$A$15)),
        IF(Import.TipoArredondamento&lt;&gt;"TransfereGOV",
              ROUND(OFFSET($P155,0,AU$13),15-13*ORÇAMENTO!$AF$7)/$H155*OFFSET(ORÇAMENTO!$X$15,ROW(AU155)-ROW(AU$15),0),
              ROUND(ROUND(OFFSET($P155,0,AU$13),15-13*ORÇAMENTO!$AF$7)*OFFSET(ORÇAMENTO!$W$15,ROW(AU155)-ROW(AU$15),0),15-13*ORÇAMENTO!$AF$11)),
         0)</f>
        <v>0</v>
      </c>
      <c r="AV155" s="453">
        <f ca="1">IF(AND($D155="Serviço",AV$12&lt;&gt;0,$H155&gt;0,OR(AUTOEVENTO&lt;&gt;"manual",$M155&lt;&gt;$A$15)),
        IF(Import.TipoArredondamento&lt;&gt;"TransfereGOV",
              ROUND(OFFSET($P155,0,AV$13),15-13*ORÇAMENTO!$AF$7)/$H155*OFFSET(ORÇAMENTO!$X$15,ROW(AV155)-ROW(AV$15),0),
              ROUND(ROUND(OFFSET($P155,0,AV$13),15-13*ORÇAMENTO!$AF$7)*OFFSET(ORÇAMENTO!$W$15,ROW(AV155)-ROW(AV$15),0),15-13*ORÇAMENTO!$AF$11)),
         0)</f>
        <v>0</v>
      </c>
      <c r="AW155" s="453">
        <f ca="1">IF(AND($D155="Serviço",AW$12&lt;&gt;0,$H155&gt;0,OR(AUTOEVENTO&lt;&gt;"manual",$M155&lt;&gt;$A$15)),
        IF(Import.TipoArredondamento&lt;&gt;"TransfereGOV",
              ROUND(OFFSET($P155,0,AW$13),15-13*ORÇAMENTO!$AF$7)/$H155*OFFSET(ORÇAMENTO!$X$15,ROW(AW155)-ROW(AW$15),0),
              ROUND(ROUND(OFFSET($P155,0,AW$13),15-13*ORÇAMENTO!$AF$7)*OFFSET(ORÇAMENTO!$W$15,ROW(AW155)-ROW(AW$15),0),15-13*ORÇAMENTO!$AF$11)),
         0)</f>
        <v>0</v>
      </c>
      <c r="AX155" s="453">
        <f ca="1">IF(AND($D155="Serviço",AX$12&lt;&gt;0,$H155&gt;0,OR(AUTOEVENTO&lt;&gt;"manual",$M155&lt;&gt;$A$15)),
        IF(Import.TipoArredondamento&lt;&gt;"TransfereGOV",
              ROUND(OFFSET($P155,0,AX$13),15-13*ORÇAMENTO!$AF$7)/$H155*OFFSET(ORÇAMENTO!$X$15,ROW(AX155)-ROW(AX$15),0),
              ROUND(ROUND(OFFSET($P155,0,AX$13),15-13*ORÇAMENTO!$AF$7)*OFFSET(ORÇAMENTO!$W$15,ROW(AX155)-ROW(AX$15),0),15-13*ORÇAMENTO!$AF$11)),
         0)</f>
        <v>0</v>
      </c>
      <c r="AY155" s="453">
        <f ca="1">IF(AND($D155="Serviço",AY$12&lt;&gt;0,$H155&gt;0,OR(AUTOEVENTO&lt;&gt;"manual",$M155&lt;&gt;$A$15)),
        IF(Import.TipoArredondamento&lt;&gt;"TransfereGOV",
              ROUND(OFFSET($P155,0,AY$13),15-13*ORÇAMENTO!$AF$7)/$H155*OFFSET(ORÇAMENTO!$X$15,ROW(AY155)-ROW(AY$15),0),
              ROUND(ROUND(OFFSET($P155,0,AY$13),15-13*ORÇAMENTO!$AF$7)*OFFSET(ORÇAMENTO!$W$15,ROW(AY155)-ROW(AY$15),0),15-13*ORÇAMENTO!$AF$11)),
         0)</f>
        <v>0</v>
      </c>
      <c r="AZ155" s="453">
        <f ca="1">IF(AND($D155="Serviço",AZ$12&lt;&gt;0,$H155&gt;0,OR(AUTOEVENTO&lt;&gt;"manual",$M155&lt;&gt;$A$15)),
        IF(Import.TipoArredondamento&lt;&gt;"TransfereGOV",
              ROUND(OFFSET($P155,0,AZ$13),15-13*ORÇAMENTO!$AF$7)/$H155*OFFSET(ORÇAMENTO!$X$15,ROW(AZ155)-ROW(AZ$15),0),
              ROUND(ROUND(OFFSET($P155,0,AZ$13),15-13*ORÇAMENTO!$AF$7)*OFFSET(ORÇAMENTO!$W$15,ROW(AZ155)-ROW(AZ$15),0),15-13*ORÇAMENTO!$AF$11)),
         0)</f>
        <v>0</v>
      </c>
      <c r="BA155" s="453">
        <f ca="1">IF(AND($D155="Serviço",BA$12&lt;&gt;0,$H155&gt;0,OR(AUTOEVENTO&lt;&gt;"manual",$M155&lt;&gt;$A$15)),
        IF(Import.TipoArredondamento&lt;&gt;"TransfereGOV",
              ROUND(OFFSET($P155,0,BA$13),15-13*ORÇAMENTO!$AF$7)/$H155*OFFSET(ORÇAMENTO!$X$15,ROW(BA155)-ROW(BA$15),0),
              ROUND(ROUND(OFFSET($P155,0,BA$13),15-13*ORÇAMENTO!$AF$7)*OFFSET(ORÇAMENTO!$W$15,ROW(BA155)-ROW(BA$15),0),15-13*ORÇAMENTO!$AF$11)),
         0)</f>
        <v>0</v>
      </c>
      <c r="BC155" s="171">
        <f ca="1">IF(OR($D155&lt;&gt;"Serviço",AND(AUTOEVENTO="Manual",$M155=$A$15)),0,
         IF(OFFSET(CRONOPLE!$F$15,$M155-$A$15,BC$13)=0,10^12,OFFSET(CRONOPLE!$F$15,$M155-$A$15,BC$13)))</f>
        <v>1000000000000</v>
      </c>
      <c r="BD155" s="171">
        <f ca="1">IF(OR($D155&lt;&gt;"Serviço",AND(AUTOEVENTO="Manual",$M155=$A$15)),0,
         IF(OFFSET(CRONOPLE!$F$15,$M155-$A$15,BD$13)=0,10^12,OFFSET(CRONOPLE!$F$15,$M155-$A$15,BD$13)))</f>
        <v>1000000000000</v>
      </c>
      <c r="BE155" s="171">
        <f ca="1">IF(OR($D155&lt;&gt;"Serviço",AND(AUTOEVENTO="Manual",$M155=$A$15)),0,
         IF(OFFSET(CRONOPLE!$F$15,$M155-$A$15,BE$13)=0,10^12,OFFSET(CRONOPLE!$F$15,$M155-$A$15,BE$13)))</f>
        <v>1000000000000</v>
      </c>
      <c r="BF155" s="171">
        <f ca="1">IF(OR($D155&lt;&gt;"Serviço",AND(AUTOEVENTO="Manual",$M155=$A$15)),0,
         IF(OFFSET(CRONOPLE!$F$15,$M155-$A$15,BF$13)=0,10^12,OFFSET(CRONOPLE!$F$15,$M155-$A$15,BF$13)))</f>
        <v>1000000000000</v>
      </c>
      <c r="BG155" s="171">
        <f ca="1">IF(OR($D155&lt;&gt;"Serviço",AND(AUTOEVENTO="Manual",$M155=$A$15)),0,
         IF(OFFSET(CRONOPLE!$F$15,$M155-$A$15,BG$13)=0,10^12,OFFSET(CRONOPLE!$F$15,$M155-$A$15,BG$13)))</f>
        <v>1000000000000</v>
      </c>
      <c r="BH155" s="171">
        <f ca="1">IF(OR($D155&lt;&gt;"Serviço",AND(AUTOEVENTO="Manual",$M155=$A$15)),0,
         IF(OFFSET(CRONOPLE!$F$15,$M155-$A$15,BH$13)=0,10^12,OFFSET(CRONOPLE!$F$15,$M155-$A$15,BH$13)))</f>
        <v>6</v>
      </c>
      <c r="BI155" s="171">
        <f ca="1">IF(OR($D155&lt;&gt;"Serviço",AND(AUTOEVENTO="Manual",$M155=$A$15)),0,
         IF(OFFSET(CRONOPLE!$F$15,$M155-$A$15,BI$13)=0,10^12,OFFSET(CRONOPLE!$F$15,$M155-$A$15,BI$13)))</f>
        <v>1000000000000</v>
      </c>
      <c r="BJ155" s="171">
        <f ca="1">IF(OR($D155&lt;&gt;"Serviço",AND(AUTOEVENTO="Manual",$M155=$A$15)),0,
         IF(OFFSET(CRONOPLE!$F$15,$M155-$A$15,BJ$13)=0,10^12,OFFSET(CRONOPLE!$F$15,$M155-$A$15,BJ$13)))</f>
        <v>1000000000000</v>
      </c>
      <c r="BK155" s="171">
        <f ca="1">IF(OR($D155&lt;&gt;"Serviço",AND(AUTOEVENTO="Manual",$M155=$A$15)),0,
         IF(OFFSET(CRONOPLE!$F$15,$M155-$A$15,BK$13)=0,10^12,OFFSET(CRONOPLE!$F$15,$M155-$A$15,BK$13)))</f>
        <v>1000000000000</v>
      </c>
      <c r="BL155" s="171">
        <f ca="1">IF(OR($D155&lt;&gt;"Serviço",AND(AUTOEVENTO="Manual",$M155=$A$15)),0,
         IF(OFFSET(CRONOPLE!$F$15,$M155-$A$15,BL$13)=0,10^12,OFFSET(CRONOPLE!$F$15,$M155-$A$15,BL$13)))</f>
        <v>1000000000000</v>
      </c>
      <c r="BM155" s="171">
        <f ca="1">IF(OR($D155&lt;&gt;"Serviço",AND(AUTOEVENTO="Manual",$M155=$A$15)),0,
         IF(OFFSET(CRONOPLE!$F$15,$M155-$A$15,BM$13)=0,10^12,OFFSET(CRONOPLE!$F$15,$M155-$A$15,BM$13)))</f>
        <v>1000000000000</v>
      </c>
      <c r="BN155" s="171">
        <f ca="1">IF(OR($D155&lt;&gt;"Serviço",AND(AUTOEVENTO="Manual",$M155=$A$15)),0,
         IF(OFFSET(CRONOPLE!$F$15,$M155-$A$15,BN$13)=0,10^12,OFFSET(CRONOPLE!$F$15,$M155-$A$15,BN$13)))</f>
        <v>1000000000000</v>
      </c>
      <c r="BO155" s="171">
        <f ca="1">IF(OR($D155&lt;&gt;"Serviço",AND(AUTOEVENTO="Manual",$M155=$A$15)),0,
         IF(OFFSET(CRONOPLE!$F$15,$M155-$A$15,BO$13)=0,10^12,OFFSET(CRONOPLE!$F$15,$M155-$A$15,BO$13)))</f>
        <v>1000000000000</v>
      </c>
      <c r="BP155" s="171">
        <f ca="1">IF(OR($D155&lt;&gt;"Serviço",AND(AUTOEVENTO="Manual",$M155=$A$15)),0,
         IF(OFFSET(CRONOPLE!$F$15,$M155-$A$15,BP$13)=0,10^12,OFFSET(CRONOPLE!$F$15,$M155-$A$15,BP$13)))</f>
        <v>1000000000000</v>
      </c>
      <c r="BQ155" s="171">
        <f ca="1">IF(OR($D155&lt;&gt;"Serviço",AND(AUTOEVENTO="Manual",$M155=$A$15)),0,
         IF(OFFSET(CRONOPLE!$F$15,$M155-$A$15,BQ$13)=0,10^12,OFFSET(CRONOPLE!$F$15,$M155-$A$15,BQ$13)))</f>
        <v>1000000000000</v>
      </c>
      <c r="BR155" s="171">
        <f ca="1">IF(OR($D155&lt;&gt;"Serviço",AND(AUTOEVENTO="Manual",$M155=$A$15)),0,
         IF(OFFSET(CRONOPLE!$F$15,$M155-$A$15,BR$13)=0,10^12,OFFSET(CRONOPLE!$F$15,$M155-$A$15,BR$13)))</f>
        <v>1000000000000</v>
      </c>
      <c r="BS155" s="171">
        <f ca="1">IF(OR($D155&lt;&gt;"Serviço",AND(AUTOEVENTO="Manual",$M155=$A$15)),0,
         IF(OFFSET(CRONOPLE!$F$15,$M155-$A$15,BS$13)=0,10^12,OFFSET(CRONOPLE!$F$15,$M155-$A$15,BS$13)))</f>
        <v>1000000000000</v>
      </c>
      <c r="BT155" s="171">
        <f ca="1">IF(OR($D155&lt;&gt;"Serviço",AND(AUTOEVENTO="Manual",$M155=$A$15)),0,
         IF(OFFSET(CRONOPLE!$F$15,$M155-$A$15,BT$13)=0,10^12,OFFSET(CRONOPLE!$F$15,$M155-$A$15,BT$13)))</f>
        <v>1000000000000</v>
      </c>
      <c r="BV155" s="172">
        <f ca="1">IF(OR($D155&lt;&gt;"Serviço",AND(AUTOEVENTO="Manual",$M155=$A$15),$M155&gt;(ROW(PLE.lastrow)-ROW(PLE.firstrow))),0,
           IF(OFFSET(PLE!$G$15,$M155-$A$15,BV$13)="",10^12,OFFSET(PLE!$G$15,$M155-$A$15,BV$13)))</f>
        <v>1000000000000</v>
      </c>
      <c r="BW155" s="172">
        <f ca="1">IF(OR($D155&lt;&gt;"Serviço",AND(AUTOEVENTO="Manual",$M155=$A$15),$M155&gt;(ROW(PLE.lastrow)-ROW(PLE.firstrow))),0,
           IF(OFFSET(PLE!$G$15,$M155-$A$15,BW$13)="",10^12,OFFSET(PLE!$G$15,$M155-$A$15,BW$13)))</f>
        <v>1000000000000</v>
      </c>
      <c r="BX155" s="172">
        <f ca="1">IF(OR($D155&lt;&gt;"Serviço",AND(AUTOEVENTO="Manual",$M155=$A$15),$M155&gt;(ROW(PLE.lastrow)-ROW(PLE.firstrow))),0,
           IF(OFFSET(PLE!$G$15,$M155-$A$15,BX$13)="",10^12,OFFSET(PLE!$G$15,$M155-$A$15,BX$13)))</f>
        <v>1000000000000</v>
      </c>
      <c r="BY155" s="172">
        <f ca="1">IF(OR($D155&lt;&gt;"Serviço",AND(AUTOEVENTO="Manual",$M155=$A$15),$M155&gt;(ROW(PLE.lastrow)-ROW(PLE.firstrow))),0,
           IF(OFFSET(PLE!$G$15,$M155-$A$15,BY$13)="",10^12,OFFSET(PLE!$G$15,$M155-$A$15,BY$13)))</f>
        <v>1000000000000</v>
      </c>
      <c r="BZ155" s="172">
        <f ca="1">IF(OR($D155&lt;&gt;"Serviço",AND(AUTOEVENTO="Manual",$M155=$A$15),$M155&gt;(ROW(PLE.lastrow)-ROW(PLE.firstrow))),0,
           IF(OFFSET(PLE!$G$15,$M155-$A$15,BZ$13)="",10^12,OFFSET(PLE!$G$15,$M155-$A$15,BZ$13)))</f>
        <v>1000000000000</v>
      </c>
      <c r="CA155" s="172">
        <f ca="1">IF(OR($D155&lt;&gt;"Serviço",AND(AUTOEVENTO="Manual",$M155=$A$15),$M155&gt;(ROW(PLE.lastrow)-ROW(PLE.firstrow))),0,
           IF(OFFSET(PLE!$G$15,$M155-$A$15,CA$13)="",10^12,OFFSET(PLE!$G$15,$M155-$A$15,CA$13)))</f>
        <v>1000000000000</v>
      </c>
      <c r="CB155" s="172">
        <f ca="1">IF(OR($D155&lt;&gt;"Serviço",AND(AUTOEVENTO="Manual",$M155=$A$15),$M155&gt;(ROW(PLE.lastrow)-ROW(PLE.firstrow))),0,
           IF(OFFSET(PLE!$G$15,$M155-$A$15,CB$13)="",10^12,OFFSET(PLE!$G$15,$M155-$A$15,CB$13)))</f>
        <v>1000000000000</v>
      </c>
      <c r="CC155" s="172">
        <f ca="1">IF(OR($D155&lt;&gt;"Serviço",AND(AUTOEVENTO="Manual",$M155=$A$15),$M155&gt;(ROW(PLE.lastrow)-ROW(PLE.firstrow))),0,
           IF(OFFSET(PLE!$G$15,$M155-$A$15,CC$13)="",10^12,OFFSET(PLE!$G$15,$M155-$A$15,CC$13)))</f>
        <v>1000000000000</v>
      </c>
      <c r="CD155" s="172">
        <f ca="1">IF(OR($D155&lt;&gt;"Serviço",AND(AUTOEVENTO="Manual",$M155=$A$15),$M155&gt;(ROW(PLE.lastrow)-ROW(PLE.firstrow))),0,
           IF(OFFSET(PLE!$G$15,$M155-$A$15,CD$13)="",10^12,OFFSET(PLE!$G$15,$M155-$A$15,CD$13)))</f>
        <v>1000000000000</v>
      </c>
      <c r="CE155" s="172">
        <f ca="1">IF(OR($D155&lt;&gt;"Serviço",AND(AUTOEVENTO="Manual",$M155=$A$15),$M155&gt;(ROW(PLE.lastrow)-ROW(PLE.firstrow))),0,
           IF(OFFSET(PLE!$G$15,$M155-$A$15,CE$13)="",10^12,OFFSET(PLE!$G$15,$M155-$A$15,CE$13)))</f>
        <v>1000000000000</v>
      </c>
      <c r="CF155" s="172">
        <f ca="1">IF(OR($D155&lt;&gt;"Serviço",AND(AUTOEVENTO="Manual",$M155=$A$15),$M155&gt;(ROW(PLE.lastrow)-ROW(PLE.firstrow))),0,
           IF(OFFSET(PLE!$G$15,$M155-$A$15,CF$13)="",10^12,OFFSET(PLE!$G$15,$M155-$A$15,CF$13)))</f>
        <v>1000000000000</v>
      </c>
      <c r="CG155" s="172">
        <f ca="1">IF(OR($D155&lt;&gt;"Serviço",AND(AUTOEVENTO="Manual",$M155=$A$15),$M155&gt;(ROW(PLE.lastrow)-ROW(PLE.firstrow))),0,
           IF(OFFSET(PLE!$G$15,$M155-$A$15,CG$13)="",10^12,OFFSET(PLE!$G$15,$M155-$A$15,CG$13)))</f>
        <v>1000000000000</v>
      </c>
      <c r="CH155" s="172">
        <f ca="1">IF(OR($D155&lt;&gt;"Serviço",AND(AUTOEVENTO="Manual",$M155=$A$15),$M155&gt;(ROW(PLE.lastrow)-ROW(PLE.firstrow))),0,
           IF(OFFSET(PLE!$G$15,$M155-$A$15,CH$13)="",10^12,OFFSET(PLE!$G$15,$M155-$A$15,CH$13)))</f>
        <v>1000000000000</v>
      </c>
      <c r="CI155" s="172">
        <f ca="1">IF(OR($D155&lt;&gt;"Serviço",AND(AUTOEVENTO="Manual",$M155=$A$15),$M155&gt;(ROW(PLE.lastrow)-ROW(PLE.firstrow))),0,
           IF(OFFSET(PLE!$G$15,$M155-$A$15,CI$13)="",10^12,OFFSET(PLE!$G$15,$M155-$A$15,CI$13)))</f>
        <v>1000000000000</v>
      </c>
      <c r="CJ155" s="172">
        <f ca="1">IF(OR($D155&lt;&gt;"Serviço",AND(AUTOEVENTO="Manual",$M155=$A$15),$M155&gt;(ROW(PLE.lastrow)-ROW(PLE.firstrow))),0,
           IF(OFFSET(PLE!$G$15,$M155-$A$15,CJ$13)="",10^12,OFFSET(PLE!$G$15,$M155-$A$15,CJ$13)))</f>
        <v>1000000000000</v>
      </c>
      <c r="CK155" s="172">
        <f ca="1">IF(OR($D155&lt;&gt;"Serviço",AND(AUTOEVENTO="Manual",$M155=$A$15),$M155&gt;(ROW(PLE.lastrow)-ROW(PLE.firstrow))),0,
           IF(OFFSET(PLE!$G$15,$M155-$A$15,CK$13)="",10^12,OFFSET(PLE!$G$15,$M155-$A$15,CK$13)))</f>
        <v>1000000000000</v>
      </c>
      <c r="CL155" s="172">
        <f ca="1">IF(OR($D155&lt;&gt;"Serviço",AND(AUTOEVENTO="Manual",$M155=$A$15),$M155&gt;(ROW(PLE.lastrow)-ROW(PLE.firstrow))),0,
           IF(OFFSET(PLE!$G$15,$M155-$A$15,CL$13)="",10^12,OFFSET(PLE!$G$15,$M155-$A$15,CL$13)))</f>
        <v>1000000000000</v>
      </c>
      <c r="CM155" s="172">
        <f ca="1">IF(OR($D155&lt;&gt;"Serviço",AND(AUTOEVENTO="Manual",$M155=$A$15),$M155&gt;(ROW(PLE.lastrow)-ROW(PLE.firstrow))),0,
           IF(OFFSET(PLE!$G$15,$M155-$A$15,CM$13)="",10^12,OFFSET(PLE!$G$15,$M155-$A$15,CM$13)))</f>
        <v>1000000000000</v>
      </c>
    </row>
    <row r="156" spans="1:91" ht="13.2" x14ac:dyDescent="0.25">
      <c r="A156" s="7" t="str">
        <f t="shared" ca="1" si="11"/>
        <v>141.</v>
      </c>
      <c r="B156" s="7">
        <f ca="1">OFFSET(ORÇAMENTO!C$15,ROW(B156)-ROW(B$15),0)</f>
        <v>2</v>
      </c>
      <c r="C156" s="7" t="str">
        <f ca="1">OFFSET(ORÇAMENTO!L$15,ROW(C156)-ROW(C$15),0)</f>
        <v>F</v>
      </c>
      <c r="D156" s="116" t="str">
        <f ca="1">OFFSET(ORÇAMENTO!N$15,ROW(D156)-ROW(D$15),0)</f>
        <v>Nível 2</v>
      </c>
      <c r="E156" s="117" t="str">
        <f ca="1">OFFSET(ORÇAMENTO!O$15,ROW(E156)-ROW(E$15),0)</f>
        <v>4.3.</v>
      </c>
      <c r="F156" s="163" t="str">
        <f ca="1">OFFSET(ORÇAMENTO!R$15,ROW(F156)-ROW(F$15),0)</f>
        <v>SINALIZAÇÃO</v>
      </c>
      <c r="G156" s="164" t="str">
        <f ca="1">IF($D156&lt;&gt;"Serviço","",OFFSET(ORÇAMENTO!S$15,ROW(G156)-ROW(G$15),0))</f>
        <v/>
      </c>
      <c r="H156" s="122" cm="1">
        <f t="array" aca="1" ref="H156" ca="1">IF($D156&lt;&gt;"Serviço",0,IF(ACOMPANHAMENTO="BM",ROUND(OFFSET(ORÇAMENTO!AJ$15,ROW(H156)-ROW(H$15),0),15-13*ORÇAMENTO!$AF$7),SUMPRODUCT(($Q$1:$AI$1=1)*ROUND($Q156:$AI156,15-13*ORÇAMENTO!$AF$7))))</f>
        <v>0</v>
      </c>
      <c r="I156" s="468"/>
      <c r="J156" s="651" t="str" cm="1">
        <f t="array" aca="1" ref="J156" ca="1">IF(OR(B156&lt;&gt;"S",CÁLCULO.FrentesPreenchidas=0),"",IF(AND(ACOMPANHAMENTO="PLE",AUTOEVENTO="Manual",OR(H156&gt;0,ORÇAMENTO!AC156="QUANT."),OR(K156="",M156=0,N156="")),"►E",IF(AND(ACOMPANHAMENTO="PLE",ORÇAMENTO!AC156="QUANT."),"►Q",IF(AND(ACOMPANHAMENTO="PLE",H156&lt;&gt;SUMPRODUCT(($Q$1:$AI$1=1)*ROUND(Q156:AI156,15))),"►S",IF(AND(COUNTIF($P$11:$AI$11,"▼")=0,H156&gt;0,I156=""),"◄M","")))))</f>
        <v/>
      </c>
      <c r="K156" s="652"/>
      <c r="L156" s="165" t="s">
        <v>764</v>
      </c>
      <c r="M156" s="166" t="str">
        <f ca="1">IF($D156&lt;&gt;"Serviço","",
          IF(AUTOEVENTO="manual",$A156,
                IF(ISERROR(MATCH($A156,$A$15:OFFSET($A156,-1,0),0)),MAX($M$15:OFFSET(M156,-1,0))+1,
                      INDEX($M$15:OFFSET(M156,-1,0),MATCH($A156,$A$15:OFFSET($A156,-1,0),0)))))</f>
        <v/>
      </c>
      <c r="N156" s="167" t="str">
        <f ca="1">IF($D156&lt;&gt;"Serviço","",
         IF(AUTOEVENTO="Manual",
                IF($A156=0,"&lt;-- defina o número do agrupador",
                       OFFSET(EVENTOS!$D$15,$A156-$A$15,0)),
                OFFSET($F$15,$A156,0)))</f>
        <v/>
      </c>
      <c r="O156" s="168"/>
      <c r="Q156" s="168"/>
      <c r="R156" s="169"/>
      <c r="S156" s="169"/>
      <c r="T156" s="169"/>
      <c r="U156" s="169"/>
      <c r="V156" s="169"/>
      <c r="W156" s="169"/>
      <c r="X156" s="169"/>
      <c r="Y156" s="169"/>
      <c r="Z156" s="170"/>
      <c r="AA156" s="169"/>
      <c r="AB156" s="169"/>
      <c r="AC156" s="169"/>
      <c r="AD156" s="169"/>
      <c r="AE156" s="169"/>
      <c r="AF156" s="169"/>
      <c r="AG156" s="169"/>
      <c r="AH156" s="170"/>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L156" s="453">
        <f ca="1">IF(AND($D156="Serviço",AL$12&lt;&gt;0,$H156&gt;0,OR(AUTOEVENTO&lt;&gt;"manual",$M156&lt;&gt;$A$15)),
        IF(Import.TipoArredondamento&lt;&gt;"TransfereGOV",
              ROUND(OFFSET($P156,0,AL$13),15-13*ORÇAMENTO!$AF$7)/$H156*OFFSET(ORÇAMENTO!$X$15,ROW(AL156)-ROW(AL$15),0),
              ROUND(ROUND(OFFSET($P156,0,AL$13),15-13*ORÇAMENTO!$AF$7)*OFFSET(ORÇAMENTO!$W$15,ROW(AL156)-ROW(AL$15),0),15-13*ORÇAMENTO!$AF$11)),
         0)</f>
        <v>0</v>
      </c>
      <c r="AM156" s="453">
        <f ca="1">IF(AND($D156="Serviço",AM$12&lt;&gt;0,$H156&gt;0,OR(AUTOEVENTO&lt;&gt;"manual",$M156&lt;&gt;$A$15)),
        IF(Import.TipoArredondamento&lt;&gt;"TransfereGOV",
              ROUND(OFFSET($P156,0,AM$13),15-13*ORÇAMENTO!$AF$7)/$H156*OFFSET(ORÇAMENTO!$X$15,ROW(AM156)-ROW(AM$15),0),
              ROUND(ROUND(OFFSET($P156,0,AM$13),15-13*ORÇAMENTO!$AF$7)*OFFSET(ORÇAMENTO!$W$15,ROW(AM156)-ROW(AM$15),0),15-13*ORÇAMENTO!$AF$11)),
         0)</f>
        <v>0</v>
      </c>
      <c r="AN156" s="453">
        <f ca="1">IF(AND($D156="Serviço",AN$12&lt;&gt;0,$H156&gt;0,OR(AUTOEVENTO&lt;&gt;"manual",$M156&lt;&gt;$A$15)),
        IF(Import.TipoArredondamento&lt;&gt;"TransfereGOV",
              ROUND(OFFSET($P156,0,AN$13),15-13*ORÇAMENTO!$AF$7)/$H156*OFFSET(ORÇAMENTO!$X$15,ROW(AN156)-ROW(AN$15),0),
              ROUND(ROUND(OFFSET($P156,0,AN$13),15-13*ORÇAMENTO!$AF$7)*OFFSET(ORÇAMENTO!$W$15,ROW(AN156)-ROW(AN$15),0),15-13*ORÇAMENTO!$AF$11)),
         0)</f>
        <v>0</v>
      </c>
      <c r="AO156" s="453">
        <f ca="1">IF(AND($D156="Serviço",AO$12&lt;&gt;0,$H156&gt;0,OR(AUTOEVENTO&lt;&gt;"manual",$M156&lt;&gt;$A$15)),
        IF(Import.TipoArredondamento&lt;&gt;"TransfereGOV",
              ROUND(OFFSET($P156,0,AO$13),15-13*ORÇAMENTO!$AF$7)/$H156*OFFSET(ORÇAMENTO!$X$15,ROW(AO156)-ROW(AO$15),0),
              ROUND(ROUND(OFFSET($P156,0,AO$13),15-13*ORÇAMENTO!$AF$7)*OFFSET(ORÇAMENTO!$W$15,ROW(AO156)-ROW(AO$15),0),15-13*ORÇAMENTO!$AF$11)),
         0)</f>
        <v>0</v>
      </c>
      <c r="AP156" s="453">
        <f ca="1">IF(AND($D156="Serviço",AP$12&lt;&gt;0,$H156&gt;0,OR(AUTOEVENTO&lt;&gt;"manual",$M156&lt;&gt;$A$15)),
        IF(Import.TipoArredondamento&lt;&gt;"TransfereGOV",
              ROUND(OFFSET($P156,0,AP$13),15-13*ORÇAMENTO!$AF$7)/$H156*OFFSET(ORÇAMENTO!$X$15,ROW(AP156)-ROW(AP$15),0),
              ROUND(ROUND(OFFSET($P156,0,AP$13),15-13*ORÇAMENTO!$AF$7)*OFFSET(ORÇAMENTO!$W$15,ROW(AP156)-ROW(AP$15),0),15-13*ORÇAMENTO!$AF$11)),
         0)</f>
        <v>0</v>
      </c>
      <c r="AQ156" s="453">
        <f ca="1">IF(AND($D156="Serviço",AQ$12&lt;&gt;0,$H156&gt;0,OR(AUTOEVENTO&lt;&gt;"manual",$M156&lt;&gt;$A$15)),
        IF(Import.TipoArredondamento&lt;&gt;"TransfereGOV",
              ROUND(OFFSET($P156,0,AQ$13),15-13*ORÇAMENTO!$AF$7)/$H156*OFFSET(ORÇAMENTO!$X$15,ROW(AQ156)-ROW(AQ$15),0),
              ROUND(ROUND(OFFSET($P156,0,AQ$13),15-13*ORÇAMENTO!$AF$7)*OFFSET(ORÇAMENTO!$W$15,ROW(AQ156)-ROW(AQ$15),0),15-13*ORÇAMENTO!$AF$11)),
         0)</f>
        <v>0</v>
      </c>
      <c r="AR156" s="453">
        <f ca="1">IF(AND($D156="Serviço",AR$12&lt;&gt;0,$H156&gt;0,OR(AUTOEVENTO&lt;&gt;"manual",$M156&lt;&gt;$A$15)),
        IF(Import.TipoArredondamento&lt;&gt;"TransfereGOV",
              ROUND(OFFSET($P156,0,AR$13),15-13*ORÇAMENTO!$AF$7)/$H156*OFFSET(ORÇAMENTO!$X$15,ROW(AR156)-ROW(AR$15),0),
              ROUND(ROUND(OFFSET($P156,0,AR$13),15-13*ORÇAMENTO!$AF$7)*OFFSET(ORÇAMENTO!$W$15,ROW(AR156)-ROW(AR$15),0),15-13*ORÇAMENTO!$AF$11)),
         0)</f>
        <v>0</v>
      </c>
      <c r="AS156" s="453">
        <f ca="1">IF(AND($D156="Serviço",AS$12&lt;&gt;0,$H156&gt;0,OR(AUTOEVENTO&lt;&gt;"manual",$M156&lt;&gt;$A$15)),
        IF(Import.TipoArredondamento&lt;&gt;"TransfereGOV",
              ROUND(OFFSET($P156,0,AS$13),15-13*ORÇAMENTO!$AF$7)/$H156*OFFSET(ORÇAMENTO!$X$15,ROW(AS156)-ROW(AS$15),0),
              ROUND(ROUND(OFFSET($P156,0,AS$13),15-13*ORÇAMENTO!$AF$7)*OFFSET(ORÇAMENTO!$W$15,ROW(AS156)-ROW(AS$15),0),15-13*ORÇAMENTO!$AF$11)),
         0)</f>
        <v>0</v>
      </c>
      <c r="AT156" s="453">
        <f ca="1">IF(AND($D156="Serviço",AT$12&lt;&gt;0,$H156&gt;0,OR(AUTOEVENTO&lt;&gt;"manual",$M156&lt;&gt;$A$15)),
        IF(Import.TipoArredondamento&lt;&gt;"TransfereGOV",
              ROUND(OFFSET($P156,0,AT$13),15-13*ORÇAMENTO!$AF$7)/$H156*OFFSET(ORÇAMENTO!$X$15,ROW(AT156)-ROW(AT$15),0),
              ROUND(ROUND(OFFSET($P156,0,AT$13),15-13*ORÇAMENTO!$AF$7)*OFFSET(ORÇAMENTO!$W$15,ROW(AT156)-ROW(AT$15),0),15-13*ORÇAMENTO!$AF$11)),
         0)</f>
        <v>0</v>
      </c>
      <c r="AU156" s="453">
        <f ca="1">IF(AND($D156="Serviço",AU$12&lt;&gt;0,$H156&gt;0,OR(AUTOEVENTO&lt;&gt;"manual",$M156&lt;&gt;$A$15)),
        IF(Import.TipoArredondamento&lt;&gt;"TransfereGOV",
              ROUND(OFFSET($P156,0,AU$13),15-13*ORÇAMENTO!$AF$7)/$H156*OFFSET(ORÇAMENTO!$X$15,ROW(AU156)-ROW(AU$15),0),
              ROUND(ROUND(OFFSET($P156,0,AU$13),15-13*ORÇAMENTO!$AF$7)*OFFSET(ORÇAMENTO!$W$15,ROW(AU156)-ROW(AU$15),0),15-13*ORÇAMENTO!$AF$11)),
         0)</f>
        <v>0</v>
      </c>
      <c r="AV156" s="453">
        <f ca="1">IF(AND($D156="Serviço",AV$12&lt;&gt;0,$H156&gt;0,OR(AUTOEVENTO&lt;&gt;"manual",$M156&lt;&gt;$A$15)),
        IF(Import.TipoArredondamento&lt;&gt;"TransfereGOV",
              ROUND(OFFSET($P156,0,AV$13),15-13*ORÇAMENTO!$AF$7)/$H156*OFFSET(ORÇAMENTO!$X$15,ROW(AV156)-ROW(AV$15),0),
              ROUND(ROUND(OFFSET($P156,0,AV$13),15-13*ORÇAMENTO!$AF$7)*OFFSET(ORÇAMENTO!$W$15,ROW(AV156)-ROW(AV$15),0),15-13*ORÇAMENTO!$AF$11)),
         0)</f>
        <v>0</v>
      </c>
      <c r="AW156" s="453">
        <f ca="1">IF(AND($D156="Serviço",AW$12&lt;&gt;0,$H156&gt;0,OR(AUTOEVENTO&lt;&gt;"manual",$M156&lt;&gt;$A$15)),
        IF(Import.TipoArredondamento&lt;&gt;"TransfereGOV",
              ROUND(OFFSET($P156,0,AW$13),15-13*ORÇAMENTO!$AF$7)/$H156*OFFSET(ORÇAMENTO!$X$15,ROW(AW156)-ROW(AW$15),0),
              ROUND(ROUND(OFFSET($P156,0,AW$13),15-13*ORÇAMENTO!$AF$7)*OFFSET(ORÇAMENTO!$W$15,ROW(AW156)-ROW(AW$15),0),15-13*ORÇAMENTO!$AF$11)),
         0)</f>
        <v>0</v>
      </c>
      <c r="AX156" s="453">
        <f ca="1">IF(AND($D156="Serviço",AX$12&lt;&gt;0,$H156&gt;0,OR(AUTOEVENTO&lt;&gt;"manual",$M156&lt;&gt;$A$15)),
        IF(Import.TipoArredondamento&lt;&gt;"TransfereGOV",
              ROUND(OFFSET($P156,0,AX$13),15-13*ORÇAMENTO!$AF$7)/$H156*OFFSET(ORÇAMENTO!$X$15,ROW(AX156)-ROW(AX$15),0),
              ROUND(ROUND(OFFSET($P156,0,AX$13),15-13*ORÇAMENTO!$AF$7)*OFFSET(ORÇAMENTO!$W$15,ROW(AX156)-ROW(AX$15),0),15-13*ORÇAMENTO!$AF$11)),
         0)</f>
        <v>0</v>
      </c>
      <c r="AY156" s="453">
        <f ca="1">IF(AND($D156="Serviço",AY$12&lt;&gt;0,$H156&gt;0,OR(AUTOEVENTO&lt;&gt;"manual",$M156&lt;&gt;$A$15)),
        IF(Import.TipoArredondamento&lt;&gt;"TransfereGOV",
              ROUND(OFFSET($P156,0,AY$13),15-13*ORÇAMENTO!$AF$7)/$H156*OFFSET(ORÇAMENTO!$X$15,ROW(AY156)-ROW(AY$15),0),
              ROUND(ROUND(OFFSET($P156,0,AY$13),15-13*ORÇAMENTO!$AF$7)*OFFSET(ORÇAMENTO!$W$15,ROW(AY156)-ROW(AY$15),0),15-13*ORÇAMENTO!$AF$11)),
         0)</f>
        <v>0</v>
      </c>
      <c r="AZ156" s="453">
        <f ca="1">IF(AND($D156="Serviço",AZ$12&lt;&gt;0,$H156&gt;0,OR(AUTOEVENTO&lt;&gt;"manual",$M156&lt;&gt;$A$15)),
        IF(Import.TipoArredondamento&lt;&gt;"TransfereGOV",
              ROUND(OFFSET($P156,0,AZ$13),15-13*ORÇAMENTO!$AF$7)/$H156*OFFSET(ORÇAMENTO!$X$15,ROW(AZ156)-ROW(AZ$15),0),
              ROUND(ROUND(OFFSET($P156,0,AZ$13),15-13*ORÇAMENTO!$AF$7)*OFFSET(ORÇAMENTO!$W$15,ROW(AZ156)-ROW(AZ$15),0),15-13*ORÇAMENTO!$AF$11)),
         0)</f>
        <v>0</v>
      </c>
      <c r="BA156" s="453">
        <f ca="1">IF(AND($D156="Serviço",BA$12&lt;&gt;0,$H156&gt;0,OR(AUTOEVENTO&lt;&gt;"manual",$M156&lt;&gt;$A$15)),
        IF(Import.TipoArredondamento&lt;&gt;"TransfereGOV",
              ROUND(OFFSET($P156,0,BA$13),15-13*ORÇAMENTO!$AF$7)/$H156*OFFSET(ORÇAMENTO!$X$15,ROW(BA156)-ROW(BA$15),0),
              ROUND(ROUND(OFFSET($P156,0,BA$13),15-13*ORÇAMENTO!$AF$7)*OFFSET(ORÇAMENTO!$W$15,ROW(BA156)-ROW(BA$15),0),15-13*ORÇAMENTO!$AF$11)),
         0)</f>
        <v>0</v>
      </c>
      <c r="BC156" s="171">
        <f ca="1">IF(OR($D156&lt;&gt;"Serviço",AND(AUTOEVENTO="Manual",$M156=$A$15)),0,
         IF(OFFSET(CRONOPLE!$F$15,$M156-$A$15,BC$13)=0,10^12,OFFSET(CRONOPLE!$F$15,$M156-$A$15,BC$13)))</f>
        <v>0</v>
      </c>
      <c r="BD156" s="171">
        <f ca="1">IF(OR($D156&lt;&gt;"Serviço",AND(AUTOEVENTO="Manual",$M156=$A$15)),0,
         IF(OFFSET(CRONOPLE!$F$15,$M156-$A$15,BD$13)=0,10^12,OFFSET(CRONOPLE!$F$15,$M156-$A$15,BD$13)))</f>
        <v>0</v>
      </c>
      <c r="BE156" s="171">
        <f ca="1">IF(OR($D156&lt;&gt;"Serviço",AND(AUTOEVENTO="Manual",$M156=$A$15)),0,
         IF(OFFSET(CRONOPLE!$F$15,$M156-$A$15,BE$13)=0,10^12,OFFSET(CRONOPLE!$F$15,$M156-$A$15,BE$13)))</f>
        <v>0</v>
      </c>
      <c r="BF156" s="171">
        <f ca="1">IF(OR($D156&lt;&gt;"Serviço",AND(AUTOEVENTO="Manual",$M156=$A$15)),0,
         IF(OFFSET(CRONOPLE!$F$15,$M156-$A$15,BF$13)=0,10^12,OFFSET(CRONOPLE!$F$15,$M156-$A$15,BF$13)))</f>
        <v>0</v>
      </c>
      <c r="BG156" s="171">
        <f ca="1">IF(OR($D156&lt;&gt;"Serviço",AND(AUTOEVENTO="Manual",$M156=$A$15)),0,
         IF(OFFSET(CRONOPLE!$F$15,$M156-$A$15,BG$13)=0,10^12,OFFSET(CRONOPLE!$F$15,$M156-$A$15,BG$13)))</f>
        <v>0</v>
      </c>
      <c r="BH156" s="171">
        <f ca="1">IF(OR($D156&lt;&gt;"Serviço",AND(AUTOEVENTO="Manual",$M156=$A$15)),0,
         IF(OFFSET(CRONOPLE!$F$15,$M156-$A$15,BH$13)=0,10^12,OFFSET(CRONOPLE!$F$15,$M156-$A$15,BH$13)))</f>
        <v>0</v>
      </c>
      <c r="BI156" s="171">
        <f ca="1">IF(OR($D156&lt;&gt;"Serviço",AND(AUTOEVENTO="Manual",$M156=$A$15)),0,
         IF(OFFSET(CRONOPLE!$F$15,$M156-$A$15,BI$13)=0,10^12,OFFSET(CRONOPLE!$F$15,$M156-$A$15,BI$13)))</f>
        <v>0</v>
      </c>
      <c r="BJ156" s="171">
        <f ca="1">IF(OR($D156&lt;&gt;"Serviço",AND(AUTOEVENTO="Manual",$M156=$A$15)),0,
         IF(OFFSET(CRONOPLE!$F$15,$M156-$A$15,BJ$13)=0,10^12,OFFSET(CRONOPLE!$F$15,$M156-$A$15,BJ$13)))</f>
        <v>0</v>
      </c>
      <c r="BK156" s="171">
        <f ca="1">IF(OR($D156&lt;&gt;"Serviço",AND(AUTOEVENTO="Manual",$M156=$A$15)),0,
         IF(OFFSET(CRONOPLE!$F$15,$M156-$A$15,BK$13)=0,10^12,OFFSET(CRONOPLE!$F$15,$M156-$A$15,BK$13)))</f>
        <v>0</v>
      </c>
      <c r="BL156" s="171">
        <f ca="1">IF(OR($D156&lt;&gt;"Serviço",AND(AUTOEVENTO="Manual",$M156=$A$15)),0,
         IF(OFFSET(CRONOPLE!$F$15,$M156-$A$15,BL$13)=0,10^12,OFFSET(CRONOPLE!$F$15,$M156-$A$15,BL$13)))</f>
        <v>0</v>
      </c>
      <c r="BM156" s="171">
        <f ca="1">IF(OR($D156&lt;&gt;"Serviço",AND(AUTOEVENTO="Manual",$M156=$A$15)),0,
         IF(OFFSET(CRONOPLE!$F$15,$M156-$A$15,BM$13)=0,10^12,OFFSET(CRONOPLE!$F$15,$M156-$A$15,BM$13)))</f>
        <v>0</v>
      </c>
      <c r="BN156" s="171">
        <f ca="1">IF(OR($D156&lt;&gt;"Serviço",AND(AUTOEVENTO="Manual",$M156=$A$15)),0,
         IF(OFFSET(CRONOPLE!$F$15,$M156-$A$15,BN$13)=0,10^12,OFFSET(CRONOPLE!$F$15,$M156-$A$15,BN$13)))</f>
        <v>0</v>
      </c>
      <c r="BO156" s="171">
        <f ca="1">IF(OR($D156&lt;&gt;"Serviço",AND(AUTOEVENTO="Manual",$M156=$A$15)),0,
         IF(OFFSET(CRONOPLE!$F$15,$M156-$A$15,BO$13)=0,10^12,OFFSET(CRONOPLE!$F$15,$M156-$A$15,BO$13)))</f>
        <v>0</v>
      </c>
      <c r="BP156" s="171">
        <f ca="1">IF(OR($D156&lt;&gt;"Serviço",AND(AUTOEVENTO="Manual",$M156=$A$15)),0,
         IF(OFFSET(CRONOPLE!$F$15,$M156-$A$15,BP$13)=0,10^12,OFFSET(CRONOPLE!$F$15,$M156-$A$15,BP$13)))</f>
        <v>0</v>
      </c>
      <c r="BQ156" s="171">
        <f ca="1">IF(OR($D156&lt;&gt;"Serviço",AND(AUTOEVENTO="Manual",$M156=$A$15)),0,
         IF(OFFSET(CRONOPLE!$F$15,$M156-$A$15,BQ$13)=0,10^12,OFFSET(CRONOPLE!$F$15,$M156-$A$15,BQ$13)))</f>
        <v>0</v>
      </c>
      <c r="BR156" s="171">
        <f ca="1">IF(OR($D156&lt;&gt;"Serviço",AND(AUTOEVENTO="Manual",$M156=$A$15)),0,
         IF(OFFSET(CRONOPLE!$F$15,$M156-$A$15,BR$13)=0,10^12,OFFSET(CRONOPLE!$F$15,$M156-$A$15,BR$13)))</f>
        <v>0</v>
      </c>
      <c r="BS156" s="171">
        <f ca="1">IF(OR($D156&lt;&gt;"Serviço",AND(AUTOEVENTO="Manual",$M156=$A$15)),0,
         IF(OFFSET(CRONOPLE!$F$15,$M156-$A$15,BS$13)=0,10^12,OFFSET(CRONOPLE!$F$15,$M156-$A$15,BS$13)))</f>
        <v>0</v>
      </c>
      <c r="BT156" s="171">
        <f ca="1">IF(OR($D156&lt;&gt;"Serviço",AND(AUTOEVENTO="Manual",$M156=$A$15)),0,
         IF(OFFSET(CRONOPLE!$F$15,$M156-$A$15,BT$13)=0,10^12,OFFSET(CRONOPLE!$F$15,$M156-$A$15,BT$13)))</f>
        <v>0</v>
      </c>
      <c r="BV156" s="172">
        <f ca="1">IF(OR($D156&lt;&gt;"Serviço",AND(AUTOEVENTO="Manual",$M156=$A$15),$M156&gt;(ROW(PLE.lastrow)-ROW(PLE.firstrow))),0,
           IF(OFFSET(PLE!$G$15,$M156-$A$15,BV$13)="",10^12,OFFSET(PLE!$G$15,$M156-$A$15,BV$13)))</f>
        <v>0</v>
      </c>
      <c r="BW156" s="172">
        <f ca="1">IF(OR($D156&lt;&gt;"Serviço",AND(AUTOEVENTO="Manual",$M156=$A$15),$M156&gt;(ROW(PLE.lastrow)-ROW(PLE.firstrow))),0,
           IF(OFFSET(PLE!$G$15,$M156-$A$15,BW$13)="",10^12,OFFSET(PLE!$G$15,$M156-$A$15,BW$13)))</f>
        <v>0</v>
      </c>
      <c r="BX156" s="172">
        <f ca="1">IF(OR($D156&lt;&gt;"Serviço",AND(AUTOEVENTO="Manual",$M156=$A$15),$M156&gt;(ROW(PLE.lastrow)-ROW(PLE.firstrow))),0,
           IF(OFFSET(PLE!$G$15,$M156-$A$15,BX$13)="",10^12,OFFSET(PLE!$G$15,$M156-$A$15,BX$13)))</f>
        <v>0</v>
      </c>
      <c r="BY156" s="172">
        <f ca="1">IF(OR($D156&lt;&gt;"Serviço",AND(AUTOEVENTO="Manual",$M156=$A$15),$M156&gt;(ROW(PLE.lastrow)-ROW(PLE.firstrow))),0,
           IF(OFFSET(PLE!$G$15,$M156-$A$15,BY$13)="",10^12,OFFSET(PLE!$G$15,$M156-$A$15,BY$13)))</f>
        <v>0</v>
      </c>
      <c r="BZ156" s="172">
        <f ca="1">IF(OR($D156&lt;&gt;"Serviço",AND(AUTOEVENTO="Manual",$M156=$A$15),$M156&gt;(ROW(PLE.lastrow)-ROW(PLE.firstrow))),0,
           IF(OFFSET(PLE!$G$15,$M156-$A$15,BZ$13)="",10^12,OFFSET(PLE!$G$15,$M156-$A$15,BZ$13)))</f>
        <v>0</v>
      </c>
      <c r="CA156" s="172">
        <f ca="1">IF(OR($D156&lt;&gt;"Serviço",AND(AUTOEVENTO="Manual",$M156=$A$15),$M156&gt;(ROW(PLE.lastrow)-ROW(PLE.firstrow))),0,
           IF(OFFSET(PLE!$G$15,$M156-$A$15,CA$13)="",10^12,OFFSET(PLE!$G$15,$M156-$A$15,CA$13)))</f>
        <v>0</v>
      </c>
      <c r="CB156" s="172">
        <f ca="1">IF(OR($D156&lt;&gt;"Serviço",AND(AUTOEVENTO="Manual",$M156=$A$15),$M156&gt;(ROW(PLE.lastrow)-ROW(PLE.firstrow))),0,
           IF(OFFSET(PLE!$G$15,$M156-$A$15,CB$13)="",10^12,OFFSET(PLE!$G$15,$M156-$A$15,CB$13)))</f>
        <v>0</v>
      </c>
      <c r="CC156" s="172">
        <f ca="1">IF(OR($D156&lt;&gt;"Serviço",AND(AUTOEVENTO="Manual",$M156=$A$15),$M156&gt;(ROW(PLE.lastrow)-ROW(PLE.firstrow))),0,
           IF(OFFSET(PLE!$G$15,$M156-$A$15,CC$13)="",10^12,OFFSET(PLE!$G$15,$M156-$A$15,CC$13)))</f>
        <v>0</v>
      </c>
      <c r="CD156" s="172">
        <f ca="1">IF(OR($D156&lt;&gt;"Serviço",AND(AUTOEVENTO="Manual",$M156=$A$15),$M156&gt;(ROW(PLE.lastrow)-ROW(PLE.firstrow))),0,
           IF(OFFSET(PLE!$G$15,$M156-$A$15,CD$13)="",10^12,OFFSET(PLE!$G$15,$M156-$A$15,CD$13)))</f>
        <v>0</v>
      </c>
      <c r="CE156" s="172">
        <f ca="1">IF(OR($D156&lt;&gt;"Serviço",AND(AUTOEVENTO="Manual",$M156=$A$15),$M156&gt;(ROW(PLE.lastrow)-ROW(PLE.firstrow))),0,
           IF(OFFSET(PLE!$G$15,$M156-$A$15,CE$13)="",10^12,OFFSET(PLE!$G$15,$M156-$A$15,CE$13)))</f>
        <v>0</v>
      </c>
      <c r="CF156" s="172">
        <f ca="1">IF(OR($D156&lt;&gt;"Serviço",AND(AUTOEVENTO="Manual",$M156=$A$15),$M156&gt;(ROW(PLE.lastrow)-ROW(PLE.firstrow))),0,
           IF(OFFSET(PLE!$G$15,$M156-$A$15,CF$13)="",10^12,OFFSET(PLE!$G$15,$M156-$A$15,CF$13)))</f>
        <v>0</v>
      </c>
      <c r="CG156" s="172">
        <f ca="1">IF(OR($D156&lt;&gt;"Serviço",AND(AUTOEVENTO="Manual",$M156=$A$15),$M156&gt;(ROW(PLE.lastrow)-ROW(PLE.firstrow))),0,
           IF(OFFSET(PLE!$G$15,$M156-$A$15,CG$13)="",10^12,OFFSET(PLE!$G$15,$M156-$A$15,CG$13)))</f>
        <v>0</v>
      </c>
      <c r="CH156" s="172">
        <f ca="1">IF(OR($D156&lt;&gt;"Serviço",AND(AUTOEVENTO="Manual",$M156=$A$15),$M156&gt;(ROW(PLE.lastrow)-ROW(PLE.firstrow))),0,
           IF(OFFSET(PLE!$G$15,$M156-$A$15,CH$13)="",10^12,OFFSET(PLE!$G$15,$M156-$A$15,CH$13)))</f>
        <v>0</v>
      </c>
      <c r="CI156" s="172">
        <f ca="1">IF(OR($D156&lt;&gt;"Serviço",AND(AUTOEVENTO="Manual",$M156=$A$15),$M156&gt;(ROW(PLE.lastrow)-ROW(PLE.firstrow))),0,
           IF(OFFSET(PLE!$G$15,$M156-$A$15,CI$13)="",10^12,OFFSET(PLE!$G$15,$M156-$A$15,CI$13)))</f>
        <v>0</v>
      </c>
      <c r="CJ156" s="172">
        <f ca="1">IF(OR($D156&lt;&gt;"Serviço",AND(AUTOEVENTO="Manual",$M156=$A$15),$M156&gt;(ROW(PLE.lastrow)-ROW(PLE.firstrow))),0,
           IF(OFFSET(PLE!$G$15,$M156-$A$15,CJ$13)="",10^12,OFFSET(PLE!$G$15,$M156-$A$15,CJ$13)))</f>
        <v>0</v>
      </c>
      <c r="CK156" s="172">
        <f ca="1">IF(OR($D156&lt;&gt;"Serviço",AND(AUTOEVENTO="Manual",$M156=$A$15),$M156&gt;(ROW(PLE.lastrow)-ROW(PLE.firstrow))),0,
           IF(OFFSET(PLE!$G$15,$M156-$A$15,CK$13)="",10^12,OFFSET(PLE!$G$15,$M156-$A$15,CK$13)))</f>
        <v>0</v>
      </c>
      <c r="CL156" s="172">
        <f ca="1">IF(OR($D156&lt;&gt;"Serviço",AND(AUTOEVENTO="Manual",$M156=$A$15),$M156&gt;(ROW(PLE.lastrow)-ROW(PLE.firstrow))),0,
           IF(OFFSET(PLE!$G$15,$M156-$A$15,CL$13)="",10^12,OFFSET(PLE!$G$15,$M156-$A$15,CL$13)))</f>
        <v>0</v>
      </c>
      <c r="CM156" s="172">
        <f ca="1">IF(OR($D156&lt;&gt;"Serviço",AND(AUTOEVENTO="Manual",$M156=$A$15),$M156&gt;(ROW(PLE.lastrow)-ROW(PLE.firstrow))),0,
           IF(OFFSET(PLE!$G$15,$M156-$A$15,CM$13)="",10^12,OFFSET(PLE!$G$15,$M156-$A$15,CM$13)))</f>
        <v>0</v>
      </c>
    </row>
    <row r="157" spans="1:91" ht="13.2" x14ac:dyDescent="0.25">
      <c r="A157" s="7" t="str">
        <f t="shared" ca="1" si="11"/>
        <v>141</v>
      </c>
      <c r="B157" s="7" t="str">
        <f ca="1">OFFSET(ORÇAMENTO!C$15,ROW(B157)-ROW(B$15),0)</f>
        <v>S</v>
      </c>
      <c r="C157" s="7" t="str">
        <f ca="1">OFFSET(ORÇAMENTO!L$15,ROW(C157)-ROW(C$15),0)</f>
        <v>F</v>
      </c>
      <c r="D157" s="116" t="str">
        <f ca="1">OFFSET(ORÇAMENTO!N$15,ROW(D157)-ROW(D$15),0)</f>
        <v>Serviço</v>
      </c>
      <c r="E157" s="117" t="str">
        <f ca="1">OFFSET(ORÇAMENTO!O$15,ROW(E157)-ROW(E$15),0)</f>
        <v>4.3.1.</v>
      </c>
      <c r="F157" s="163" t="str">
        <f ca="1">OFFSET(ORÇAMENTO!R$15,ROW(F157)-ROW(F$15),0)</f>
        <v>PLACA DE ADVERTÊNCIA QUADRADA LADO 0,60M</v>
      </c>
      <c r="G157" s="164" t="str">
        <f ca="1">IF($D157&lt;&gt;"Serviço","",OFFSET(ORÇAMENTO!S$15,ROW(G157)-ROW(G$15),0))</f>
        <v>UN</v>
      </c>
      <c r="H157" s="122" cm="1">
        <f t="array" aca="1" ref="H157" ca="1">IF($D157&lt;&gt;"Serviço",0,IF(ACOMPANHAMENTO="BM",ROUND(OFFSET(ORÇAMENTO!AJ$15,ROW(H157)-ROW(H$15),0),15-13*ORÇAMENTO!$AF$7),SUMPRODUCT(($Q$1:$AI$1=1)*ROUND($Q157:$AI157,15-13*ORÇAMENTO!$AF$7))))</f>
        <v>1</v>
      </c>
      <c r="I157" s="468"/>
      <c r="J157" s="651" t="e" cm="1">
        <f t="array" aca="1" ref="J157" ca="1">IF(OR(B157&lt;&gt;"S",CÁLCULO.FrentesPreenchidas=0),"",IF(AND(ACOMPANHAMENTO="PLE",AUTOEVENTO="Manual",OR(H157&gt;0,ORÇAMENTO!AC157="QUANT."),OR(K157="",M157=0,N157="")),"►E",IF(AND(ACOMPANHAMENTO="PLE",ORÇAMENTO!AC157="QUANT."),"►Q",IF(AND(ACOMPANHAMENTO="PLE",H157&lt;&gt;SUMPRODUCT(($Q$1:$AI$1=1)*ROUND(Q157:AI157,15))),"►S",IF(AND(COUNTIF($P$11:$AI$11,"▼")=0,H157&gt;0,I157=""),"◄M","")))))</f>
        <v>#NAME?</v>
      </c>
      <c r="K157" s="652"/>
      <c r="L157" s="165" t="s">
        <v>764</v>
      </c>
      <c r="M157" s="166">
        <f ca="1">IF($D157&lt;&gt;"Serviço","",
          IF(AUTOEVENTO="manual",$A157,
                IF(ISERROR(MATCH($A157,$A$15:OFFSET($A157,-1,0),0)),MAX($M$15:OFFSET(M157,-1,0))+1,
                      INDEX($M$15:OFFSET(M157,-1,0),MATCH($A157,$A$15:OFFSET($A157,-1,0),0)))))</f>
        <v>21</v>
      </c>
      <c r="N157" s="167" t="str">
        <f ca="1">IF($D157&lt;&gt;"Serviço","",
         IF(AUTOEVENTO="Manual",
                IF($A157=0,"&lt;-- defina o número do agrupador",
                       OFFSET(EVENTOS!$D$15,$A157-$A$15,0)),
                OFFSET($F$15,$A157,0)))</f>
        <v>SINALIZAÇÃO</v>
      </c>
      <c r="O157" s="168"/>
      <c r="Q157" s="168"/>
      <c r="R157" s="169"/>
      <c r="S157" s="169"/>
      <c r="T157" s="169"/>
      <c r="U157" s="169"/>
      <c r="V157" s="169">
        <v>1</v>
      </c>
      <c r="W157" s="169"/>
      <c r="X157" s="169"/>
      <c r="Y157" s="169"/>
      <c r="Z157" s="170"/>
      <c r="AA157" s="169"/>
      <c r="AB157" s="169"/>
      <c r="AC157" s="169"/>
      <c r="AD157" s="169"/>
      <c r="AE157" s="169"/>
      <c r="AF157" s="169"/>
      <c r="AG157" s="169"/>
      <c r="AH157" s="170"/>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L157" s="453">
        <f ca="1">IF(AND($D157="Serviço",AL$12&lt;&gt;0,$H157&gt;0,OR(AUTOEVENTO&lt;&gt;"manual",$M157&lt;&gt;$A$15)),
        IF(Import.TipoArredondamento&lt;&gt;"TransfereGOV",
              ROUND(OFFSET($P157,0,AL$13),15-13*ORÇAMENTO!$AF$7)/$H157*OFFSET(ORÇAMENTO!$X$15,ROW(AL157)-ROW(AL$15),0),
              ROUND(ROUND(OFFSET($P157,0,AL$13),15-13*ORÇAMENTO!$AF$7)*OFFSET(ORÇAMENTO!$W$15,ROW(AL157)-ROW(AL$15),0),15-13*ORÇAMENTO!$AF$11)),
         0)</f>
        <v>0</v>
      </c>
      <c r="AM157" s="453">
        <f ca="1">IF(AND($D157="Serviço",AM$12&lt;&gt;0,$H157&gt;0,OR(AUTOEVENTO&lt;&gt;"manual",$M157&lt;&gt;$A$15)),
        IF(Import.TipoArredondamento&lt;&gt;"TransfereGOV",
              ROUND(OFFSET($P157,0,AM$13),15-13*ORÇAMENTO!$AF$7)/$H157*OFFSET(ORÇAMENTO!$X$15,ROW(AM157)-ROW(AM$15),0),
              ROUND(ROUND(OFFSET($P157,0,AM$13),15-13*ORÇAMENTO!$AF$7)*OFFSET(ORÇAMENTO!$W$15,ROW(AM157)-ROW(AM$15),0),15-13*ORÇAMENTO!$AF$11)),
         0)</f>
        <v>0</v>
      </c>
      <c r="AN157" s="453">
        <f ca="1">IF(AND($D157="Serviço",AN$12&lt;&gt;0,$H157&gt;0,OR(AUTOEVENTO&lt;&gt;"manual",$M157&lt;&gt;$A$15)),
        IF(Import.TipoArredondamento&lt;&gt;"TransfereGOV",
              ROUND(OFFSET($P157,0,AN$13),15-13*ORÇAMENTO!$AF$7)/$H157*OFFSET(ORÇAMENTO!$X$15,ROW(AN157)-ROW(AN$15),0),
              ROUND(ROUND(OFFSET($P157,0,AN$13),15-13*ORÇAMENTO!$AF$7)*OFFSET(ORÇAMENTO!$W$15,ROW(AN157)-ROW(AN$15),0),15-13*ORÇAMENTO!$AF$11)),
         0)</f>
        <v>0</v>
      </c>
      <c r="AO157" s="453">
        <f ca="1">IF(AND($D157="Serviço",AO$12&lt;&gt;0,$H157&gt;0,OR(AUTOEVENTO&lt;&gt;"manual",$M157&lt;&gt;$A$15)),
        IF(Import.TipoArredondamento&lt;&gt;"TransfereGOV",
              ROUND(OFFSET($P157,0,AO$13),15-13*ORÇAMENTO!$AF$7)/$H157*OFFSET(ORÇAMENTO!$X$15,ROW(AO157)-ROW(AO$15),0),
              ROUND(ROUND(OFFSET($P157,0,AO$13),15-13*ORÇAMENTO!$AF$7)*OFFSET(ORÇAMENTO!$W$15,ROW(AO157)-ROW(AO$15),0),15-13*ORÇAMENTO!$AF$11)),
         0)</f>
        <v>963.71</v>
      </c>
      <c r="AP157" s="453">
        <f ca="1">IF(AND($D157="Serviço",AP$12&lt;&gt;0,$H157&gt;0,OR(AUTOEVENTO&lt;&gt;"manual",$M157&lt;&gt;$A$15)),
        IF(Import.TipoArredondamento&lt;&gt;"TransfereGOV",
              ROUND(OFFSET($P157,0,AP$13),15-13*ORÇAMENTO!$AF$7)/$H157*OFFSET(ORÇAMENTO!$X$15,ROW(AP157)-ROW(AP$15),0),
              ROUND(ROUND(OFFSET($P157,0,AP$13),15-13*ORÇAMENTO!$AF$7)*OFFSET(ORÇAMENTO!$W$15,ROW(AP157)-ROW(AP$15),0),15-13*ORÇAMENTO!$AF$11)),
         0)</f>
        <v>0</v>
      </c>
      <c r="AQ157" s="453">
        <f ca="1">IF(AND($D157="Serviço",AQ$12&lt;&gt;0,$H157&gt;0,OR(AUTOEVENTO&lt;&gt;"manual",$M157&lt;&gt;$A$15)),
        IF(Import.TipoArredondamento&lt;&gt;"TransfereGOV",
              ROUND(OFFSET($P157,0,AQ$13),15-13*ORÇAMENTO!$AF$7)/$H157*OFFSET(ORÇAMENTO!$X$15,ROW(AQ157)-ROW(AQ$15),0),
              ROUND(ROUND(OFFSET($P157,0,AQ$13),15-13*ORÇAMENTO!$AF$7)*OFFSET(ORÇAMENTO!$W$15,ROW(AQ157)-ROW(AQ$15),0),15-13*ORÇAMENTO!$AF$11)),
         0)</f>
        <v>0</v>
      </c>
      <c r="AR157" s="453">
        <f ca="1">IF(AND($D157="Serviço",AR$12&lt;&gt;0,$H157&gt;0,OR(AUTOEVENTO&lt;&gt;"manual",$M157&lt;&gt;$A$15)),
        IF(Import.TipoArredondamento&lt;&gt;"TransfereGOV",
              ROUND(OFFSET($P157,0,AR$13),15-13*ORÇAMENTO!$AF$7)/$H157*OFFSET(ORÇAMENTO!$X$15,ROW(AR157)-ROW(AR$15),0),
              ROUND(ROUND(OFFSET($P157,0,AR$13),15-13*ORÇAMENTO!$AF$7)*OFFSET(ORÇAMENTO!$W$15,ROW(AR157)-ROW(AR$15),0),15-13*ORÇAMENTO!$AF$11)),
         0)</f>
        <v>0</v>
      </c>
      <c r="AS157" s="453">
        <f ca="1">IF(AND($D157="Serviço",AS$12&lt;&gt;0,$H157&gt;0,OR(AUTOEVENTO&lt;&gt;"manual",$M157&lt;&gt;$A$15)),
        IF(Import.TipoArredondamento&lt;&gt;"TransfereGOV",
              ROUND(OFFSET($P157,0,AS$13),15-13*ORÇAMENTO!$AF$7)/$H157*OFFSET(ORÇAMENTO!$X$15,ROW(AS157)-ROW(AS$15),0),
              ROUND(ROUND(OFFSET($P157,0,AS$13),15-13*ORÇAMENTO!$AF$7)*OFFSET(ORÇAMENTO!$W$15,ROW(AS157)-ROW(AS$15),0),15-13*ORÇAMENTO!$AF$11)),
         0)</f>
        <v>0</v>
      </c>
      <c r="AT157" s="453">
        <f ca="1">IF(AND($D157="Serviço",AT$12&lt;&gt;0,$H157&gt;0,OR(AUTOEVENTO&lt;&gt;"manual",$M157&lt;&gt;$A$15)),
        IF(Import.TipoArredondamento&lt;&gt;"TransfereGOV",
              ROUND(OFFSET($P157,0,AT$13),15-13*ORÇAMENTO!$AF$7)/$H157*OFFSET(ORÇAMENTO!$X$15,ROW(AT157)-ROW(AT$15),0),
              ROUND(ROUND(OFFSET($P157,0,AT$13),15-13*ORÇAMENTO!$AF$7)*OFFSET(ORÇAMENTO!$W$15,ROW(AT157)-ROW(AT$15),0),15-13*ORÇAMENTO!$AF$11)),
         0)</f>
        <v>0</v>
      </c>
      <c r="AU157" s="453">
        <f ca="1">IF(AND($D157="Serviço",AU$12&lt;&gt;0,$H157&gt;0,OR(AUTOEVENTO&lt;&gt;"manual",$M157&lt;&gt;$A$15)),
        IF(Import.TipoArredondamento&lt;&gt;"TransfereGOV",
              ROUND(OFFSET($P157,0,AU$13),15-13*ORÇAMENTO!$AF$7)/$H157*OFFSET(ORÇAMENTO!$X$15,ROW(AU157)-ROW(AU$15),0),
              ROUND(ROUND(OFFSET($P157,0,AU$13),15-13*ORÇAMENTO!$AF$7)*OFFSET(ORÇAMENTO!$W$15,ROW(AU157)-ROW(AU$15),0),15-13*ORÇAMENTO!$AF$11)),
         0)</f>
        <v>0</v>
      </c>
      <c r="AV157" s="453">
        <f ca="1">IF(AND($D157="Serviço",AV$12&lt;&gt;0,$H157&gt;0,OR(AUTOEVENTO&lt;&gt;"manual",$M157&lt;&gt;$A$15)),
        IF(Import.TipoArredondamento&lt;&gt;"TransfereGOV",
              ROUND(OFFSET($P157,0,AV$13),15-13*ORÇAMENTO!$AF$7)/$H157*OFFSET(ORÇAMENTO!$X$15,ROW(AV157)-ROW(AV$15),0),
              ROUND(ROUND(OFFSET($P157,0,AV$13),15-13*ORÇAMENTO!$AF$7)*OFFSET(ORÇAMENTO!$W$15,ROW(AV157)-ROW(AV$15),0),15-13*ORÇAMENTO!$AF$11)),
         0)</f>
        <v>0</v>
      </c>
      <c r="AW157" s="453">
        <f ca="1">IF(AND($D157="Serviço",AW$12&lt;&gt;0,$H157&gt;0,OR(AUTOEVENTO&lt;&gt;"manual",$M157&lt;&gt;$A$15)),
        IF(Import.TipoArredondamento&lt;&gt;"TransfereGOV",
              ROUND(OFFSET($P157,0,AW$13),15-13*ORÇAMENTO!$AF$7)/$H157*OFFSET(ORÇAMENTO!$X$15,ROW(AW157)-ROW(AW$15),0),
              ROUND(ROUND(OFFSET($P157,0,AW$13),15-13*ORÇAMENTO!$AF$7)*OFFSET(ORÇAMENTO!$W$15,ROW(AW157)-ROW(AW$15),0),15-13*ORÇAMENTO!$AF$11)),
         0)</f>
        <v>0</v>
      </c>
      <c r="AX157" s="453">
        <f ca="1">IF(AND($D157="Serviço",AX$12&lt;&gt;0,$H157&gt;0,OR(AUTOEVENTO&lt;&gt;"manual",$M157&lt;&gt;$A$15)),
        IF(Import.TipoArredondamento&lt;&gt;"TransfereGOV",
              ROUND(OFFSET($P157,0,AX$13),15-13*ORÇAMENTO!$AF$7)/$H157*OFFSET(ORÇAMENTO!$X$15,ROW(AX157)-ROW(AX$15),0),
              ROUND(ROUND(OFFSET($P157,0,AX$13),15-13*ORÇAMENTO!$AF$7)*OFFSET(ORÇAMENTO!$W$15,ROW(AX157)-ROW(AX$15),0),15-13*ORÇAMENTO!$AF$11)),
         0)</f>
        <v>0</v>
      </c>
      <c r="AY157" s="453">
        <f ca="1">IF(AND($D157="Serviço",AY$12&lt;&gt;0,$H157&gt;0,OR(AUTOEVENTO&lt;&gt;"manual",$M157&lt;&gt;$A$15)),
        IF(Import.TipoArredondamento&lt;&gt;"TransfereGOV",
              ROUND(OFFSET($P157,0,AY$13),15-13*ORÇAMENTO!$AF$7)/$H157*OFFSET(ORÇAMENTO!$X$15,ROW(AY157)-ROW(AY$15),0),
              ROUND(ROUND(OFFSET($P157,0,AY$13),15-13*ORÇAMENTO!$AF$7)*OFFSET(ORÇAMENTO!$W$15,ROW(AY157)-ROW(AY$15),0),15-13*ORÇAMENTO!$AF$11)),
         0)</f>
        <v>0</v>
      </c>
      <c r="AZ157" s="453">
        <f ca="1">IF(AND($D157="Serviço",AZ$12&lt;&gt;0,$H157&gt;0,OR(AUTOEVENTO&lt;&gt;"manual",$M157&lt;&gt;$A$15)),
        IF(Import.TipoArredondamento&lt;&gt;"TransfereGOV",
              ROUND(OFFSET($P157,0,AZ$13),15-13*ORÇAMENTO!$AF$7)/$H157*OFFSET(ORÇAMENTO!$X$15,ROW(AZ157)-ROW(AZ$15),0),
              ROUND(ROUND(OFFSET($P157,0,AZ$13),15-13*ORÇAMENTO!$AF$7)*OFFSET(ORÇAMENTO!$W$15,ROW(AZ157)-ROW(AZ$15),0),15-13*ORÇAMENTO!$AF$11)),
         0)</f>
        <v>0</v>
      </c>
      <c r="BA157" s="453">
        <f ca="1">IF(AND($D157="Serviço",BA$12&lt;&gt;0,$H157&gt;0,OR(AUTOEVENTO&lt;&gt;"manual",$M157&lt;&gt;$A$15)),
        IF(Import.TipoArredondamento&lt;&gt;"TransfereGOV",
              ROUND(OFFSET($P157,0,BA$13),15-13*ORÇAMENTO!$AF$7)/$H157*OFFSET(ORÇAMENTO!$X$15,ROW(BA157)-ROW(BA$15),0),
              ROUND(ROUND(OFFSET($P157,0,BA$13),15-13*ORÇAMENTO!$AF$7)*OFFSET(ORÇAMENTO!$W$15,ROW(BA157)-ROW(BA$15),0),15-13*ORÇAMENTO!$AF$11)),
         0)</f>
        <v>0</v>
      </c>
      <c r="BC157" s="171">
        <f ca="1">IF(OR($D157&lt;&gt;"Serviço",AND(AUTOEVENTO="Manual",$M157=$A$15)),0,
         IF(OFFSET(CRONOPLE!$F$15,$M157-$A$15,BC$13)=0,10^12,OFFSET(CRONOPLE!$F$15,$M157-$A$15,BC$13)))</f>
        <v>1000000000000</v>
      </c>
      <c r="BD157" s="171">
        <f ca="1">IF(OR($D157&lt;&gt;"Serviço",AND(AUTOEVENTO="Manual",$M157=$A$15)),0,
         IF(OFFSET(CRONOPLE!$F$15,$M157-$A$15,BD$13)=0,10^12,OFFSET(CRONOPLE!$F$15,$M157-$A$15,BD$13)))</f>
        <v>1000000000000</v>
      </c>
      <c r="BE157" s="171">
        <f ca="1">IF(OR($D157&lt;&gt;"Serviço",AND(AUTOEVENTO="Manual",$M157=$A$15)),0,
         IF(OFFSET(CRONOPLE!$F$15,$M157-$A$15,BE$13)=0,10^12,OFFSET(CRONOPLE!$F$15,$M157-$A$15,BE$13)))</f>
        <v>1000000000000</v>
      </c>
      <c r="BF157" s="171">
        <f ca="1">IF(OR($D157&lt;&gt;"Serviço",AND(AUTOEVENTO="Manual",$M157=$A$15)),0,
         IF(OFFSET(CRONOPLE!$F$15,$M157-$A$15,BF$13)=0,10^12,OFFSET(CRONOPLE!$F$15,$M157-$A$15,BF$13)))</f>
        <v>1000000000000</v>
      </c>
      <c r="BG157" s="171">
        <f ca="1">IF(OR($D157&lt;&gt;"Serviço",AND(AUTOEVENTO="Manual",$M157=$A$15)),0,
         IF(OFFSET(CRONOPLE!$F$15,$M157-$A$15,BG$13)=0,10^12,OFFSET(CRONOPLE!$F$15,$M157-$A$15,BG$13)))</f>
        <v>1000000000000</v>
      </c>
      <c r="BH157" s="171">
        <f ca="1">IF(OR($D157&lt;&gt;"Serviço",AND(AUTOEVENTO="Manual",$M157=$A$15)),0,
         IF(OFFSET(CRONOPLE!$F$15,$M157-$A$15,BH$13)=0,10^12,OFFSET(CRONOPLE!$F$15,$M157-$A$15,BH$13)))</f>
        <v>6</v>
      </c>
      <c r="BI157" s="171">
        <f ca="1">IF(OR($D157&lt;&gt;"Serviço",AND(AUTOEVENTO="Manual",$M157=$A$15)),0,
         IF(OFFSET(CRONOPLE!$F$15,$M157-$A$15,BI$13)=0,10^12,OFFSET(CRONOPLE!$F$15,$M157-$A$15,BI$13)))</f>
        <v>1000000000000</v>
      </c>
      <c r="BJ157" s="171">
        <f ca="1">IF(OR($D157&lt;&gt;"Serviço",AND(AUTOEVENTO="Manual",$M157=$A$15)),0,
         IF(OFFSET(CRONOPLE!$F$15,$M157-$A$15,BJ$13)=0,10^12,OFFSET(CRONOPLE!$F$15,$M157-$A$15,BJ$13)))</f>
        <v>1000000000000</v>
      </c>
      <c r="BK157" s="171">
        <f ca="1">IF(OR($D157&lt;&gt;"Serviço",AND(AUTOEVENTO="Manual",$M157=$A$15)),0,
         IF(OFFSET(CRONOPLE!$F$15,$M157-$A$15,BK$13)=0,10^12,OFFSET(CRONOPLE!$F$15,$M157-$A$15,BK$13)))</f>
        <v>1000000000000</v>
      </c>
      <c r="BL157" s="171">
        <f ca="1">IF(OR($D157&lt;&gt;"Serviço",AND(AUTOEVENTO="Manual",$M157=$A$15)),0,
         IF(OFFSET(CRONOPLE!$F$15,$M157-$A$15,BL$13)=0,10^12,OFFSET(CRONOPLE!$F$15,$M157-$A$15,BL$13)))</f>
        <v>1000000000000</v>
      </c>
      <c r="BM157" s="171">
        <f ca="1">IF(OR($D157&lt;&gt;"Serviço",AND(AUTOEVENTO="Manual",$M157=$A$15)),0,
         IF(OFFSET(CRONOPLE!$F$15,$M157-$A$15,BM$13)=0,10^12,OFFSET(CRONOPLE!$F$15,$M157-$A$15,BM$13)))</f>
        <v>1000000000000</v>
      </c>
      <c r="BN157" s="171">
        <f ca="1">IF(OR($D157&lt;&gt;"Serviço",AND(AUTOEVENTO="Manual",$M157=$A$15)),0,
         IF(OFFSET(CRONOPLE!$F$15,$M157-$A$15,BN$13)=0,10^12,OFFSET(CRONOPLE!$F$15,$M157-$A$15,BN$13)))</f>
        <v>1000000000000</v>
      </c>
      <c r="BO157" s="171">
        <f ca="1">IF(OR($D157&lt;&gt;"Serviço",AND(AUTOEVENTO="Manual",$M157=$A$15)),0,
         IF(OFFSET(CRONOPLE!$F$15,$M157-$A$15,BO$13)=0,10^12,OFFSET(CRONOPLE!$F$15,$M157-$A$15,BO$13)))</f>
        <v>1000000000000</v>
      </c>
      <c r="BP157" s="171">
        <f ca="1">IF(OR($D157&lt;&gt;"Serviço",AND(AUTOEVENTO="Manual",$M157=$A$15)),0,
         IF(OFFSET(CRONOPLE!$F$15,$M157-$A$15,BP$13)=0,10^12,OFFSET(CRONOPLE!$F$15,$M157-$A$15,BP$13)))</f>
        <v>1000000000000</v>
      </c>
      <c r="BQ157" s="171">
        <f ca="1">IF(OR($D157&lt;&gt;"Serviço",AND(AUTOEVENTO="Manual",$M157=$A$15)),0,
         IF(OFFSET(CRONOPLE!$F$15,$M157-$A$15,BQ$13)=0,10^12,OFFSET(CRONOPLE!$F$15,$M157-$A$15,BQ$13)))</f>
        <v>1000000000000</v>
      </c>
      <c r="BR157" s="171">
        <f ca="1">IF(OR($D157&lt;&gt;"Serviço",AND(AUTOEVENTO="Manual",$M157=$A$15)),0,
         IF(OFFSET(CRONOPLE!$F$15,$M157-$A$15,BR$13)=0,10^12,OFFSET(CRONOPLE!$F$15,$M157-$A$15,BR$13)))</f>
        <v>1000000000000</v>
      </c>
      <c r="BS157" s="171">
        <f ca="1">IF(OR($D157&lt;&gt;"Serviço",AND(AUTOEVENTO="Manual",$M157=$A$15)),0,
         IF(OFFSET(CRONOPLE!$F$15,$M157-$A$15,BS$13)=0,10^12,OFFSET(CRONOPLE!$F$15,$M157-$A$15,BS$13)))</f>
        <v>1000000000000</v>
      </c>
      <c r="BT157" s="171">
        <f ca="1">IF(OR($D157&lt;&gt;"Serviço",AND(AUTOEVENTO="Manual",$M157=$A$15)),0,
         IF(OFFSET(CRONOPLE!$F$15,$M157-$A$15,BT$13)=0,10^12,OFFSET(CRONOPLE!$F$15,$M157-$A$15,BT$13)))</f>
        <v>1000000000000</v>
      </c>
      <c r="BV157" s="172">
        <f ca="1">IF(OR($D157&lt;&gt;"Serviço",AND(AUTOEVENTO="Manual",$M157=$A$15),$M157&gt;(ROW(PLE.lastrow)-ROW(PLE.firstrow))),0,
           IF(OFFSET(PLE!$G$15,$M157-$A$15,BV$13)="",10^12,OFFSET(PLE!$G$15,$M157-$A$15,BV$13)))</f>
        <v>1000000000000</v>
      </c>
      <c r="BW157" s="172">
        <f ca="1">IF(OR($D157&lt;&gt;"Serviço",AND(AUTOEVENTO="Manual",$M157=$A$15),$M157&gt;(ROW(PLE.lastrow)-ROW(PLE.firstrow))),0,
           IF(OFFSET(PLE!$G$15,$M157-$A$15,BW$13)="",10^12,OFFSET(PLE!$G$15,$M157-$A$15,BW$13)))</f>
        <v>1000000000000</v>
      </c>
      <c r="BX157" s="172">
        <f ca="1">IF(OR($D157&lt;&gt;"Serviço",AND(AUTOEVENTO="Manual",$M157=$A$15),$M157&gt;(ROW(PLE.lastrow)-ROW(PLE.firstrow))),0,
           IF(OFFSET(PLE!$G$15,$M157-$A$15,BX$13)="",10^12,OFFSET(PLE!$G$15,$M157-$A$15,BX$13)))</f>
        <v>1000000000000</v>
      </c>
      <c r="BY157" s="172">
        <f ca="1">IF(OR($D157&lt;&gt;"Serviço",AND(AUTOEVENTO="Manual",$M157=$A$15),$M157&gt;(ROW(PLE.lastrow)-ROW(PLE.firstrow))),0,
           IF(OFFSET(PLE!$G$15,$M157-$A$15,BY$13)="",10^12,OFFSET(PLE!$G$15,$M157-$A$15,BY$13)))</f>
        <v>1000000000000</v>
      </c>
      <c r="BZ157" s="172">
        <f ca="1">IF(OR($D157&lt;&gt;"Serviço",AND(AUTOEVENTO="Manual",$M157=$A$15),$M157&gt;(ROW(PLE.lastrow)-ROW(PLE.firstrow))),0,
           IF(OFFSET(PLE!$G$15,$M157-$A$15,BZ$13)="",10^12,OFFSET(PLE!$G$15,$M157-$A$15,BZ$13)))</f>
        <v>1000000000000</v>
      </c>
      <c r="CA157" s="172">
        <f ca="1">IF(OR($D157&lt;&gt;"Serviço",AND(AUTOEVENTO="Manual",$M157=$A$15),$M157&gt;(ROW(PLE.lastrow)-ROW(PLE.firstrow))),0,
           IF(OFFSET(PLE!$G$15,$M157-$A$15,CA$13)="",10^12,OFFSET(PLE!$G$15,$M157-$A$15,CA$13)))</f>
        <v>1000000000000</v>
      </c>
      <c r="CB157" s="172">
        <f ca="1">IF(OR($D157&lt;&gt;"Serviço",AND(AUTOEVENTO="Manual",$M157=$A$15),$M157&gt;(ROW(PLE.lastrow)-ROW(PLE.firstrow))),0,
           IF(OFFSET(PLE!$G$15,$M157-$A$15,CB$13)="",10^12,OFFSET(PLE!$G$15,$M157-$A$15,CB$13)))</f>
        <v>1000000000000</v>
      </c>
      <c r="CC157" s="172">
        <f ca="1">IF(OR($D157&lt;&gt;"Serviço",AND(AUTOEVENTO="Manual",$M157=$A$15),$M157&gt;(ROW(PLE.lastrow)-ROW(PLE.firstrow))),0,
           IF(OFFSET(PLE!$G$15,$M157-$A$15,CC$13)="",10^12,OFFSET(PLE!$G$15,$M157-$A$15,CC$13)))</f>
        <v>1000000000000</v>
      </c>
      <c r="CD157" s="172">
        <f ca="1">IF(OR($D157&lt;&gt;"Serviço",AND(AUTOEVENTO="Manual",$M157=$A$15),$M157&gt;(ROW(PLE.lastrow)-ROW(PLE.firstrow))),0,
           IF(OFFSET(PLE!$G$15,$M157-$A$15,CD$13)="",10^12,OFFSET(PLE!$G$15,$M157-$A$15,CD$13)))</f>
        <v>1000000000000</v>
      </c>
      <c r="CE157" s="172">
        <f ca="1">IF(OR($D157&lt;&gt;"Serviço",AND(AUTOEVENTO="Manual",$M157=$A$15),$M157&gt;(ROW(PLE.lastrow)-ROW(PLE.firstrow))),0,
           IF(OFFSET(PLE!$G$15,$M157-$A$15,CE$13)="",10^12,OFFSET(PLE!$G$15,$M157-$A$15,CE$13)))</f>
        <v>1000000000000</v>
      </c>
      <c r="CF157" s="172">
        <f ca="1">IF(OR($D157&lt;&gt;"Serviço",AND(AUTOEVENTO="Manual",$M157=$A$15),$M157&gt;(ROW(PLE.lastrow)-ROW(PLE.firstrow))),0,
           IF(OFFSET(PLE!$G$15,$M157-$A$15,CF$13)="",10^12,OFFSET(PLE!$G$15,$M157-$A$15,CF$13)))</f>
        <v>1000000000000</v>
      </c>
      <c r="CG157" s="172">
        <f ca="1">IF(OR($D157&lt;&gt;"Serviço",AND(AUTOEVENTO="Manual",$M157=$A$15),$M157&gt;(ROW(PLE.lastrow)-ROW(PLE.firstrow))),0,
           IF(OFFSET(PLE!$G$15,$M157-$A$15,CG$13)="",10^12,OFFSET(PLE!$G$15,$M157-$A$15,CG$13)))</f>
        <v>1000000000000</v>
      </c>
      <c r="CH157" s="172">
        <f ca="1">IF(OR($D157&lt;&gt;"Serviço",AND(AUTOEVENTO="Manual",$M157=$A$15),$M157&gt;(ROW(PLE.lastrow)-ROW(PLE.firstrow))),0,
           IF(OFFSET(PLE!$G$15,$M157-$A$15,CH$13)="",10^12,OFFSET(PLE!$G$15,$M157-$A$15,CH$13)))</f>
        <v>1000000000000</v>
      </c>
      <c r="CI157" s="172">
        <f ca="1">IF(OR($D157&lt;&gt;"Serviço",AND(AUTOEVENTO="Manual",$M157=$A$15),$M157&gt;(ROW(PLE.lastrow)-ROW(PLE.firstrow))),0,
           IF(OFFSET(PLE!$G$15,$M157-$A$15,CI$13)="",10^12,OFFSET(PLE!$G$15,$M157-$A$15,CI$13)))</f>
        <v>1000000000000</v>
      </c>
      <c r="CJ157" s="172">
        <f ca="1">IF(OR($D157&lt;&gt;"Serviço",AND(AUTOEVENTO="Manual",$M157=$A$15),$M157&gt;(ROW(PLE.lastrow)-ROW(PLE.firstrow))),0,
           IF(OFFSET(PLE!$G$15,$M157-$A$15,CJ$13)="",10^12,OFFSET(PLE!$G$15,$M157-$A$15,CJ$13)))</f>
        <v>1000000000000</v>
      </c>
      <c r="CK157" s="172">
        <f ca="1">IF(OR($D157&lt;&gt;"Serviço",AND(AUTOEVENTO="Manual",$M157=$A$15),$M157&gt;(ROW(PLE.lastrow)-ROW(PLE.firstrow))),0,
           IF(OFFSET(PLE!$G$15,$M157-$A$15,CK$13)="",10^12,OFFSET(PLE!$G$15,$M157-$A$15,CK$13)))</f>
        <v>1000000000000</v>
      </c>
      <c r="CL157" s="172">
        <f ca="1">IF(OR($D157&lt;&gt;"Serviço",AND(AUTOEVENTO="Manual",$M157=$A$15),$M157&gt;(ROW(PLE.lastrow)-ROW(PLE.firstrow))),0,
           IF(OFFSET(PLE!$G$15,$M157-$A$15,CL$13)="",10^12,OFFSET(PLE!$G$15,$M157-$A$15,CL$13)))</f>
        <v>1000000000000</v>
      </c>
      <c r="CM157" s="172">
        <f ca="1">IF(OR($D157&lt;&gt;"Serviço",AND(AUTOEVENTO="Manual",$M157=$A$15),$M157&gt;(ROW(PLE.lastrow)-ROW(PLE.firstrow))),0,
           IF(OFFSET(PLE!$G$15,$M157-$A$15,CM$13)="",10^12,OFFSET(PLE!$G$15,$M157-$A$15,CM$13)))</f>
        <v>1000000000000</v>
      </c>
    </row>
    <row r="158" spans="1:91" ht="13.2" x14ac:dyDescent="0.25">
      <c r="A158" s="7" t="str">
        <f t="shared" ca="1" si="11"/>
        <v>143.</v>
      </c>
      <c r="B158" s="7">
        <f ca="1">OFFSET(ORÇAMENTO!C$15,ROW(B158)-ROW(B$15),0)</f>
        <v>2</v>
      </c>
      <c r="C158" s="7" t="str">
        <f ca="1">OFFSET(ORÇAMENTO!L$15,ROW(C158)-ROW(C$15),0)</f>
        <v>F</v>
      </c>
      <c r="D158" s="116" t="str">
        <f ca="1">OFFSET(ORÇAMENTO!N$15,ROW(D158)-ROW(D$15),0)</f>
        <v>Nível 2</v>
      </c>
      <c r="E158" s="117" t="str">
        <f ca="1">OFFSET(ORÇAMENTO!O$15,ROW(E158)-ROW(E$15),0)</f>
        <v>4.4.</v>
      </c>
      <c r="F158" s="163" t="str">
        <f ca="1">OFFSET(ORÇAMENTO!R$15,ROW(F158)-ROW(F$15),0)</f>
        <v xml:space="preserve">ENSAIOS </v>
      </c>
      <c r="G158" s="164" t="str">
        <f ca="1">IF($D158&lt;&gt;"Serviço","",OFFSET(ORÇAMENTO!S$15,ROW(G158)-ROW(G$15),0))</f>
        <v/>
      </c>
      <c r="H158" s="122" cm="1">
        <f t="array" aca="1" ref="H158" ca="1">IF($D158&lt;&gt;"Serviço",0,IF(ACOMPANHAMENTO="BM",ROUND(OFFSET(ORÇAMENTO!AJ$15,ROW(H158)-ROW(H$15),0),15-13*ORÇAMENTO!$AF$7),SUMPRODUCT(($Q$1:$AI$1=1)*ROUND($Q158:$AI158,15-13*ORÇAMENTO!$AF$7))))</f>
        <v>0</v>
      </c>
      <c r="I158" s="468"/>
      <c r="J158" s="651" t="str" cm="1">
        <f t="array" aca="1" ref="J158" ca="1">IF(OR(B158&lt;&gt;"S",CÁLCULO.FrentesPreenchidas=0),"",IF(AND(ACOMPANHAMENTO="PLE",AUTOEVENTO="Manual",OR(H158&gt;0,ORÇAMENTO!AC158="QUANT."),OR(K158="",M158=0,N158="")),"►E",IF(AND(ACOMPANHAMENTO="PLE",ORÇAMENTO!AC158="QUANT."),"►Q",IF(AND(ACOMPANHAMENTO="PLE",H158&lt;&gt;SUMPRODUCT(($Q$1:$AI$1=1)*ROUND(Q158:AI158,15))),"►S",IF(AND(COUNTIF($P$11:$AI$11,"▼")=0,H158&gt;0,I158=""),"◄M","")))))</f>
        <v/>
      </c>
      <c r="K158" s="652"/>
      <c r="L158" s="165" t="s">
        <v>764</v>
      </c>
      <c r="M158" s="166" t="str">
        <f ca="1">IF($D158&lt;&gt;"Serviço","",
          IF(AUTOEVENTO="manual",$A158,
                IF(ISERROR(MATCH($A158,$A$15:OFFSET($A158,-1,0),0)),MAX($M$15:OFFSET(M158,-1,0))+1,
                      INDEX($M$15:OFFSET(M158,-1,0),MATCH($A158,$A$15:OFFSET($A158,-1,0),0)))))</f>
        <v/>
      </c>
      <c r="N158" s="167" t="str">
        <f ca="1">IF($D158&lt;&gt;"Serviço","",
         IF(AUTOEVENTO="Manual",
                IF($A158=0,"&lt;-- defina o número do agrupador",
                       OFFSET(EVENTOS!$D$15,$A158-$A$15,0)),
                OFFSET($F$15,$A158,0)))</f>
        <v/>
      </c>
      <c r="O158" s="168"/>
      <c r="Q158" s="168"/>
      <c r="R158" s="169"/>
      <c r="S158" s="169"/>
      <c r="T158" s="169"/>
      <c r="U158" s="169"/>
      <c r="V158" s="169"/>
      <c r="W158" s="169"/>
      <c r="X158" s="169"/>
      <c r="Y158" s="169"/>
      <c r="Z158" s="170"/>
      <c r="AA158" s="169"/>
      <c r="AB158" s="169"/>
      <c r="AC158" s="169"/>
      <c r="AD158" s="169"/>
      <c r="AE158" s="169"/>
      <c r="AF158" s="169"/>
      <c r="AG158" s="169"/>
      <c r="AH158" s="170"/>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L158" s="453">
        <f ca="1">IF(AND($D158="Serviço",AL$12&lt;&gt;0,$H158&gt;0,OR(AUTOEVENTO&lt;&gt;"manual",$M158&lt;&gt;$A$15)),
        IF(Import.TipoArredondamento&lt;&gt;"TransfereGOV",
              ROUND(OFFSET($P158,0,AL$13),15-13*ORÇAMENTO!$AF$7)/$H158*OFFSET(ORÇAMENTO!$X$15,ROW(AL158)-ROW(AL$15),0),
              ROUND(ROUND(OFFSET($P158,0,AL$13),15-13*ORÇAMENTO!$AF$7)*OFFSET(ORÇAMENTO!$W$15,ROW(AL158)-ROW(AL$15),0),15-13*ORÇAMENTO!$AF$11)),
         0)</f>
        <v>0</v>
      </c>
      <c r="AM158" s="453">
        <f ca="1">IF(AND($D158="Serviço",AM$12&lt;&gt;0,$H158&gt;0,OR(AUTOEVENTO&lt;&gt;"manual",$M158&lt;&gt;$A$15)),
        IF(Import.TipoArredondamento&lt;&gt;"TransfereGOV",
              ROUND(OFFSET($P158,0,AM$13),15-13*ORÇAMENTO!$AF$7)/$H158*OFFSET(ORÇAMENTO!$X$15,ROW(AM158)-ROW(AM$15),0),
              ROUND(ROUND(OFFSET($P158,0,AM$13),15-13*ORÇAMENTO!$AF$7)*OFFSET(ORÇAMENTO!$W$15,ROW(AM158)-ROW(AM$15),0),15-13*ORÇAMENTO!$AF$11)),
         0)</f>
        <v>0</v>
      </c>
      <c r="AN158" s="453">
        <f ca="1">IF(AND($D158="Serviço",AN$12&lt;&gt;0,$H158&gt;0,OR(AUTOEVENTO&lt;&gt;"manual",$M158&lt;&gt;$A$15)),
        IF(Import.TipoArredondamento&lt;&gt;"TransfereGOV",
              ROUND(OFFSET($P158,0,AN$13),15-13*ORÇAMENTO!$AF$7)/$H158*OFFSET(ORÇAMENTO!$X$15,ROW(AN158)-ROW(AN$15),0),
              ROUND(ROUND(OFFSET($P158,0,AN$13),15-13*ORÇAMENTO!$AF$7)*OFFSET(ORÇAMENTO!$W$15,ROW(AN158)-ROW(AN$15),0),15-13*ORÇAMENTO!$AF$11)),
         0)</f>
        <v>0</v>
      </c>
      <c r="AO158" s="453">
        <f ca="1">IF(AND($D158="Serviço",AO$12&lt;&gt;0,$H158&gt;0,OR(AUTOEVENTO&lt;&gt;"manual",$M158&lt;&gt;$A$15)),
        IF(Import.TipoArredondamento&lt;&gt;"TransfereGOV",
              ROUND(OFFSET($P158,0,AO$13),15-13*ORÇAMENTO!$AF$7)/$H158*OFFSET(ORÇAMENTO!$X$15,ROW(AO158)-ROW(AO$15),0),
              ROUND(ROUND(OFFSET($P158,0,AO$13),15-13*ORÇAMENTO!$AF$7)*OFFSET(ORÇAMENTO!$W$15,ROW(AO158)-ROW(AO$15),0),15-13*ORÇAMENTO!$AF$11)),
         0)</f>
        <v>0</v>
      </c>
      <c r="AP158" s="453">
        <f ca="1">IF(AND($D158="Serviço",AP$12&lt;&gt;0,$H158&gt;0,OR(AUTOEVENTO&lt;&gt;"manual",$M158&lt;&gt;$A$15)),
        IF(Import.TipoArredondamento&lt;&gt;"TransfereGOV",
              ROUND(OFFSET($P158,0,AP$13),15-13*ORÇAMENTO!$AF$7)/$H158*OFFSET(ORÇAMENTO!$X$15,ROW(AP158)-ROW(AP$15),0),
              ROUND(ROUND(OFFSET($P158,0,AP$13),15-13*ORÇAMENTO!$AF$7)*OFFSET(ORÇAMENTO!$W$15,ROW(AP158)-ROW(AP$15),0),15-13*ORÇAMENTO!$AF$11)),
         0)</f>
        <v>0</v>
      </c>
      <c r="AQ158" s="453">
        <f ca="1">IF(AND($D158="Serviço",AQ$12&lt;&gt;0,$H158&gt;0,OR(AUTOEVENTO&lt;&gt;"manual",$M158&lt;&gt;$A$15)),
        IF(Import.TipoArredondamento&lt;&gt;"TransfereGOV",
              ROUND(OFFSET($P158,0,AQ$13),15-13*ORÇAMENTO!$AF$7)/$H158*OFFSET(ORÇAMENTO!$X$15,ROW(AQ158)-ROW(AQ$15),0),
              ROUND(ROUND(OFFSET($P158,0,AQ$13),15-13*ORÇAMENTO!$AF$7)*OFFSET(ORÇAMENTO!$W$15,ROW(AQ158)-ROW(AQ$15),0),15-13*ORÇAMENTO!$AF$11)),
         0)</f>
        <v>0</v>
      </c>
      <c r="AR158" s="453">
        <f ca="1">IF(AND($D158="Serviço",AR$12&lt;&gt;0,$H158&gt;0,OR(AUTOEVENTO&lt;&gt;"manual",$M158&lt;&gt;$A$15)),
        IF(Import.TipoArredondamento&lt;&gt;"TransfereGOV",
              ROUND(OFFSET($P158,0,AR$13),15-13*ORÇAMENTO!$AF$7)/$H158*OFFSET(ORÇAMENTO!$X$15,ROW(AR158)-ROW(AR$15),0),
              ROUND(ROUND(OFFSET($P158,0,AR$13),15-13*ORÇAMENTO!$AF$7)*OFFSET(ORÇAMENTO!$W$15,ROW(AR158)-ROW(AR$15),0),15-13*ORÇAMENTO!$AF$11)),
         0)</f>
        <v>0</v>
      </c>
      <c r="AS158" s="453">
        <f ca="1">IF(AND($D158="Serviço",AS$12&lt;&gt;0,$H158&gt;0,OR(AUTOEVENTO&lt;&gt;"manual",$M158&lt;&gt;$A$15)),
        IF(Import.TipoArredondamento&lt;&gt;"TransfereGOV",
              ROUND(OFFSET($P158,0,AS$13),15-13*ORÇAMENTO!$AF$7)/$H158*OFFSET(ORÇAMENTO!$X$15,ROW(AS158)-ROW(AS$15),0),
              ROUND(ROUND(OFFSET($P158,0,AS$13),15-13*ORÇAMENTO!$AF$7)*OFFSET(ORÇAMENTO!$W$15,ROW(AS158)-ROW(AS$15),0),15-13*ORÇAMENTO!$AF$11)),
         0)</f>
        <v>0</v>
      </c>
      <c r="AT158" s="453">
        <f ca="1">IF(AND($D158="Serviço",AT$12&lt;&gt;0,$H158&gt;0,OR(AUTOEVENTO&lt;&gt;"manual",$M158&lt;&gt;$A$15)),
        IF(Import.TipoArredondamento&lt;&gt;"TransfereGOV",
              ROUND(OFFSET($P158,0,AT$13),15-13*ORÇAMENTO!$AF$7)/$H158*OFFSET(ORÇAMENTO!$X$15,ROW(AT158)-ROW(AT$15),0),
              ROUND(ROUND(OFFSET($P158,0,AT$13),15-13*ORÇAMENTO!$AF$7)*OFFSET(ORÇAMENTO!$W$15,ROW(AT158)-ROW(AT$15),0),15-13*ORÇAMENTO!$AF$11)),
         0)</f>
        <v>0</v>
      </c>
      <c r="AU158" s="453">
        <f ca="1">IF(AND($D158="Serviço",AU$12&lt;&gt;0,$H158&gt;0,OR(AUTOEVENTO&lt;&gt;"manual",$M158&lt;&gt;$A$15)),
        IF(Import.TipoArredondamento&lt;&gt;"TransfereGOV",
              ROUND(OFFSET($P158,0,AU$13),15-13*ORÇAMENTO!$AF$7)/$H158*OFFSET(ORÇAMENTO!$X$15,ROW(AU158)-ROW(AU$15),0),
              ROUND(ROUND(OFFSET($P158,0,AU$13),15-13*ORÇAMENTO!$AF$7)*OFFSET(ORÇAMENTO!$W$15,ROW(AU158)-ROW(AU$15),0),15-13*ORÇAMENTO!$AF$11)),
         0)</f>
        <v>0</v>
      </c>
      <c r="AV158" s="453">
        <f ca="1">IF(AND($D158="Serviço",AV$12&lt;&gt;0,$H158&gt;0,OR(AUTOEVENTO&lt;&gt;"manual",$M158&lt;&gt;$A$15)),
        IF(Import.TipoArredondamento&lt;&gt;"TransfereGOV",
              ROUND(OFFSET($P158,0,AV$13),15-13*ORÇAMENTO!$AF$7)/$H158*OFFSET(ORÇAMENTO!$X$15,ROW(AV158)-ROW(AV$15),0),
              ROUND(ROUND(OFFSET($P158,0,AV$13),15-13*ORÇAMENTO!$AF$7)*OFFSET(ORÇAMENTO!$W$15,ROW(AV158)-ROW(AV$15),0),15-13*ORÇAMENTO!$AF$11)),
         0)</f>
        <v>0</v>
      </c>
      <c r="AW158" s="453">
        <f ca="1">IF(AND($D158="Serviço",AW$12&lt;&gt;0,$H158&gt;0,OR(AUTOEVENTO&lt;&gt;"manual",$M158&lt;&gt;$A$15)),
        IF(Import.TipoArredondamento&lt;&gt;"TransfereGOV",
              ROUND(OFFSET($P158,0,AW$13),15-13*ORÇAMENTO!$AF$7)/$H158*OFFSET(ORÇAMENTO!$X$15,ROW(AW158)-ROW(AW$15),0),
              ROUND(ROUND(OFFSET($P158,0,AW$13),15-13*ORÇAMENTO!$AF$7)*OFFSET(ORÇAMENTO!$W$15,ROW(AW158)-ROW(AW$15),0),15-13*ORÇAMENTO!$AF$11)),
         0)</f>
        <v>0</v>
      </c>
      <c r="AX158" s="453">
        <f ca="1">IF(AND($D158="Serviço",AX$12&lt;&gt;0,$H158&gt;0,OR(AUTOEVENTO&lt;&gt;"manual",$M158&lt;&gt;$A$15)),
        IF(Import.TipoArredondamento&lt;&gt;"TransfereGOV",
              ROUND(OFFSET($P158,0,AX$13),15-13*ORÇAMENTO!$AF$7)/$H158*OFFSET(ORÇAMENTO!$X$15,ROW(AX158)-ROW(AX$15),0),
              ROUND(ROUND(OFFSET($P158,0,AX$13),15-13*ORÇAMENTO!$AF$7)*OFFSET(ORÇAMENTO!$W$15,ROW(AX158)-ROW(AX$15),0),15-13*ORÇAMENTO!$AF$11)),
         0)</f>
        <v>0</v>
      </c>
      <c r="AY158" s="453">
        <f ca="1">IF(AND($D158="Serviço",AY$12&lt;&gt;0,$H158&gt;0,OR(AUTOEVENTO&lt;&gt;"manual",$M158&lt;&gt;$A$15)),
        IF(Import.TipoArredondamento&lt;&gt;"TransfereGOV",
              ROUND(OFFSET($P158,0,AY$13),15-13*ORÇAMENTO!$AF$7)/$H158*OFFSET(ORÇAMENTO!$X$15,ROW(AY158)-ROW(AY$15),0),
              ROUND(ROUND(OFFSET($P158,0,AY$13),15-13*ORÇAMENTO!$AF$7)*OFFSET(ORÇAMENTO!$W$15,ROW(AY158)-ROW(AY$15),0),15-13*ORÇAMENTO!$AF$11)),
         0)</f>
        <v>0</v>
      </c>
      <c r="AZ158" s="453">
        <f ca="1">IF(AND($D158="Serviço",AZ$12&lt;&gt;0,$H158&gt;0,OR(AUTOEVENTO&lt;&gt;"manual",$M158&lt;&gt;$A$15)),
        IF(Import.TipoArredondamento&lt;&gt;"TransfereGOV",
              ROUND(OFFSET($P158,0,AZ$13),15-13*ORÇAMENTO!$AF$7)/$H158*OFFSET(ORÇAMENTO!$X$15,ROW(AZ158)-ROW(AZ$15),0),
              ROUND(ROUND(OFFSET($P158,0,AZ$13),15-13*ORÇAMENTO!$AF$7)*OFFSET(ORÇAMENTO!$W$15,ROW(AZ158)-ROW(AZ$15),0),15-13*ORÇAMENTO!$AF$11)),
         0)</f>
        <v>0</v>
      </c>
      <c r="BA158" s="453">
        <f ca="1">IF(AND($D158="Serviço",BA$12&lt;&gt;0,$H158&gt;0,OR(AUTOEVENTO&lt;&gt;"manual",$M158&lt;&gt;$A$15)),
        IF(Import.TipoArredondamento&lt;&gt;"TransfereGOV",
              ROUND(OFFSET($P158,0,BA$13),15-13*ORÇAMENTO!$AF$7)/$H158*OFFSET(ORÇAMENTO!$X$15,ROW(BA158)-ROW(BA$15),0),
              ROUND(ROUND(OFFSET($P158,0,BA$13),15-13*ORÇAMENTO!$AF$7)*OFFSET(ORÇAMENTO!$W$15,ROW(BA158)-ROW(BA$15),0),15-13*ORÇAMENTO!$AF$11)),
         0)</f>
        <v>0</v>
      </c>
      <c r="BC158" s="171">
        <f ca="1">IF(OR($D158&lt;&gt;"Serviço",AND(AUTOEVENTO="Manual",$M158=$A$15)),0,
         IF(OFFSET(CRONOPLE!$F$15,$M158-$A$15,BC$13)=0,10^12,OFFSET(CRONOPLE!$F$15,$M158-$A$15,BC$13)))</f>
        <v>0</v>
      </c>
      <c r="BD158" s="171">
        <f ca="1">IF(OR($D158&lt;&gt;"Serviço",AND(AUTOEVENTO="Manual",$M158=$A$15)),0,
         IF(OFFSET(CRONOPLE!$F$15,$M158-$A$15,BD$13)=0,10^12,OFFSET(CRONOPLE!$F$15,$M158-$A$15,BD$13)))</f>
        <v>0</v>
      </c>
      <c r="BE158" s="171">
        <f ca="1">IF(OR($D158&lt;&gt;"Serviço",AND(AUTOEVENTO="Manual",$M158=$A$15)),0,
         IF(OFFSET(CRONOPLE!$F$15,$M158-$A$15,BE$13)=0,10^12,OFFSET(CRONOPLE!$F$15,$M158-$A$15,BE$13)))</f>
        <v>0</v>
      </c>
      <c r="BF158" s="171">
        <f ca="1">IF(OR($D158&lt;&gt;"Serviço",AND(AUTOEVENTO="Manual",$M158=$A$15)),0,
         IF(OFFSET(CRONOPLE!$F$15,$M158-$A$15,BF$13)=0,10^12,OFFSET(CRONOPLE!$F$15,$M158-$A$15,BF$13)))</f>
        <v>0</v>
      </c>
      <c r="BG158" s="171">
        <f ca="1">IF(OR($D158&lt;&gt;"Serviço",AND(AUTOEVENTO="Manual",$M158=$A$15)),0,
         IF(OFFSET(CRONOPLE!$F$15,$M158-$A$15,BG$13)=0,10^12,OFFSET(CRONOPLE!$F$15,$M158-$A$15,BG$13)))</f>
        <v>0</v>
      </c>
      <c r="BH158" s="171">
        <f ca="1">IF(OR($D158&lt;&gt;"Serviço",AND(AUTOEVENTO="Manual",$M158=$A$15)),0,
         IF(OFFSET(CRONOPLE!$F$15,$M158-$A$15,BH$13)=0,10^12,OFFSET(CRONOPLE!$F$15,$M158-$A$15,BH$13)))</f>
        <v>0</v>
      </c>
      <c r="BI158" s="171">
        <f ca="1">IF(OR($D158&lt;&gt;"Serviço",AND(AUTOEVENTO="Manual",$M158=$A$15)),0,
         IF(OFFSET(CRONOPLE!$F$15,$M158-$A$15,BI$13)=0,10^12,OFFSET(CRONOPLE!$F$15,$M158-$A$15,BI$13)))</f>
        <v>0</v>
      </c>
      <c r="BJ158" s="171">
        <f ca="1">IF(OR($D158&lt;&gt;"Serviço",AND(AUTOEVENTO="Manual",$M158=$A$15)),0,
         IF(OFFSET(CRONOPLE!$F$15,$M158-$A$15,BJ$13)=0,10^12,OFFSET(CRONOPLE!$F$15,$M158-$A$15,BJ$13)))</f>
        <v>0</v>
      </c>
      <c r="BK158" s="171">
        <f ca="1">IF(OR($D158&lt;&gt;"Serviço",AND(AUTOEVENTO="Manual",$M158=$A$15)),0,
         IF(OFFSET(CRONOPLE!$F$15,$M158-$A$15,BK$13)=0,10^12,OFFSET(CRONOPLE!$F$15,$M158-$A$15,BK$13)))</f>
        <v>0</v>
      </c>
      <c r="BL158" s="171">
        <f ca="1">IF(OR($D158&lt;&gt;"Serviço",AND(AUTOEVENTO="Manual",$M158=$A$15)),0,
         IF(OFFSET(CRONOPLE!$F$15,$M158-$A$15,BL$13)=0,10^12,OFFSET(CRONOPLE!$F$15,$M158-$A$15,BL$13)))</f>
        <v>0</v>
      </c>
      <c r="BM158" s="171">
        <f ca="1">IF(OR($D158&lt;&gt;"Serviço",AND(AUTOEVENTO="Manual",$M158=$A$15)),0,
         IF(OFFSET(CRONOPLE!$F$15,$M158-$A$15,BM$13)=0,10^12,OFFSET(CRONOPLE!$F$15,$M158-$A$15,BM$13)))</f>
        <v>0</v>
      </c>
      <c r="BN158" s="171">
        <f ca="1">IF(OR($D158&lt;&gt;"Serviço",AND(AUTOEVENTO="Manual",$M158=$A$15)),0,
         IF(OFFSET(CRONOPLE!$F$15,$M158-$A$15,BN$13)=0,10^12,OFFSET(CRONOPLE!$F$15,$M158-$A$15,BN$13)))</f>
        <v>0</v>
      </c>
      <c r="BO158" s="171">
        <f ca="1">IF(OR($D158&lt;&gt;"Serviço",AND(AUTOEVENTO="Manual",$M158=$A$15)),0,
         IF(OFFSET(CRONOPLE!$F$15,$M158-$A$15,BO$13)=0,10^12,OFFSET(CRONOPLE!$F$15,$M158-$A$15,BO$13)))</f>
        <v>0</v>
      </c>
      <c r="BP158" s="171">
        <f ca="1">IF(OR($D158&lt;&gt;"Serviço",AND(AUTOEVENTO="Manual",$M158=$A$15)),0,
         IF(OFFSET(CRONOPLE!$F$15,$M158-$A$15,BP$13)=0,10^12,OFFSET(CRONOPLE!$F$15,$M158-$A$15,BP$13)))</f>
        <v>0</v>
      </c>
      <c r="BQ158" s="171">
        <f ca="1">IF(OR($D158&lt;&gt;"Serviço",AND(AUTOEVENTO="Manual",$M158=$A$15)),0,
         IF(OFFSET(CRONOPLE!$F$15,$M158-$A$15,BQ$13)=0,10^12,OFFSET(CRONOPLE!$F$15,$M158-$A$15,BQ$13)))</f>
        <v>0</v>
      </c>
      <c r="BR158" s="171">
        <f ca="1">IF(OR($D158&lt;&gt;"Serviço",AND(AUTOEVENTO="Manual",$M158=$A$15)),0,
         IF(OFFSET(CRONOPLE!$F$15,$M158-$A$15,BR$13)=0,10^12,OFFSET(CRONOPLE!$F$15,$M158-$A$15,BR$13)))</f>
        <v>0</v>
      </c>
      <c r="BS158" s="171">
        <f ca="1">IF(OR($D158&lt;&gt;"Serviço",AND(AUTOEVENTO="Manual",$M158=$A$15)),0,
         IF(OFFSET(CRONOPLE!$F$15,$M158-$A$15,BS$13)=0,10^12,OFFSET(CRONOPLE!$F$15,$M158-$A$15,BS$13)))</f>
        <v>0</v>
      </c>
      <c r="BT158" s="171">
        <f ca="1">IF(OR($D158&lt;&gt;"Serviço",AND(AUTOEVENTO="Manual",$M158=$A$15)),0,
         IF(OFFSET(CRONOPLE!$F$15,$M158-$A$15,BT$13)=0,10^12,OFFSET(CRONOPLE!$F$15,$M158-$A$15,BT$13)))</f>
        <v>0</v>
      </c>
      <c r="BV158" s="172">
        <f ca="1">IF(OR($D158&lt;&gt;"Serviço",AND(AUTOEVENTO="Manual",$M158=$A$15),$M158&gt;(ROW(PLE.lastrow)-ROW(PLE.firstrow))),0,
           IF(OFFSET(PLE!$G$15,$M158-$A$15,BV$13)="",10^12,OFFSET(PLE!$G$15,$M158-$A$15,BV$13)))</f>
        <v>0</v>
      </c>
      <c r="BW158" s="172">
        <f ca="1">IF(OR($D158&lt;&gt;"Serviço",AND(AUTOEVENTO="Manual",$M158=$A$15),$M158&gt;(ROW(PLE.lastrow)-ROW(PLE.firstrow))),0,
           IF(OFFSET(PLE!$G$15,$M158-$A$15,BW$13)="",10^12,OFFSET(PLE!$G$15,$M158-$A$15,BW$13)))</f>
        <v>0</v>
      </c>
      <c r="BX158" s="172">
        <f ca="1">IF(OR($D158&lt;&gt;"Serviço",AND(AUTOEVENTO="Manual",$M158=$A$15),$M158&gt;(ROW(PLE.lastrow)-ROW(PLE.firstrow))),0,
           IF(OFFSET(PLE!$G$15,$M158-$A$15,BX$13)="",10^12,OFFSET(PLE!$G$15,$M158-$A$15,BX$13)))</f>
        <v>0</v>
      </c>
      <c r="BY158" s="172">
        <f ca="1">IF(OR($D158&lt;&gt;"Serviço",AND(AUTOEVENTO="Manual",$M158=$A$15),$M158&gt;(ROW(PLE.lastrow)-ROW(PLE.firstrow))),0,
           IF(OFFSET(PLE!$G$15,$M158-$A$15,BY$13)="",10^12,OFFSET(PLE!$G$15,$M158-$A$15,BY$13)))</f>
        <v>0</v>
      </c>
      <c r="BZ158" s="172">
        <f ca="1">IF(OR($D158&lt;&gt;"Serviço",AND(AUTOEVENTO="Manual",$M158=$A$15),$M158&gt;(ROW(PLE.lastrow)-ROW(PLE.firstrow))),0,
           IF(OFFSET(PLE!$G$15,$M158-$A$15,BZ$13)="",10^12,OFFSET(PLE!$G$15,$M158-$A$15,BZ$13)))</f>
        <v>0</v>
      </c>
      <c r="CA158" s="172">
        <f ca="1">IF(OR($D158&lt;&gt;"Serviço",AND(AUTOEVENTO="Manual",$M158=$A$15),$M158&gt;(ROW(PLE.lastrow)-ROW(PLE.firstrow))),0,
           IF(OFFSET(PLE!$G$15,$M158-$A$15,CA$13)="",10^12,OFFSET(PLE!$G$15,$M158-$A$15,CA$13)))</f>
        <v>0</v>
      </c>
      <c r="CB158" s="172">
        <f ca="1">IF(OR($D158&lt;&gt;"Serviço",AND(AUTOEVENTO="Manual",$M158=$A$15),$M158&gt;(ROW(PLE.lastrow)-ROW(PLE.firstrow))),0,
           IF(OFFSET(PLE!$G$15,$M158-$A$15,CB$13)="",10^12,OFFSET(PLE!$G$15,$M158-$A$15,CB$13)))</f>
        <v>0</v>
      </c>
      <c r="CC158" s="172">
        <f ca="1">IF(OR($D158&lt;&gt;"Serviço",AND(AUTOEVENTO="Manual",$M158=$A$15),$M158&gt;(ROW(PLE.lastrow)-ROW(PLE.firstrow))),0,
           IF(OFFSET(PLE!$G$15,$M158-$A$15,CC$13)="",10^12,OFFSET(PLE!$G$15,$M158-$A$15,CC$13)))</f>
        <v>0</v>
      </c>
      <c r="CD158" s="172">
        <f ca="1">IF(OR($D158&lt;&gt;"Serviço",AND(AUTOEVENTO="Manual",$M158=$A$15),$M158&gt;(ROW(PLE.lastrow)-ROW(PLE.firstrow))),0,
           IF(OFFSET(PLE!$G$15,$M158-$A$15,CD$13)="",10^12,OFFSET(PLE!$G$15,$M158-$A$15,CD$13)))</f>
        <v>0</v>
      </c>
      <c r="CE158" s="172">
        <f ca="1">IF(OR($D158&lt;&gt;"Serviço",AND(AUTOEVENTO="Manual",$M158=$A$15),$M158&gt;(ROW(PLE.lastrow)-ROW(PLE.firstrow))),0,
           IF(OFFSET(PLE!$G$15,$M158-$A$15,CE$13)="",10^12,OFFSET(PLE!$G$15,$M158-$A$15,CE$13)))</f>
        <v>0</v>
      </c>
      <c r="CF158" s="172">
        <f ca="1">IF(OR($D158&lt;&gt;"Serviço",AND(AUTOEVENTO="Manual",$M158=$A$15),$M158&gt;(ROW(PLE.lastrow)-ROW(PLE.firstrow))),0,
           IF(OFFSET(PLE!$G$15,$M158-$A$15,CF$13)="",10^12,OFFSET(PLE!$G$15,$M158-$A$15,CF$13)))</f>
        <v>0</v>
      </c>
      <c r="CG158" s="172">
        <f ca="1">IF(OR($D158&lt;&gt;"Serviço",AND(AUTOEVENTO="Manual",$M158=$A$15),$M158&gt;(ROW(PLE.lastrow)-ROW(PLE.firstrow))),0,
           IF(OFFSET(PLE!$G$15,$M158-$A$15,CG$13)="",10^12,OFFSET(PLE!$G$15,$M158-$A$15,CG$13)))</f>
        <v>0</v>
      </c>
      <c r="CH158" s="172">
        <f ca="1">IF(OR($D158&lt;&gt;"Serviço",AND(AUTOEVENTO="Manual",$M158=$A$15),$M158&gt;(ROW(PLE.lastrow)-ROW(PLE.firstrow))),0,
           IF(OFFSET(PLE!$G$15,$M158-$A$15,CH$13)="",10^12,OFFSET(PLE!$G$15,$M158-$A$15,CH$13)))</f>
        <v>0</v>
      </c>
      <c r="CI158" s="172">
        <f ca="1">IF(OR($D158&lt;&gt;"Serviço",AND(AUTOEVENTO="Manual",$M158=$A$15),$M158&gt;(ROW(PLE.lastrow)-ROW(PLE.firstrow))),0,
           IF(OFFSET(PLE!$G$15,$M158-$A$15,CI$13)="",10^12,OFFSET(PLE!$G$15,$M158-$A$15,CI$13)))</f>
        <v>0</v>
      </c>
      <c r="CJ158" s="172">
        <f ca="1">IF(OR($D158&lt;&gt;"Serviço",AND(AUTOEVENTO="Manual",$M158=$A$15),$M158&gt;(ROW(PLE.lastrow)-ROW(PLE.firstrow))),0,
           IF(OFFSET(PLE!$G$15,$M158-$A$15,CJ$13)="",10^12,OFFSET(PLE!$G$15,$M158-$A$15,CJ$13)))</f>
        <v>0</v>
      </c>
      <c r="CK158" s="172">
        <f ca="1">IF(OR($D158&lt;&gt;"Serviço",AND(AUTOEVENTO="Manual",$M158=$A$15),$M158&gt;(ROW(PLE.lastrow)-ROW(PLE.firstrow))),0,
           IF(OFFSET(PLE!$G$15,$M158-$A$15,CK$13)="",10^12,OFFSET(PLE!$G$15,$M158-$A$15,CK$13)))</f>
        <v>0</v>
      </c>
      <c r="CL158" s="172">
        <f ca="1">IF(OR($D158&lt;&gt;"Serviço",AND(AUTOEVENTO="Manual",$M158=$A$15),$M158&gt;(ROW(PLE.lastrow)-ROW(PLE.firstrow))),0,
           IF(OFFSET(PLE!$G$15,$M158-$A$15,CL$13)="",10^12,OFFSET(PLE!$G$15,$M158-$A$15,CL$13)))</f>
        <v>0</v>
      </c>
      <c r="CM158" s="172">
        <f ca="1">IF(OR($D158&lt;&gt;"Serviço",AND(AUTOEVENTO="Manual",$M158=$A$15),$M158&gt;(ROW(PLE.lastrow)-ROW(PLE.firstrow))),0,
           IF(OFFSET(PLE!$G$15,$M158-$A$15,CM$13)="",10^12,OFFSET(PLE!$G$15,$M158-$A$15,CM$13)))</f>
        <v>0</v>
      </c>
    </row>
    <row r="159" spans="1:91" ht="26.4" x14ac:dyDescent="0.25">
      <c r="A159" s="7" t="str">
        <f t="shared" ca="1" si="11"/>
        <v>143</v>
      </c>
      <c r="B159" s="7" t="str">
        <f ca="1">OFFSET(ORÇAMENTO!C$15,ROW(B159)-ROW(B$15),0)</f>
        <v>S</v>
      </c>
      <c r="C159" s="7" t="str">
        <f ca="1">OFFSET(ORÇAMENTO!L$15,ROW(C159)-ROW(C$15),0)</f>
        <v>F</v>
      </c>
      <c r="D159" s="116" t="str">
        <f ca="1">OFFSET(ORÇAMENTO!N$15,ROW(D159)-ROW(D$15),0)</f>
        <v>Serviço</v>
      </c>
      <c r="E159" s="117" t="str">
        <f ca="1">OFFSET(ORÇAMENTO!O$15,ROW(E159)-ROW(E$15),0)</f>
        <v>4.4.1.</v>
      </c>
      <c r="F159" s="163" t="str">
        <f ca="1">OFFSET(ORÇAMENTO!R$15,ROW(F159)-ROW(F$15),0)</f>
        <v>ENSAIO DE DETERMINAÇÃO DO TEOR DE BETUME - SOXHLET - CIMENTO ASFALTICO DE PETROLEO</v>
      </c>
      <c r="G159" s="164" t="str">
        <f ca="1">IF($D159&lt;&gt;"Serviço","",OFFSET(ORÇAMENTO!S$15,ROW(G159)-ROW(G$15),0))</f>
        <v>UN</v>
      </c>
      <c r="H159" s="122" cm="1">
        <f t="array" aca="1" ref="H159" ca="1">IF($D159&lt;&gt;"Serviço",0,IF(ACOMPANHAMENTO="BM",ROUND(OFFSET(ORÇAMENTO!AJ$15,ROW(H159)-ROW(H$15),0),15-13*ORÇAMENTO!$AF$7),SUMPRODUCT(($Q$1:$AI$1=1)*ROUND($Q159:$AI159,15-13*ORÇAMENTO!$AF$7))))</f>
        <v>1</v>
      </c>
      <c r="I159" s="468"/>
      <c r="J159" s="651" t="e" cm="1">
        <f t="array" aca="1" ref="J159" ca="1">IF(OR(B159&lt;&gt;"S",CÁLCULO.FrentesPreenchidas=0),"",IF(AND(ACOMPANHAMENTO="PLE",AUTOEVENTO="Manual",OR(H159&gt;0,ORÇAMENTO!AC159="QUANT."),OR(K159="",M159=0,N159="")),"►E",IF(AND(ACOMPANHAMENTO="PLE",ORÇAMENTO!AC159="QUANT."),"►Q",IF(AND(ACOMPANHAMENTO="PLE",H159&lt;&gt;SUMPRODUCT(($Q$1:$AI$1=1)*ROUND(Q159:AI159,15))),"►S",IF(AND(COUNTIF($P$11:$AI$11,"▼")=0,H159&gt;0,I159=""),"◄M","")))))</f>
        <v>#NAME?</v>
      </c>
      <c r="K159" s="652"/>
      <c r="L159" s="165" t="s">
        <v>764</v>
      </c>
      <c r="M159" s="166">
        <f ca="1">IF($D159&lt;&gt;"Serviço","",
          IF(AUTOEVENTO="manual",$A159,
                IF(ISERROR(MATCH($A159,$A$15:OFFSET($A159,-1,0),0)),MAX($M$15:OFFSET(M159,-1,0))+1,
                      INDEX($M$15:OFFSET(M159,-1,0),MATCH($A159,$A$15:OFFSET($A159,-1,0),0)))))</f>
        <v>22</v>
      </c>
      <c r="N159" s="167" t="str">
        <f ca="1">IF($D159&lt;&gt;"Serviço","",
         IF(AUTOEVENTO="Manual",
                IF($A159=0,"&lt;-- defina o número do agrupador",
                       OFFSET(EVENTOS!$D$15,$A159-$A$15,0)),
                OFFSET($F$15,$A159,0)))</f>
        <v xml:space="preserve">ENSAIOS </v>
      </c>
      <c r="O159" s="168"/>
      <c r="Q159" s="168"/>
      <c r="R159" s="169"/>
      <c r="S159" s="169"/>
      <c r="T159" s="169"/>
      <c r="U159" s="169"/>
      <c r="V159" s="169">
        <v>1</v>
      </c>
      <c r="W159" s="169"/>
      <c r="X159" s="169"/>
      <c r="Y159" s="169"/>
      <c r="Z159" s="170"/>
      <c r="AA159" s="169"/>
      <c r="AB159" s="169"/>
      <c r="AC159" s="169"/>
      <c r="AD159" s="169"/>
      <c r="AE159" s="169"/>
      <c r="AF159" s="169"/>
      <c r="AG159" s="169"/>
      <c r="AH159" s="170"/>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L159" s="453">
        <f ca="1">IF(AND($D159="Serviço",AL$12&lt;&gt;0,$H159&gt;0,OR(AUTOEVENTO&lt;&gt;"manual",$M159&lt;&gt;$A$15)),
        IF(Import.TipoArredondamento&lt;&gt;"TransfereGOV",
              ROUND(OFFSET($P159,0,AL$13),15-13*ORÇAMENTO!$AF$7)/$H159*OFFSET(ORÇAMENTO!$X$15,ROW(AL159)-ROW(AL$15),0),
              ROUND(ROUND(OFFSET($P159,0,AL$13),15-13*ORÇAMENTO!$AF$7)*OFFSET(ORÇAMENTO!$W$15,ROW(AL159)-ROW(AL$15),0),15-13*ORÇAMENTO!$AF$11)),
         0)</f>
        <v>0</v>
      </c>
      <c r="AM159" s="453">
        <f ca="1">IF(AND($D159="Serviço",AM$12&lt;&gt;0,$H159&gt;0,OR(AUTOEVENTO&lt;&gt;"manual",$M159&lt;&gt;$A$15)),
        IF(Import.TipoArredondamento&lt;&gt;"TransfereGOV",
              ROUND(OFFSET($P159,0,AM$13),15-13*ORÇAMENTO!$AF$7)/$H159*OFFSET(ORÇAMENTO!$X$15,ROW(AM159)-ROW(AM$15),0),
              ROUND(ROUND(OFFSET($P159,0,AM$13),15-13*ORÇAMENTO!$AF$7)*OFFSET(ORÇAMENTO!$W$15,ROW(AM159)-ROW(AM$15),0),15-13*ORÇAMENTO!$AF$11)),
         0)</f>
        <v>0</v>
      </c>
      <c r="AN159" s="453">
        <f ca="1">IF(AND($D159="Serviço",AN$12&lt;&gt;0,$H159&gt;0,OR(AUTOEVENTO&lt;&gt;"manual",$M159&lt;&gt;$A$15)),
        IF(Import.TipoArredondamento&lt;&gt;"TransfereGOV",
              ROUND(OFFSET($P159,0,AN$13),15-13*ORÇAMENTO!$AF$7)/$H159*OFFSET(ORÇAMENTO!$X$15,ROW(AN159)-ROW(AN$15),0),
              ROUND(ROUND(OFFSET($P159,0,AN$13),15-13*ORÇAMENTO!$AF$7)*OFFSET(ORÇAMENTO!$W$15,ROW(AN159)-ROW(AN$15),0),15-13*ORÇAMENTO!$AF$11)),
         0)</f>
        <v>0</v>
      </c>
      <c r="AO159" s="453">
        <f ca="1">IF(AND($D159="Serviço",AO$12&lt;&gt;0,$H159&gt;0,OR(AUTOEVENTO&lt;&gt;"manual",$M159&lt;&gt;$A$15)),
        IF(Import.TipoArredondamento&lt;&gt;"TransfereGOV",
              ROUND(OFFSET($P159,0,AO$13),15-13*ORÇAMENTO!$AF$7)/$H159*OFFSET(ORÇAMENTO!$X$15,ROW(AO159)-ROW(AO$15),0),
              ROUND(ROUND(OFFSET($P159,0,AO$13),15-13*ORÇAMENTO!$AF$7)*OFFSET(ORÇAMENTO!$W$15,ROW(AO159)-ROW(AO$15),0),15-13*ORÇAMENTO!$AF$11)),
         0)</f>
        <v>260.79000000000002</v>
      </c>
      <c r="AP159" s="453">
        <f ca="1">IF(AND($D159="Serviço",AP$12&lt;&gt;0,$H159&gt;0,OR(AUTOEVENTO&lt;&gt;"manual",$M159&lt;&gt;$A$15)),
        IF(Import.TipoArredondamento&lt;&gt;"TransfereGOV",
              ROUND(OFFSET($P159,0,AP$13),15-13*ORÇAMENTO!$AF$7)/$H159*OFFSET(ORÇAMENTO!$X$15,ROW(AP159)-ROW(AP$15),0),
              ROUND(ROUND(OFFSET($P159,0,AP$13),15-13*ORÇAMENTO!$AF$7)*OFFSET(ORÇAMENTO!$W$15,ROW(AP159)-ROW(AP$15),0),15-13*ORÇAMENTO!$AF$11)),
         0)</f>
        <v>0</v>
      </c>
      <c r="AQ159" s="453">
        <f ca="1">IF(AND($D159="Serviço",AQ$12&lt;&gt;0,$H159&gt;0,OR(AUTOEVENTO&lt;&gt;"manual",$M159&lt;&gt;$A$15)),
        IF(Import.TipoArredondamento&lt;&gt;"TransfereGOV",
              ROUND(OFFSET($P159,0,AQ$13),15-13*ORÇAMENTO!$AF$7)/$H159*OFFSET(ORÇAMENTO!$X$15,ROW(AQ159)-ROW(AQ$15),0),
              ROUND(ROUND(OFFSET($P159,0,AQ$13),15-13*ORÇAMENTO!$AF$7)*OFFSET(ORÇAMENTO!$W$15,ROW(AQ159)-ROW(AQ$15),0),15-13*ORÇAMENTO!$AF$11)),
         0)</f>
        <v>0</v>
      </c>
      <c r="AR159" s="453">
        <f ca="1">IF(AND($D159="Serviço",AR$12&lt;&gt;0,$H159&gt;0,OR(AUTOEVENTO&lt;&gt;"manual",$M159&lt;&gt;$A$15)),
        IF(Import.TipoArredondamento&lt;&gt;"TransfereGOV",
              ROUND(OFFSET($P159,0,AR$13),15-13*ORÇAMENTO!$AF$7)/$H159*OFFSET(ORÇAMENTO!$X$15,ROW(AR159)-ROW(AR$15),0),
              ROUND(ROUND(OFFSET($P159,0,AR$13),15-13*ORÇAMENTO!$AF$7)*OFFSET(ORÇAMENTO!$W$15,ROW(AR159)-ROW(AR$15),0),15-13*ORÇAMENTO!$AF$11)),
         0)</f>
        <v>0</v>
      </c>
      <c r="AS159" s="453">
        <f ca="1">IF(AND($D159="Serviço",AS$12&lt;&gt;0,$H159&gt;0,OR(AUTOEVENTO&lt;&gt;"manual",$M159&lt;&gt;$A$15)),
        IF(Import.TipoArredondamento&lt;&gt;"TransfereGOV",
              ROUND(OFFSET($P159,0,AS$13),15-13*ORÇAMENTO!$AF$7)/$H159*OFFSET(ORÇAMENTO!$X$15,ROW(AS159)-ROW(AS$15),0),
              ROUND(ROUND(OFFSET($P159,0,AS$13),15-13*ORÇAMENTO!$AF$7)*OFFSET(ORÇAMENTO!$W$15,ROW(AS159)-ROW(AS$15),0),15-13*ORÇAMENTO!$AF$11)),
         0)</f>
        <v>0</v>
      </c>
      <c r="AT159" s="453">
        <f ca="1">IF(AND($D159="Serviço",AT$12&lt;&gt;0,$H159&gt;0,OR(AUTOEVENTO&lt;&gt;"manual",$M159&lt;&gt;$A$15)),
        IF(Import.TipoArredondamento&lt;&gt;"TransfereGOV",
              ROUND(OFFSET($P159,0,AT$13),15-13*ORÇAMENTO!$AF$7)/$H159*OFFSET(ORÇAMENTO!$X$15,ROW(AT159)-ROW(AT$15),0),
              ROUND(ROUND(OFFSET($P159,0,AT$13),15-13*ORÇAMENTO!$AF$7)*OFFSET(ORÇAMENTO!$W$15,ROW(AT159)-ROW(AT$15),0),15-13*ORÇAMENTO!$AF$11)),
         0)</f>
        <v>0</v>
      </c>
      <c r="AU159" s="453">
        <f ca="1">IF(AND($D159="Serviço",AU$12&lt;&gt;0,$H159&gt;0,OR(AUTOEVENTO&lt;&gt;"manual",$M159&lt;&gt;$A$15)),
        IF(Import.TipoArredondamento&lt;&gt;"TransfereGOV",
              ROUND(OFFSET($P159,0,AU$13),15-13*ORÇAMENTO!$AF$7)/$H159*OFFSET(ORÇAMENTO!$X$15,ROW(AU159)-ROW(AU$15),0),
              ROUND(ROUND(OFFSET($P159,0,AU$13),15-13*ORÇAMENTO!$AF$7)*OFFSET(ORÇAMENTO!$W$15,ROW(AU159)-ROW(AU$15),0),15-13*ORÇAMENTO!$AF$11)),
         0)</f>
        <v>0</v>
      </c>
      <c r="AV159" s="453">
        <f ca="1">IF(AND($D159="Serviço",AV$12&lt;&gt;0,$H159&gt;0,OR(AUTOEVENTO&lt;&gt;"manual",$M159&lt;&gt;$A$15)),
        IF(Import.TipoArredondamento&lt;&gt;"TransfereGOV",
              ROUND(OFFSET($P159,0,AV$13),15-13*ORÇAMENTO!$AF$7)/$H159*OFFSET(ORÇAMENTO!$X$15,ROW(AV159)-ROW(AV$15),0),
              ROUND(ROUND(OFFSET($P159,0,AV$13),15-13*ORÇAMENTO!$AF$7)*OFFSET(ORÇAMENTO!$W$15,ROW(AV159)-ROW(AV$15),0),15-13*ORÇAMENTO!$AF$11)),
         0)</f>
        <v>0</v>
      </c>
      <c r="AW159" s="453">
        <f ca="1">IF(AND($D159="Serviço",AW$12&lt;&gt;0,$H159&gt;0,OR(AUTOEVENTO&lt;&gt;"manual",$M159&lt;&gt;$A$15)),
        IF(Import.TipoArredondamento&lt;&gt;"TransfereGOV",
              ROUND(OFFSET($P159,0,AW$13),15-13*ORÇAMENTO!$AF$7)/$H159*OFFSET(ORÇAMENTO!$X$15,ROW(AW159)-ROW(AW$15),0),
              ROUND(ROUND(OFFSET($P159,0,AW$13),15-13*ORÇAMENTO!$AF$7)*OFFSET(ORÇAMENTO!$W$15,ROW(AW159)-ROW(AW$15),0),15-13*ORÇAMENTO!$AF$11)),
         0)</f>
        <v>0</v>
      </c>
      <c r="AX159" s="453">
        <f ca="1">IF(AND($D159="Serviço",AX$12&lt;&gt;0,$H159&gt;0,OR(AUTOEVENTO&lt;&gt;"manual",$M159&lt;&gt;$A$15)),
        IF(Import.TipoArredondamento&lt;&gt;"TransfereGOV",
              ROUND(OFFSET($P159,0,AX$13),15-13*ORÇAMENTO!$AF$7)/$H159*OFFSET(ORÇAMENTO!$X$15,ROW(AX159)-ROW(AX$15),0),
              ROUND(ROUND(OFFSET($P159,0,AX$13),15-13*ORÇAMENTO!$AF$7)*OFFSET(ORÇAMENTO!$W$15,ROW(AX159)-ROW(AX$15),0),15-13*ORÇAMENTO!$AF$11)),
         0)</f>
        <v>0</v>
      </c>
      <c r="AY159" s="453">
        <f ca="1">IF(AND($D159="Serviço",AY$12&lt;&gt;0,$H159&gt;0,OR(AUTOEVENTO&lt;&gt;"manual",$M159&lt;&gt;$A$15)),
        IF(Import.TipoArredondamento&lt;&gt;"TransfereGOV",
              ROUND(OFFSET($P159,0,AY$13),15-13*ORÇAMENTO!$AF$7)/$H159*OFFSET(ORÇAMENTO!$X$15,ROW(AY159)-ROW(AY$15),0),
              ROUND(ROUND(OFFSET($P159,0,AY$13),15-13*ORÇAMENTO!$AF$7)*OFFSET(ORÇAMENTO!$W$15,ROW(AY159)-ROW(AY$15),0),15-13*ORÇAMENTO!$AF$11)),
         0)</f>
        <v>0</v>
      </c>
      <c r="AZ159" s="453">
        <f ca="1">IF(AND($D159="Serviço",AZ$12&lt;&gt;0,$H159&gt;0,OR(AUTOEVENTO&lt;&gt;"manual",$M159&lt;&gt;$A$15)),
        IF(Import.TipoArredondamento&lt;&gt;"TransfereGOV",
              ROUND(OFFSET($P159,0,AZ$13),15-13*ORÇAMENTO!$AF$7)/$H159*OFFSET(ORÇAMENTO!$X$15,ROW(AZ159)-ROW(AZ$15),0),
              ROUND(ROUND(OFFSET($P159,0,AZ$13),15-13*ORÇAMENTO!$AF$7)*OFFSET(ORÇAMENTO!$W$15,ROW(AZ159)-ROW(AZ$15),0),15-13*ORÇAMENTO!$AF$11)),
         0)</f>
        <v>0</v>
      </c>
      <c r="BA159" s="453">
        <f ca="1">IF(AND($D159="Serviço",BA$12&lt;&gt;0,$H159&gt;0,OR(AUTOEVENTO&lt;&gt;"manual",$M159&lt;&gt;$A$15)),
        IF(Import.TipoArredondamento&lt;&gt;"TransfereGOV",
              ROUND(OFFSET($P159,0,BA$13),15-13*ORÇAMENTO!$AF$7)/$H159*OFFSET(ORÇAMENTO!$X$15,ROW(BA159)-ROW(BA$15),0),
              ROUND(ROUND(OFFSET($P159,0,BA$13),15-13*ORÇAMENTO!$AF$7)*OFFSET(ORÇAMENTO!$W$15,ROW(BA159)-ROW(BA$15),0),15-13*ORÇAMENTO!$AF$11)),
         0)</f>
        <v>0</v>
      </c>
      <c r="BC159" s="171">
        <f ca="1">IF(OR($D159&lt;&gt;"Serviço",AND(AUTOEVENTO="Manual",$M159=$A$15)),0,
         IF(OFFSET(CRONOPLE!$F$15,$M159-$A$15,BC$13)=0,10^12,OFFSET(CRONOPLE!$F$15,$M159-$A$15,BC$13)))</f>
        <v>1000000000000</v>
      </c>
      <c r="BD159" s="171">
        <f ca="1">IF(OR($D159&lt;&gt;"Serviço",AND(AUTOEVENTO="Manual",$M159=$A$15)),0,
         IF(OFFSET(CRONOPLE!$F$15,$M159-$A$15,BD$13)=0,10^12,OFFSET(CRONOPLE!$F$15,$M159-$A$15,BD$13)))</f>
        <v>1000000000000</v>
      </c>
      <c r="BE159" s="171">
        <f ca="1">IF(OR($D159&lt;&gt;"Serviço",AND(AUTOEVENTO="Manual",$M159=$A$15)),0,
         IF(OFFSET(CRONOPLE!$F$15,$M159-$A$15,BE$13)=0,10^12,OFFSET(CRONOPLE!$F$15,$M159-$A$15,BE$13)))</f>
        <v>1000000000000</v>
      </c>
      <c r="BF159" s="171">
        <f ca="1">IF(OR($D159&lt;&gt;"Serviço",AND(AUTOEVENTO="Manual",$M159=$A$15)),0,
         IF(OFFSET(CRONOPLE!$F$15,$M159-$A$15,BF$13)=0,10^12,OFFSET(CRONOPLE!$F$15,$M159-$A$15,BF$13)))</f>
        <v>1000000000000</v>
      </c>
      <c r="BG159" s="171">
        <f ca="1">IF(OR($D159&lt;&gt;"Serviço",AND(AUTOEVENTO="Manual",$M159=$A$15)),0,
         IF(OFFSET(CRONOPLE!$F$15,$M159-$A$15,BG$13)=0,10^12,OFFSET(CRONOPLE!$F$15,$M159-$A$15,BG$13)))</f>
        <v>1000000000000</v>
      </c>
      <c r="BH159" s="171">
        <f ca="1">IF(OR($D159&lt;&gt;"Serviço",AND(AUTOEVENTO="Manual",$M159=$A$15)),0,
         IF(OFFSET(CRONOPLE!$F$15,$M159-$A$15,BH$13)=0,10^12,OFFSET(CRONOPLE!$F$15,$M159-$A$15,BH$13)))</f>
        <v>5</v>
      </c>
      <c r="BI159" s="171">
        <f ca="1">IF(OR($D159&lt;&gt;"Serviço",AND(AUTOEVENTO="Manual",$M159=$A$15)),0,
         IF(OFFSET(CRONOPLE!$F$15,$M159-$A$15,BI$13)=0,10^12,OFFSET(CRONOPLE!$F$15,$M159-$A$15,BI$13)))</f>
        <v>1000000000000</v>
      </c>
      <c r="BJ159" s="171">
        <f ca="1">IF(OR($D159&lt;&gt;"Serviço",AND(AUTOEVENTO="Manual",$M159=$A$15)),0,
         IF(OFFSET(CRONOPLE!$F$15,$M159-$A$15,BJ$13)=0,10^12,OFFSET(CRONOPLE!$F$15,$M159-$A$15,BJ$13)))</f>
        <v>1000000000000</v>
      </c>
      <c r="BK159" s="171">
        <f ca="1">IF(OR($D159&lt;&gt;"Serviço",AND(AUTOEVENTO="Manual",$M159=$A$15)),0,
         IF(OFFSET(CRONOPLE!$F$15,$M159-$A$15,BK$13)=0,10^12,OFFSET(CRONOPLE!$F$15,$M159-$A$15,BK$13)))</f>
        <v>1000000000000</v>
      </c>
      <c r="BL159" s="171">
        <f ca="1">IF(OR($D159&lt;&gt;"Serviço",AND(AUTOEVENTO="Manual",$M159=$A$15)),0,
         IF(OFFSET(CRONOPLE!$F$15,$M159-$A$15,BL$13)=0,10^12,OFFSET(CRONOPLE!$F$15,$M159-$A$15,BL$13)))</f>
        <v>1000000000000</v>
      </c>
      <c r="BM159" s="171">
        <f ca="1">IF(OR($D159&lt;&gt;"Serviço",AND(AUTOEVENTO="Manual",$M159=$A$15)),0,
         IF(OFFSET(CRONOPLE!$F$15,$M159-$A$15,BM$13)=0,10^12,OFFSET(CRONOPLE!$F$15,$M159-$A$15,BM$13)))</f>
        <v>1000000000000</v>
      </c>
      <c r="BN159" s="171">
        <f ca="1">IF(OR($D159&lt;&gt;"Serviço",AND(AUTOEVENTO="Manual",$M159=$A$15)),0,
         IF(OFFSET(CRONOPLE!$F$15,$M159-$A$15,BN$13)=0,10^12,OFFSET(CRONOPLE!$F$15,$M159-$A$15,BN$13)))</f>
        <v>1000000000000</v>
      </c>
      <c r="BO159" s="171">
        <f ca="1">IF(OR($D159&lt;&gt;"Serviço",AND(AUTOEVENTO="Manual",$M159=$A$15)),0,
         IF(OFFSET(CRONOPLE!$F$15,$M159-$A$15,BO$13)=0,10^12,OFFSET(CRONOPLE!$F$15,$M159-$A$15,BO$13)))</f>
        <v>1000000000000</v>
      </c>
      <c r="BP159" s="171">
        <f ca="1">IF(OR($D159&lt;&gt;"Serviço",AND(AUTOEVENTO="Manual",$M159=$A$15)),0,
         IF(OFFSET(CRONOPLE!$F$15,$M159-$A$15,BP$13)=0,10^12,OFFSET(CRONOPLE!$F$15,$M159-$A$15,BP$13)))</f>
        <v>1000000000000</v>
      </c>
      <c r="BQ159" s="171">
        <f ca="1">IF(OR($D159&lt;&gt;"Serviço",AND(AUTOEVENTO="Manual",$M159=$A$15)),0,
         IF(OFFSET(CRONOPLE!$F$15,$M159-$A$15,BQ$13)=0,10^12,OFFSET(CRONOPLE!$F$15,$M159-$A$15,BQ$13)))</f>
        <v>1000000000000</v>
      </c>
      <c r="BR159" s="171">
        <f ca="1">IF(OR($D159&lt;&gt;"Serviço",AND(AUTOEVENTO="Manual",$M159=$A$15)),0,
         IF(OFFSET(CRONOPLE!$F$15,$M159-$A$15,BR$13)=0,10^12,OFFSET(CRONOPLE!$F$15,$M159-$A$15,BR$13)))</f>
        <v>1000000000000</v>
      </c>
      <c r="BS159" s="171">
        <f ca="1">IF(OR($D159&lt;&gt;"Serviço",AND(AUTOEVENTO="Manual",$M159=$A$15)),0,
         IF(OFFSET(CRONOPLE!$F$15,$M159-$A$15,BS$13)=0,10^12,OFFSET(CRONOPLE!$F$15,$M159-$A$15,BS$13)))</f>
        <v>1000000000000</v>
      </c>
      <c r="BT159" s="171">
        <f ca="1">IF(OR($D159&lt;&gt;"Serviço",AND(AUTOEVENTO="Manual",$M159=$A$15)),0,
         IF(OFFSET(CRONOPLE!$F$15,$M159-$A$15,BT$13)=0,10^12,OFFSET(CRONOPLE!$F$15,$M159-$A$15,BT$13)))</f>
        <v>1000000000000</v>
      </c>
      <c r="BV159" s="172">
        <f ca="1">IF(OR($D159&lt;&gt;"Serviço",AND(AUTOEVENTO="Manual",$M159=$A$15),$M159&gt;(ROW(PLE.lastrow)-ROW(PLE.firstrow))),0,
           IF(OFFSET(PLE!$G$15,$M159-$A$15,BV$13)="",10^12,OFFSET(PLE!$G$15,$M159-$A$15,BV$13)))</f>
        <v>1000000000000</v>
      </c>
      <c r="BW159" s="172">
        <f ca="1">IF(OR($D159&lt;&gt;"Serviço",AND(AUTOEVENTO="Manual",$M159=$A$15),$M159&gt;(ROW(PLE.lastrow)-ROW(PLE.firstrow))),0,
           IF(OFFSET(PLE!$G$15,$M159-$A$15,BW$13)="",10^12,OFFSET(PLE!$G$15,$M159-$A$15,BW$13)))</f>
        <v>1000000000000</v>
      </c>
      <c r="BX159" s="172">
        <f ca="1">IF(OR($D159&lt;&gt;"Serviço",AND(AUTOEVENTO="Manual",$M159=$A$15),$M159&gt;(ROW(PLE.lastrow)-ROW(PLE.firstrow))),0,
           IF(OFFSET(PLE!$G$15,$M159-$A$15,BX$13)="",10^12,OFFSET(PLE!$G$15,$M159-$A$15,BX$13)))</f>
        <v>1000000000000</v>
      </c>
      <c r="BY159" s="172">
        <f ca="1">IF(OR($D159&lt;&gt;"Serviço",AND(AUTOEVENTO="Manual",$M159=$A$15),$M159&gt;(ROW(PLE.lastrow)-ROW(PLE.firstrow))),0,
           IF(OFFSET(PLE!$G$15,$M159-$A$15,BY$13)="",10^12,OFFSET(PLE!$G$15,$M159-$A$15,BY$13)))</f>
        <v>1000000000000</v>
      </c>
      <c r="BZ159" s="172">
        <f ca="1">IF(OR($D159&lt;&gt;"Serviço",AND(AUTOEVENTO="Manual",$M159=$A$15),$M159&gt;(ROW(PLE.lastrow)-ROW(PLE.firstrow))),0,
           IF(OFFSET(PLE!$G$15,$M159-$A$15,BZ$13)="",10^12,OFFSET(PLE!$G$15,$M159-$A$15,BZ$13)))</f>
        <v>1000000000000</v>
      </c>
      <c r="CA159" s="172">
        <f ca="1">IF(OR($D159&lt;&gt;"Serviço",AND(AUTOEVENTO="Manual",$M159=$A$15),$M159&gt;(ROW(PLE.lastrow)-ROW(PLE.firstrow))),0,
           IF(OFFSET(PLE!$G$15,$M159-$A$15,CA$13)="",10^12,OFFSET(PLE!$G$15,$M159-$A$15,CA$13)))</f>
        <v>1000000000000</v>
      </c>
      <c r="CB159" s="172">
        <f ca="1">IF(OR($D159&lt;&gt;"Serviço",AND(AUTOEVENTO="Manual",$M159=$A$15),$M159&gt;(ROW(PLE.lastrow)-ROW(PLE.firstrow))),0,
           IF(OFFSET(PLE!$G$15,$M159-$A$15,CB$13)="",10^12,OFFSET(PLE!$G$15,$M159-$A$15,CB$13)))</f>
        <v>1000000000000</v>
      </c>
      <c r="CC159" s="172">
        <f ca="1">IF(OR($D159&lt;&gt;"Serviço",AND(AUTOEVENTO="Manual",$M159=$A$15),$M159&gt;(ROW(PLE.lastrow)-ROW(PLE.firstrow))),0,
           IF(OFFSET(PLE!$G$15,$M159-$A$15,CC$13)="",10^12,OFFSET(PLE!$G$15,$M159-$A$15,CC$13)))</f>
        <v>1000000000000</v>
      </c>
      <c r="CD159" s="172">
        <f ca="1">IF(OR($D159&lt;&gt;"Serviço",AND(AUTOEVENTO="Manual",$M159=$A$15),$M159&gt;(ROW(PLE.lastrow)-ROW(PLE.firstrow))),0,
           IF(OFFSET(PLE!$G$15,$M159-$A$15,CD$13)="",10^12,OFFSET(PLE!$G$15,$M159-$A$15,CD$13)))</f>
        <v>1000000000000</v>
      </c>
      <c r="CE159" s="172">
        <f ca="1">IF(OR($D159&lt;&gt;"Serviço",AND(AUTOEVENTO="Manual",$M159=$A$15),$M159&gt;(ROW(PLE.lastrow)-ROW(PLE.firstrow))),0,
           IF(OFFSET(PLE!$G$15,$M159-$A$15,CE$13)="",10^12,OFFSET(PLE!$G$15,$M159-$A$15,CE$13)))</f>
        <v>1000000000000</v>
      </c>
      <c r="CF159" s="172">
        <f ca="1">IF(OR($D159&lt;&gt;"Serviço",AND(AUTOEVENTO="Manual",$M159=$A$15),$M159&gt;(ROW(PLE.lastrow)-ROW(PLE.firstrow))),0,
           IF(OFFSET(PLE!$G$15,$M159-$A$15,CF$13)="",10^12,OFFSET(PLE!$G$15,$M159-$A$15,CF$13)))</f>
        <v>1000000000000</v>
      </c>
      <c r="CG159" s="172">
        <f ca="1">IF(OR($D159&lt;&gt;"Serviço",AND(AUTOEVENTO="Manual",$M159=$A$15),$M159&gt;(ROW(PLE.lastrow)-ROW(PLE.firstrow))),0,
           IF(OFFSET(PLE!$G$15,$M159-$A$15,CG$13)="",10^12,OFFSET(PLE!$G$15,$M159-$A$15,CG$13)))</f>
        <v>1000000000000</v>
      </c>
      <c r="CH159" s="172">
        <f ca="1">IF(OR($D159&lt;&gt;"Serviço",AND(AUTOEVENTO="Manual",$M159=$A$15),$M159&gt;(ROW(PLE.lastrow)-ROW(PLE.firstrow))),0,
           IF(OFFSET(PLE!$G$15,$M159-$A$15,CH$13)="",10^12,OFFSET(PLE!$G$15,$M159-$A$15,CH$13)))</f>
        <v>1000000000000</v>
      </c>
      <c r="CI159" s="172">
        <f ca="1">IF(OR($D159&lt;&gt;"Serviço",AND(AUTOEVENTO="Manual",$M159=$A$15),$M159&gt;(ROW(PLE.lastrow)-ROW(PLE.firstrow))),0,
           IF(OFFSET(PLE!$G$15,$M159-$A$15,CI$13)="",10^12,OFFSET(PLE!$G$15,$M159-$A$15,CI$13)))</f>
        <v>1000000000000</v>
      </c>
      <c r="CJ159" s="172">
        <f ca="1">IF(OR($D159&lt;&gt;"Serviço",AND(AUTOEVENTO="Manual",$M159=$A$15),$M159&gt;(ROW(PLE.lastrow)-ROW(PLE.firstrow))),0,
           IF(OFFSET(PLE!$G$15,$M159-$A$15,CJ$13)="",10^12,OFFSET(PLE!$G$15,$M159-$A$15,CJ$13)))</f>
        <v>1000000000000</v>
      </c>
      <c r="CK159" s="172">
        <f ca="1">IF(OR($D159&lt;&gt;"Serviço",AND(AUTOEVENTO="Manual",$M159=$A$15),$M159&gt;(ROW(PLE.lastrow)-ROW(PLE.firstrow))),0,
           IF(OFFSET(PLE!$G$15,$M159-$A$15,CK$13)="",10^12,OFFSET(PLE!$G$15,$M159-$A$15,CK$13)))</f>
        <v>1000000000000</v>
      </c>
      <c r="CL159" s="172">
        <f ca="1">IF(OR($D159&lt;&gt;"Serviço",AND(AUTOEVENTO="Manual",$M159=$A$15),$M159&gt;(ROW(PLE.lastrow)-ROW(PLE.firstrow))),0,
           IF(OFFSET(PLE!$G$15,$M159-$A$15,CL$13)="",10^12,OFFSET(PLE!$G$15,$M159-$A$15,CL$13)))</f>
        <v>1000000000000</v>
      </c>
      <c r="CM159" s="172">
        <f ca="1">IF(OR($D159&lt;&gt;"Serviço",AND(AUTOEVENTO="Manual",$M159=$A$15),$M159&gt;(ROW(PLE.lastrow)-ROW(PLE.firstrow))),0,
           IF(OFFSET(PLE!$G$15,$M159-$A$15,CM$13)="",10^12,OFFSET(PLE!$G$15,$M159-$A$15,CM$13)))</f>
        <v>1000000000000</v>
      </c>
    </row>
    <row r="160" spans="1:91" ht="13.2" x14ac:dyDescent="0.25">
      <c r="A160" s="7" t="str">
        <f t="shared" ca="1" si="11"/>
        <v>143</v>
      </c>
      <c r="B160" s="7" t="str">
        <f ca="1">OFFSET(ORÇAMENTO!C$15,ROW(B160)-ROW(B$15),0)</f>
        <v>S</v>
      </c>
      <c r="C160" s="7" t="str">
        <f ca="1">OFFSET(ORÇAMENTO!L$15,ROW(C160)-ROW(C$15),0)</f>
        <v>F</v>
      </c>
      <c r="D160" s="116" t="str">
        <f ca="1">OFFSET(ORÇAMENTO!N$15,ROW(D160)-ROW(D$15),0)</f>
        <v>Serviço</v>
      </c>
      <c r="E160" s="117" t="str">
        <f ca="1">OFFSET(ORÇAMENTO!O$15,ROW(E160)-ROW(E$15),0)</f>
        <v>4.4.2.</v>
      </c>
      <c r="F160" s="163" t="str">
        <f ca="1">OFFSET(ORÇAMENTO!R$15,ROW(F160)-ROW(F$15),0)</f>
        <v xml:space="preserve">ENSAIO MARSHALL - MISTURA BETUMINOSA À QUENTE </v>
      </c>
      <c r="G160" s="164" t="str">
        <f ca="1">IF($D160&lt;&gt;"Serviço","",OFFSET(ORÇAMENTO!S$15,ROW(G160)-ROW(G$15),0))</f>
        <v>UN</v>
      </c>
      <c r="H160" s="122" cm="1">
        <f t="array" aca="1" ref="H160" ca="1">IF($D160&lt;&gt;"Serviço",0,IF(ACOMPANHAMENTO="BM",ROUND(OFFSET(ORÇAMENTO!AJ$15,ROW(H160)-ROW(H$15),0),15-13*ORÇAMENTO!$AF$7),SUMPRODUCT(($Q$1:$AI$1=1)*ROUND($Q160:$AI160,15-13*ORÇAMENTO!$AF$7))))</f>
        <v>1</v>
      </c>
      <c r="I160" s="468"/>
      <c r="J160" s="651" t="e" cm="1">
        <f t="array" aca="1" ref="J160" ca="1">IF(OR(B160&lt;&gt;"S",CÁLCULO.FrentesPreenchidas=0),"",IF(AND(ACOMPANHAMENTO="PLE",AUTOEVENTO="Manual",OR(H160&gt;0,ORÇAMENTO!AC160="QUANT."),OR(K160="",M160=0,N160="")),"►E",IF(AND(ACOMPANHAMENTO="PLE",ORÇAMENTO!AC160="QUANT."),"►Q",IF(AND(ACOMPANHAMENTO="PLE",H160&lt;&gt;SUMPRODUCT(($Q$1:$AI$1=1)*ROUND(Q160:AI160,15))),"►S",IF(AND(COUNTIF($P$11:$AI$11,"▼")=0,H160&gt;0,I160=""),"◄M","")))))</f>
        <v>#NAME?</v>
      </c>
      <c r="K160" s="652"/>
      <c r="L160" s="165" t="s">
        <v>764</v>
      </c>
      <c r="M160" s="166">
        <f ca="1">IF($D160&lt;&gt;"Serviço","",
          IF(AUTOEVENTO="manual",$A160,
                IF(ISERROR(MATCH($A160,$A$15:OFFSET($A160,-1,0),0)),MAX($M$15:OFFSET(M160,-1,0))+1,
                      INDEX($M$15:OFFSET(M160,-1,0),MATCH($A160,$A$15:OFFSET($A160,-1,0),0)))))</f>
        <v>22</v>
      </c>
      <c r="N160" s="167" t="str">
        <f ca="1">IF($D160&lt;&gt;"Serviço","",
         IF(AUTOEVENTO="Manual",
                IF($A160=0,"&lt;-- defina o número do agrupador",
                       OFFSET(EVENTOS!$D$15,$A160-$A$15,0)),
                OFFSET($F$15,$A160,0)))</f>
        <v xml:space="preserve">ENSAIOS </v>
      </c>
      <c r="O160" s="168"/>
      <c r="Q160" s="168"/>
      <c r="R160" s="169"/>
      <c r="S160" s="169"/>
      <c r="T160" s="169"/>
      <c r="U160" s="169"/>
      <c r="V160" s="169">
        <v>1</v>
      </c>
      <c r="W160" s="169"/>
      <c r="X160" s="169"/>
      <c r="Y160" s="169"/>
      <c r="Z160" s="170"/>
      <c r="AA160" s="169"/>
      <c r="AB160" s="169"/>
      <c r="AC160" s="169"/>
      <c r="AD160" s="169"/>
      <c r="AE160" s="169"/>
      <c r="AF160" s="169"/>
      <c r="AG160" s="169"/>
      <c r="AH160" s="170"/>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L160" s="453">
        <f ca="1">IF(AND($D160="Serviço",AL$12&lt;&gt;0,$H160&gt;0,OR(AUTOEVENTO&lt;&gt;"manual",$M160&lt;&gt;$A$15)),
        IF(Import.TipoArredondamento&lt;&gt;"TransfereGOV",
              ROUND(OFFSET($P160,0,AL$13),15-13*ORÇAMENTO!$AF$7)/$H160*OFFSET(ORÇAMENTO!$X$15,ROW(AL160)-ROW(AL$15),0),
              ROUND(ROUND(OFFSET($P160,0,AL$13),15-13*ORÇAMENTO!$AF$7)*OFFSET(ORÇAMENTO!$W$15,ROW(AL160)-ROW(AL$15),0),15-13*ORÇAMENTO!$AF$11)),
         0)</f>
        <v>0</v>
      </c>
      <c r="AM160" s="453">
        <f ca="1">IF(AND($D160="Serviço",AM$12&lt;&gt;0,$H160&gt;0,OR(AUTOEVENTO&lt;&gt;"manual",$M160&lt;&gt;$A$15)),
        IF(Import.TipoArredondamento&lt;&gt;"TransfereGOV",
              ROUND(OFFSET($P160,0,AM$13),15-13*ORÇAMENTO!$AF$7)/$H160*OFFSET(ORÇAMENTO!$X$15,ROW(AM160)-ROW(AM$15),0),
              ROUND(ROUND(OFFSET($P160,0,AM$13),15-13*ORÇAMENTO!$AF$7)*OFFSET(ORÇAMENTO!$W$15,ROW(AM160)-ROW(AM$15),0),15-13*ORÇAMENTO!$AF$11)),
         0)</f>
        <v>0</v>
      </c>
      <c r="AN160" s="453">
        <f ca="1">IF(AND($D160="Serviço",AN$12&lt;&gt;0,$H160&gt;0,OR(AUTOEVENTO&lt;&gt;"manual",$M160&lt;&gt;$A$15)),
        IF(Import.TipoArredondamento&lt;&gt;"TransfereGOV",
              ROUND(OFFSET($P160,0,AN$13),15-13*ORÇAMENTO!$AF$7)/$H160*OFFSET(ORÇAMENTO!$X$15,ROW(AN160)-ROW(AN$15),0),
              ROUND(ROUND(OFFSET($P160,0,AN$13),15-13*ORÇAMENTO!$AF$7)*OFFSET(ORÇAMENTO!$W$15,ROW(AN160)-ROW(AN$15),0),15-13*ORÇAMENTO!$AF$11)),
         0)</f>
        <v>0</v>
      </c>
      <c r="AO160" s="453">
        <f ca="1">IF(AND($D160="Serviço",AO$12&lt;&gt;0,$H160&gt;0,OR(AUTOEVENTO&lt;&gt;"manual",$M160&lt;&gt;$A$15)),
        IF(Import.TipoArredondamento&lt;&gt;"TransfereGOV",
              ROUND(OFFSET($P160,0,AO$13),15-13*ORÇAMENTO!$AF$7)/$H160*OFFSET(ORÇAMENTO!$X$15,ROW(AO160)-ROW(AO$15),0),
              ROUND(ROUND(OFFSET($P160,0,AO$13),15-13*ORÇAMENTO!$AF$7)*OFFSET(ORÇAMENTO!$W$15,ROW(AO160)-ROW(AO$15),0),15-13*ORÇAMENTO!$AF$11)),
         0)</f>
        <v>521.61</v>
      </c>
      <c r="AP160" s="453">
        <f ca="1">IF(AND($D160="Serviço",AP$12&lt;&gt;0,$H160&gt;0,OR(AUTOEVENTO&lt;&gt;"manual",$M160&lt;&gt;$A$15)),
        IF(Import.TipoArredondamento&lt;&gt;"TransfereGOV",
              ROUND(OFFSET($P160,0,AP$13),15-13*ORÇAMENTO!$AF$7)/$H160*OFFSET(ORÇAMENTO!$X$15,ROW(AP160)-ROW(AP$15),0),
              ROUND(ROUND(OFFSET($P160,0,AP$13),15-13*ORÇAMENTO!$AF$7)*OFFSET(ORÇAMENTO!$W$15,ROW(AP160)-ROW(AP$15),0),15-13*ORÇAMENTO!$AF$11)),
         0)</f>
        <v>0</v>
      </c>
      <c r="AQ160" s="453">
        <f ca="1">IF(AND($D160="Serviço",AQ$12&lt;&gt;0,$H160&gt;0,OR(AUTOEVENTO&lt;&gt;"manual",$M160&lt;&gt;$A$15)),
        IF(Import.TipoArredondamento&lt;&gt;"TransfereGOV",
              ROUND(OFFSET($P160,0,AQ$13),15-13*ORÇAMENTO!$AF$7)/$H160*OFFSET(ORÇAMENTO!$X$15,ROW(AQ160)-ROW(AQ$15),0),
              ROUND(ROUND(OFFSET($P160,0,AQ$13),15-13*ORÇAMENTO!$AF$7)*OFFSET(ORÇAMENTO!$W$15,ROW(AQ160)-ROW(AQ$15),0),15-13*ORÇAMENTO!$AF$11)),
         0)</f>
        <v>0</v>
      </c>
      <c r="AR160" s="453">
        <f ca="1">IF(AND($D160="Serviço",AR$12&lt;&gt;0,$H160&gt;0,OR(AUTOEVENTO&lt;&gt;"manual",$M160&lt;&gt;$A$15)),
        IF(Import.TipoArredondamento&lt;&gt;"TransfereGOV",
              ROUND(OFFSET($P160,0,AR$13),15-13*ORÇAMENTO!$AF$7)/$H160*OFFSET(ORÇAMENTO!$X$15,ROW(AR160)-ROW(AR$15),0),
              ROUND(ROUND(OFFSET($P160,0,AR$13),15-13*ORÇAMENTO!$AF$7)*OFFSET(ORÇAMENTO!$W$15,ROW(AR160)-ROW(AR$15),0),15-13*ORÇAMENTO!$AF$11)),
         0)</f>
        <v>0</v>
      </c>
      <c r="AS160" s="453">
        <f ca="1">IF(AND($D160="Serviço",AS$12&lt;&gt;0,$H160&gt;0,OR(AUTOEVENTO&lt;&gt;"manual",$M160&lt;&gt;$A$15)),
        IF(Import.TipoArredondamento&lt;&gt;"TransfereGOV",
              ROUND(OFFSET($P160,0,AS$13),15-13*ORÇAMENTO!$AF$7)/$H160*OFFSET(ORÇAMENTO!$X$15,ROW(AS160)-ROW(AS$15),0),
              ROUND(ROUND(OFFSET($P160,0,AS$13),15-13*ORÇAMENTO!$AF$7)*OFFSET(ORÇAMENTO!$W$15,ROW(AS160)-ROW(AS$15),0),15-13*ORÇAMENTO!$AF$11)),
         0)</f>
        <v>0</v>
      </c>
      <c r="AT160" s="453">
        <f ca="1">IF(AND($D160="Serviço",AT$12&lt;&gt;0,$H160&gt;0,OR(AUTOEVENTO&lt;&gt;"manual",$M160&lt;&gt;$A$15)),
        IF(Import.TipoArredondamento&lt;&gt;"TransfereGOV",
              ROUND(OFFSET($P160,0,AT$13),15-13*ORÇAMENTO!$AF$7)/$H160*OFFSET(ORÇAMENTO!$X$15,ROW(AT160)-ROW(AT$15),0),
              ROUND(ROUND(OFFSET($P160,0,AT$13),15-13*ORÇAMENTO!$AF$7)*OFFSET(ORÇAMENTO!$W$15,ROW(AT160)-ROW(AT$15),0),15-13*ORÇAMENTO!$AF$11)),
         0)</f>
        <v>0</v>
      </c>
      <c r="AU160" s="453">
        <f ca="1">IF(AND($D160="Serviço",AU$12&lt;&gt;0,$H160&gt;0,OR(AUTOEVENTO&lt;&gt;"manual",$M160&lt;&gt;$A$15)),
        IF(Import.TipoArredondamento&lt;&gt;"TransfereGOV",
              ROUND(OFFSET($P160,0,AU$13),15-13*ORÇAMENTO!$AF$7)/$H160*OFFSET(ORÇAMENTO!$X$15,ROW(AU160)-ROW(AU$15),0),
              ROUND(ROUND(OFFSET($P160,0,AU$13),15-13*ORÇAMENTO!$AF$7)*OFFSET(ORÇAMENTO!$W$15,ROW(AU160)-ROW(AU$15),0),15-13*ORÇAMENTO!$AF$11)),
         0)</f>
        <v>0</v>
      </c>
      <c r="AV160" s="453">
        <f ca="1">IF(AND($D160="Serviço",AV$12&lt;&gt;0,$H160&gt;0,OR(AUTOEVENTO&lt;&gt;"manual",$M160&lt;&gt;$A$15)),
        IF(Import.TipoArredondamento&lt;&gt;"TransfereGOV",
              ROUND(OFFSET($P160,0,AV$13),15-13*ORÇAMENTO!$AF$7)/$H160*OFFSET(ORÇAMENTO!$X$15,ROW(AV160)-ROW(AV$15),0),
              ROUND(ROUND(OFFSET($P160,0,AV$13),15-13*ORÇAMENTO!$AF$7)*OFFSET(ORÇAMENTO!$W$15,ROW(AV160)-ROW(AV$15),0),15-13*ORÇAMENTO!$AF$11)),
         0)</f>
        <v>0</v>
      </c>
      <c r="AW160" s="453">
        <f ca="1">IF(AND($D160="Serviço",AW$12&lt;&gt;0,$H160&gt;0,OR(AUTOEVENTO&lt;&gt;"manual",$M160&lt;&gt;$A$15)),
        IF(Import.TipoArredondamento&lt;&gt;"TransfereGOV",
              ROUND(OFFSET($P160,0,AW$13),15-13*ORÇAMENTO!$AF$7)/$H160*OFFSET(ORÇAMENTO!$X$15,ROW(AW160)-ROW(AW$15),0),
              ROUND(ROUND(OFFSET($P160,0,AW$13),15-13*ORÇAMENTO!$AF$7)*OFFSET(ORÇAMENTO!$W$15,ROW(AW160)-ROW(AW$15),0),15-13*ORÇAMENTO!$AF$11)),
         0)</f>
        <v>0</v>
      </c>
      <c r="AX160" s="453">
        <f ca="1">IF(AND($D160="Serviço",AX$12&lt;&gt;0,$H160&gt;0,OR(AUTOEVENTO&lt;&gt;"manual",$M160&lt;&gt;$A$15)),
        IF(Import.TipoArredondamento&lt;&gt;"TransfereGOV",
              ROUND(OFFSET($P160,0,AX$13),15-13*ORÇAMENTO!$AF$7)/$H160*OFFSET(ORÇAMENTO!$X$15,ROW(AX160)-ROW(AX$15),0),
              ROUND(ROUND(OFFSET($P160,0,AX$13),15-13*ORÇAMENTO!$AF$7)*OFFSET(ORÇAMENTO!$W$15,ROW(AX160)-ROW(AX$15),0),15-13*ORÇAMENTO!$AF$11)),
         0)</f>
        <v>0</v>
      </c>
      <c r="AY160" s="453">
        <f ca="1">IF(AND($D160="Serviço",AY$12&lt;&gt;0,$H160&gt;0,OR(AUTOEVENTO&lt;&gt;"manual",$M160&lt;&gt;$A$15)),
        IF(Import.TipoArredondamento&lt;&gt;"TransfereGOV",
              ROUND(OFFSET($P160,0,AY$13),15-13*ORÇAMENTO!$AF$7)/$H160*OFFSET(ORÇAMENTO!$X$15,ROW(AY160)-ROW(AY$15),0),
              ROUND(ROUND(OFFSET($P160,0,AY$13),15-13*ORÇAMENTO!$AF$7)*OFFSET(ORÇAMENTO!$W$15,ROW(AY160)-ROW(AY$15),0),15-13*ORÇAMENTO!$AF$11)),
         0)</f>
        <v>0</v>
      </c>
      <c r="AZ160" s="453">
        <f ca="1">IF(AND($D160="Serviço",AZ$12&lt;&gt;0,$H160&gt;0,OR(AUTOEVENTO&lt;&gt;"manual",$M160&lt;&gt;$A$15)),
        IF(Import.TipoArredondamento&lt;&gt;"TransfereGOV",
              ROUND(OFFSET($P160,0,AZ$13),15-13*ORÇAMENTO!$AF$7)/$H160*OFFSET(ORÇAMENTO!$X$15,ROW(AZ160)-ROW(AZ$15),0),
              ROUND(ROUND(OFFSET($P160,0,AZ$13),15-13*ORÇAMENTO!$AF$7)*OFFSET(ORÇAMENTO!$W$15,ROW(AZ160)-ROW(AZ$15),0),15-13*ORÇAMENTO!$AF$11)),
         0)</f>
        <v>0</v>
      </c>
      <c r="BA160" s="453">
        <f ca="1">IF(AND($D160="Serviço",BA$12&lt;&gt;0,$H160&gt;0,OR(AUTOEVENTO&lt;&gt;"manual",$M160&lt;&gt;$A$15)),
        IF(Import.TipoArredondamento&lt;&gt;"TransfereGOV",
              ROUND(OFFSET($P160,0,BA$13),15-13*ORÇAMENTO!$AF$7)/$H160*OFFSET(ORÇAMENTO!$X$15,ROW(BA160)-ROW(BA$15),0),
              ROUND(ROUND(OFFSET($P160,0,BA$13),15-13*ORÇAMENTO!$AF$7)*OFFSET(ORÇAMENTO!$W$15,ROW(BA160)-ROW(BA$15),0),15-13*ORÇAMENTO!$AF$11)),
         0)</f>
        <v>0</v>
      </c>
      <c r="BC160" s="171">
        <f ca="1">IF(OR($D160&lt;&gt;"Serviço",AND(AUTOEVENTO="Manual",$M160=$A$15)),0,
         IF(OFFSET(CRONOPLE!$F$15,$M160-$A$15,BC$13)=0,10^12,OFFSET(CRONOPLE!$F$15,$M160-$A$15,BC$13)))</f>
        <v>1000000000000</v>
      </c>
      <c r="BD160" s="171">
        <f ca="1">IF(OR($D160&lt;&gt;"Serviço",AND(AUTOEVENTO="Manual",$M160=$A$15)),0,
         IF(OFFSET(CRONOPLE!$F$15,$M160-$A$15,BD$13)=0,10^12,OFFSET(CRONOPLE!$F$15,$M160-$A$15,BD$13)))</f>
        <v>1000000000000</v>
      </c>
      <c r="BE160" s="171">
        <f ca="1">IF(OR($D160&lt;&gt;"Serviço",AND(AUTOEVENTO="Manual",$M160=$A$15)),0,
         IF(OFFSET(CRONOPLE!$F$15,$M160-$A$15,BE$13)=0,10^12,OFFSET(CRONOPLE!$F$15,$M160-$A$15,BE$13)))</f>
        <v>1000000000000</v>
      </c>
      <c r="BF160" s="171">
        <f ca="1">IF(OR($D160&lt;&gt;"Serviço",AND(AUTOEVENTO="Manual",$M160=$A$15)),0,
         IF(OFFSET(CRONOPLE!$F$15,$M160-$A$15,BF$13)=0,10^12,OFFSET(CRONOPLE!$F$15,$M160-$A$15,BF$13)))</f>
        <v>1000000000000</v>
      </c>
      <c r="BG160" s="171">
        <f ca="1">IF(OR($D160&lt;&gt;"Serviço",AND(AUTOEVENTO="Manual",$M160=$A$15)),0,
         IF(OFFSET(CRONOPLE!$F$15,$M160-$A$15,BG$13)=0,10^12,OFFSET(CRONOPLE!$F$15,$M160-$A$15,BG$13)))</f>
        <v>1000000000000</v>
      </c>
      <c r="BH160" s="171">
        <f ca="1">IF(OR($D160&lt;&gt;"Serviço",AND(AUTOEVENTO="Manual",$M160=$A$15)),0,
         IF(OFFSET(CRONOPLE!$F$15,$M160-$A$15,BH$13)=0,10^12,OFFSET(CRONOPLE!$F$15,$M160-$A$15,BH$13)))</f>
        <v>5</v>
      </c>
      <c r="BI160" s="171">
        <f ca="1">IF(OR($D160&lt;&gt;"Serviço",AND(AUTOEVENTO="Manual",$M160=$A$15)),0,
         IF(OFFSET(CRONOPLE!$F$15,$M160-$A$15,BI$13)=0,10^12,OFFSET(CRONOPLE!$F$15,$M160-$A$15,BI$13)))</f>
        <v>1000000000000</v>
      </c>
      <c r="BJ160" s="171">
        <f ca="1">IF(OR($D160&lt;&gt;"Serviço",AND(AUTOEVENTO="Manual",$M160=$A$15)),0,
         IF(OFFSET(CRONOPLE!$F$15,$M160-$A$15,BJ$13)=0,10^12,OFFSET(CRONOPLE!$F$15,$M160-$A$15,BJ$13)))</f>
        <v>1000000000000</v>
      </c>
      <c r="BK160" s="171">
        <f ca="1">IF(OR($D160&lt;&gt;"Serviço",AND(AUTOEVENTO="Manual",$M160=$A$15)),0,
         IF(OFFSET(CRONOPLE!$F$15,$M160-$A$15,BK$13)=0,10^12,OFFSET(CRONOPLE!$F$15,$M160-$A$15,BK$13)))</f>
        <v>1000000000000</v>
      </c>
      <c r="BL160" s="171">
        <f ca="1">IF(OR($D160&lt;&gt;"Serviço",AND(AUTOEVENTO="Manual",$M160=$A$15)),0,
         IF(OFFSET(CRONOPLE!$F$15,$M160-$A$15,BL$13)=0,10^12,OFFSET(CRONOPLE!$F$15,$M160-$A$15,BL$13)))</f>
        <v>1000000000000</v>
      </c>
      <c r="BM160" s="171">
        <f ca="1">IF(OR($D160&lt;&gt;"Serviço",AND(AUTOEVENTO="Manual",$M160=$A$15)),0,
         IF(OFFSET(CRONOPLE!$F$15,$M160-$A$15,BM$13)=0,10^12,OFFSET(CRONOPLE!$F$15,$M160-$A$15,BM$13)))</f>
        <v>1000000000000</v>
      </c>
      <c r="BN160" s="171">
        <f ca="1">IF(OR($D160&lt;&gt;"Serviço",AND(AUTOEVENTO="Manual",$M160=$A$15)),0,
         IF(OFFSET(CRONOPLE!$F$15,$M160-$A$15,BN$13)=0,10^12,OFFSET(CRONOPLE!$F$15,$M160-$A$15,BN$13)))</f>
        <v>1000000000000</v>
      </c>
      <c r="BO160" s="171">
        <f ca="1">IF(OR($D160&lt;&gt;"Serviço",AND(AUTOEVENTO="Manual",$M160=$A$15)),0,
         IF(OFFSET(CRONOPLE!$F$15,$M160-$A$15,BO$13)=0,10^12,OFFSET(CRONOPLE!$F$15,$M160-$A$15,BO$13)))</f>
        <v>1000000000000</v>
      </c>
      <c r="BP160" s="171">
        <f ca="1">IF(OR($D160&lt;&gt;"Serviço",AND(AUTOEVENTO="Manual",$M160=$A$15)),0,
         IF(OFFSET(CRONOPLE!$F$15,$M160-$A$15,BP$13)=0,10^12,OFFSET(CRONOPLE!$F$15,$M160-$A$15,BP$13)))</f>
        <v>1000000000000</v>
      </c>
      <c r="BQ160" s="171">
        <f ca="1">IF(OR($D160&lt;&gt;"Serviço",AND(AUTOEVENTO="Manual",$M160=$A$15)),0,
         IF(OFFSET(CRONOPLE!$F$15,$M160-$A$15,BQ$13)=0,10^12,OFFSET(CRONOPLE!$F$15,$M160-$A$15,BQ$13)))</f>
        <v>1000000000000</v>
      </c>
      <c r="BR160" s="171">
        <f ca="1">IF(OR($D160&lt;&gt;"Serviço",AND(AUTOEVENTO="Manual",$M160=$A$15)),0,
         IF(OFFSET(CRONOPLE!$F$15,$M160-$A$15,BR$13)=0,10^12,OFFSET(CRONOPLE!$F$15,$M160-$A$15,BR$13)))</f>
        <v>1000000000000</v>
      </c>
      <c r="BS160" s="171">
        <f ca="1">IF(OR($D160&lt;&gt;"Serviço",AND(AUTOEVENTO="Manual",$M160=$A$15)),0,
         IF(OFFSET(CRONOPLE!$F$15,$M160-$A$15,BS$13)=0,10^12,OFFSET(CRONOPLE!$F$15,$M160-$A$15,BS$13)))</f>
        <v>1000000000000</v>
      </c>
      <c r="BT160" s="171">
        <f ca="1">IF(OR($D160&lt;&gt;"Serviço",AND(AUTOEVENTO="Manual",$M160=$A$15)),0,
         IF(OFFSET(CRONOPLE!$F$15,$M160-$A$15,BT$13)=0,10^12,OFFSET(CRONOPLE!$F$15,$M160-$A$15,BT$13)))</f>
        <v>1000000000000</v>
      </c>
      <c r="BV160" s="172">
        <f ca="1">IF(OR($D160&lt;&gt;"Serviço",AND(AUTOEVENTO="Manual",$M160=$A$15),$M160&gt;(ROW(PLE.lastrow)-ROW(PLE.firstrow))),0,
           IF(OFFSET(PLE!$G$15,$M160-$A$15,BV$13)="",10^12,OFFSET(PLE!$G$15,$M160-$A$15,BV$13)))</f>
        <v>1000000000000</v>
      </c>
      <c r="BW160" s="172">
        <f ca="1">IF(OR($D160&lt;&gt;"Serviço",AND(AUTOEVENTO="Manual",$M160=$A$15),$M160&gt;(ROW(PLE.lastrow)-ROW(PLE.firstrow))),0,
           IF(OFFSET(PLE!$G$15,$M160-$A$15,BW$13)="",10^12,OFFSET(PLE!$G$15,$M160-$A$15,BW$13)))</f>
        <v>1000000000000</v>
      </c>
      <c r="BX160" s="172">
        <f ca="1">IF(OR($D160&lt;&gt;"Serviço",AND(AUTOEVENTO="Manual",$M160=$A$15),$M160&gt;(ROW(PLE.lastrow)-ROW(PLE.firstrow))),0,
           IF(OFFSET(PLE!$G$15,$M160-$A$15,BX$13)="",10^12,OFFSET(PLE!$G$15,$M160-$A$15,BX$13)))</f>
        <v>1000000000000</v>
      </c>
      <c r="BY160" s="172">
        <f ca="1">IF(OR($D160&lt;&gt;"Serviço",AND(AUTOEVENTO="Manual",$M160=$A$15),$M160&gt;(ROW(PLE.lastrow)-ROW(PLE.firstrow))),0,
           IF(OFFSET(PLE!$G$15,$M160-$A$15,BY$13)="",10^12,OFFSET(PLE!$G$15,$M160-$A$15,BY$13)))</f>
        <v>1000000000000</v>
      </c>
      <c r="BZ160" s="172">
        <f ca="1">IF(OR($D160&lt;&gt;"Serviço",AND(AUTOEVENTO="Manual",$M160=$A$15),$M160&gt;(ROW(PLE.lastrow)-ROW(PLE.firstrow))),0,
           IF(OFFSET(PLE!$G$15,$M160-$A$15,BZ$13)="",10^12,OFFSET(PLE!$G$15,$M160-$A$15,BZ$13)))</f>
        <v>1000000000000</v>
      </c>
      <c r="CA160" s="172">
        <f ca="1">IF(OR($D160&lt;&gt;"Serviço",AND(AUTOEVENTO="Manual",$M160=$A$15),$M160&gt;(ROW(PLE.lastrow)-ROW(PLE.firstrow))),0,
           IF(OFFSET(PLE!$G$15,$M160-$A$15,CA$13)="",10^12,OFFSET(PLE!$G$15,$M160-$A$15,CA$13)))</f>
        <v>1000000000000</v>
      </c>
      <c r="CB160" s="172">
        <f ca="1">IF(OR($D160&lt;&gt;"Serviço",AND(AUTOEVENTO="Manual",$M160=$A$15),$M160&gt;(ROW(PLE.lastrow)-ROW(PLE.firstrow))),0,
           IF(OFFSET(PLE!$G$15,$M160-$A$15,CB$13)="",10^12,OFFSET(PLE!$G$15,$M160-$A$15,CB$13)))</f>
        <v>1000000000000</v>
      </c>
      <c r="CC160" s="172">
        <f ca="1">IF(OR($D160&lt;&gt;"Serviço",AND(AUTOEVENTO="Manual",$M160=$A$15),$M160&gt;(ROW(PLE.lastrow)-ROW(PLE.firstrow))),0,
           IF(OFFSET(PLE!$G$15,$M160-$A$15,CC$13)="",10^12,OFFSET(PLE!$G$15,$M160-$A$15,CC$13)))</f>
        <v>1000000000000</v>
      </c>
      <c r="CD160" s="172">
        <f ca="1">IF(OR($D160&lt;&gt;"Serviço",AND(AUTOEVENTO="Manual",$M160=$A$15),$M160&gt;(ROW(PLE.lastrow)-ROW(PLE.firstrow))),0,
           IF(OFFSET(PLE!$G$15,$M160-$A$15,CD$13)="",10^12,OFFSET(PLE!$G$15,$M160-$A$15,CD$13)))</f>
        <v>1000000000000</v>
      </c>
      <c r="CE160" s="172">
        <f ca="1">IF(OR($D160&lt;&gt;"Serviço",AND(AUTOEVENTO="Manual",$M160=$A$15),$M160&gt;(ROW(PLE.lastrow)-ROW(PLE.firstrow))),0,
           IF(OFFSET(PLE!$G$15,$M160-$A$15,CE$13)="",10^12,OFFSET(PLE!$G$15,$M160-$A$15,CE$13)))</f>
        <v>1000000000000</v>
      </c>
      <c r="CF160" s="172">
        <f ca="1">IF(OR($D160&lt;&gt;"Serviço",AND(AUTOEVENTO="Manual",$M160=$A$15),$M160&gt;(ROW(PLE.lastrow)-ROW(PLE.firstrow))),0,
           IF(OFFSET(PLE!$G$15,$M160-$A$15,CF$13)="",10^12,OFFSET(PLE!$G$15,$M160-$A$15,CF$13)))</f>
        <v>1000000000000</v>
      </c>
      <c r="CG160" s="172">
        <f ca="1">IF(OR($D160&lt;&gt;"Serviço",AND(AUTOEVENTO="Manual",$M160=$A$15),$M160&gt;(ROW(PLE.lastrow)-ROW(PLE.firstrow))),0,
           IF(OFFSET(PLE!$G$15,$M160-$A$15,CG$13)="",10^12,OFFSET(PLE!$G$15,$M160-$A$15,CG$13)))</f>
        <v>1000000000000</v>
      </c>
      <c r="CH160" s="172">
        <f ca="1">IF(OR($D160&lt;&gt;"Serviço",AND(AUTOEVENTO="Manual",$M160=$A$15),$M160&gt;(ROW(PLE.lastrow)-ROW(PLE.firstrow))),0,
           IF(OFFSET(PLE!$G$15,$M160-$A$15,CH$13)="",10^12,OFFSET(PLE!$G$15,$M160-$A$15,CH$13)))</f>
        <v>1000000000000</v>
      </c>
      <c r="CI160" s="172">
        <f ca="1">IF(OR($D160&lt;&gt;"Serviço",AND(AUTOEVENTO="Manual",$M160=$A$15),$M160&gt;(ROW(PLE.lastrow)-ROW(PLE.firstrow))),0,
           IF(OFFSET(PLE!$G$15,$M160-$A$15,CI$13)="",10^12,OFFSET(PLE!$G$15,$M160-$A$15,CI$13)))</f>
        <v>1000000000000</v>
      </c>
      <c r="CJ160" s="172">
        <f ca="1">IF(OR($D160&lt;&gt;"Serviço",AND(AUTOEVENTO="Manual",$M160=$A$15),$M160&gt;(ROW(PLE.lastrow)-ROW(PLE.firstrow))),0,
           IF(OFFSET(PLE!$G$15,$M160-$A$15,CJ$13)="",10^12,OFFSET(PLE!$G$15,$M160-$A$15,CJ$13)))</f>
        <v>1000000000000</v>
      </c>
      <c r="CK160" s="172">
        <f ca="1">IF(OR($D160&lt;&gt;"Serviço",AND(AUTOEVENTO="Manual",$M160=$A$15),$M160&gt;(ROW(PLE.lastrow)-ROW(PLE.firstrow))),0,
           IF(OFFSET(PLE!$G$15,$M160-$A$15,CK$13)="",10^12,OFFSET(PLE!$G$15,$M160-$A$15,CK$13)))</f>
        <v>1000000000000</v>
      </c>
      <c r="CL160" s="172">
        <f ca="1">IF(OR($D160&lt;&gt;"Serviço",AND(AUTOEVENTO="Manual",$M160=$A$15),$M160&gt;(ROW(PLE.lastrow)-ROW(PLE.firstrow))),0,
           IF(OFFSET(PLE!$G$15,$M160-$A$15,CL$13)="",10^12,OFFSET(PLE!$G$15,$M160-$A$15,CL$13)))</f>
        <v>1000000000000</v>
      </c>
      <c r="CM160" s="172">
        <f ca="1">IF(OR($D160&lt;&gt;"Serviço",AND(AUTOEVENTO="Manual",$M160=$A$15),$M160&gt;(ROW(PLE.lastrow)-ROW(PLE.firstrow))),0,
           IF(OFFSET(PLE!$G$15,$M160-$A$15,CM$13)="",10^12,OFFSET(PLE!$G$15,$M160-$A$15,CM$13)))</f>
        <v>1000000000000</v>
      </c>
    </row>
    <row r="161" spans="1:91" ht="39.6" x14ac:dyDescent="0.25">
      <c r="A161" s="7" t="str">
        <f t="shared" ca="1" si="11"/>
        <v>143</v>
      </c>
      <c r="B161" s="7" t="str">
        <f ca="1">OFFSET(ORÇAMENTO!C$15,ROW(B161)-ROW(B$15),0)</f>
        <v>S</v>
      </c>
      <c r="C161" s="7" t="str">
        <f ca="1">OFFSET(ORÇAMENTO!L$15,ROW(C161)-ROW(C$15),0)</f>
        <v>F</v>
      </c>
      <c r="D161" s="116" t="str">
        <f ca="1">OFFSET(ORÇAMENTO!N$15,ROW(D161)-ROW(D$15),0)</f>
        <v>Serviço</v>
      </c>
      <c r="E161" s="117" t="str">
        <f ca="1">OFFSET(ORÇAMENTO!O$15,ROW(E161)-ROW(E$15),0)</f>
        <v>4.4.3.</v>
      </c>
      <c r="F161" s="163" t="str">
        <f ca="1">OFFSET(ORÇAMENTO!R$15,ROW(F161)-ROW(F$15),0)</f>
        <v xml:space="preserve">ENSAIO DE CONTROLE DO GRAU DE COMPACTAÇÃO, DENSIDADE E ESPESSURA DA MASSA ASFÁLTICA COM COLETA ATRAVÉS DE SONDA ROTATIVA </v>
      </c>
      <c r="G161" s="164" t="str">
        <f ca="1">IF($D161&lt;&gt;"Serviço","",OFFSET(ORÇAMENTO!S$15,ROW(G161)-ROW(G$15),0))</f>
        <v>UN</v>
      </c>
      <c r="H161" s="122" cm="1">
        <f t="array" aca="1" ref="H161" ca="1">IF($D161&lt;&gt;"Serviço",0,IF(ACOMPANHAMENTO="BM",ROUND(OFFSET(ORÇAMENTO!AJ$15,ROW(H161)-ROW(H$15),0),15-13*ORÇAMENTO!$AF$7),SUMPRODUCT(($Q$1:$AI$1=1)*ROUND($Q161:$AI161,15-13*ORÇAMENTO!$AF$7))))</f>
        <v>1</v>
      </c>
      <c r="I161" s="468"/>
      <c r="J161" s="651" t="e" cm="1">
        <f t="array" aca="1" ref="J161" ca="1">IF(OR(B161&lt;&gt;"S",CÁLCULO.FrentesPreenchidas=0),"",IF(AND(ACOMPANHAMENTO="PLE",AUTOEVENTO="Manual",OR(H161&gt;0,ORÇAMENTO!AC161="QUANT."),OR(K161="",M161=0,N161="")),"►E",IF(AND(ACOMPANHAMENTO="PLE",ORÇAMENTO!AC161="QUANT."),"►Q",IF(AND(ACOMPANHAMENTO="PLE",H161&lt;&gt;SUMPRODUCT(($Q$1:$AI$1=1)*ROUND(Q161:AI161,15))),"►S",IF(AND(COUNTIF($P$11:$AI$11,"▼")=0,H161&gt;0,I161=""),"◄M","")))))</f>
        <v>#NAME?</v>
      </c>
      <c r="K161" s="652"/>
      <c r="L161" s="165" t="s">
        <v>764</v>
      </c>
      <c r="M161" s="166">
        <f ca="1">IF($D161&lt;&gt;"Serviço","",
          IF(AUTOEVENTO="manual",$A161,
                IF(ISERROR(MATCH($A161,$A$15:OFFSET($A161,-1,0),0)),MAX($M$15:OFFSET(M161,-1,0))+1,
                      INDEX($M$15:OFFSET(M161,-1,0),MATCH($A161,$A$15:OFFSET($A161,-1,0),0)))))</f>
        <v>22</v>
      </c>
      <c r="N161" s="167" t="str">
        <f ca="1">IF($D161&lt;&gt;"Serviço","",
         IF(AUTOEVENTO="Manual",
                IF($A161=0,"&lt;-- defina o número do agrupador",
                       OFFSET(EVENTOS!$D$15,$A161-$A$15,0)),
                OFFSET($F$15,$A161,0)))</f>
        <v xml:space="preserve">ENSAIOS </v>
      </c>
      <c r="O161" s="168"/>
      <c r="Q161" s="168"/>
      <c r="R161" s="169"/>
      <c r="S161" s="169"/>
      <c r="T161" s="169"/>
      <c r="U161" s="169"/>
      <c r="V161" s="169">
        <v>1</v>
      </c>
      <c r="W161" s="169"/>
      <c r="X161" s="169"/>
      <c r="Y161" s="169"/>
      <c r="Z161" s="170"/>
      <c r="AA161" s="169"/>
      <c r="AB161" s="169"/>
      <c r="AC161" s="169"/>
      <c r="AD161" s="169"/>
      <c r="AE161" s="169"/>
      <c r="AF161" s="169"/>
      <c r="AG161" s="169"/>
      <c r="AH161" s="170"/>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L161" s="453">
        <f ca="1">IF(AND($D161="Serviço",AL$12&lt;&gt;0,$H161&gt;0,OR(AUTOEVENTO&lt;&gt;"manual",$M161&lt;&gt;$A$15)),
        IF(Import.TipoArredondamento&lt;&gt;"TransfereGOV",
              ROUND(OFFSET($P161,0,AL$13),15-13*ORÇAMENTO!$AF$7)/$H161*OFFSET(ORÇAMENTO!$X$15,ROW(AL161)-ROW(AL$15),0),
              ROUND(ROUND(OFFSET($P161,0,AL$13),15-13*ORÇAMENTO!$AF$7)*OFFSET(ORÇAMENTO!$W$15,ROW(AL161)-ROW(AL$15),0),15-13*ORÇAMENTO!$AF$11)),
         0)</f>
        <v>0</v>
      </c>
      <c r="AM161" s="453">
        <f ca="1">IF(AND($D161="Serviço",AM$12&lt;&gt;0,$H161&gt;0,OR(AUTOEVENTO&lt;&gt;"manual",$M161&lt;&gt;$A$15)),
        IF(Import.TipoArredondamento&lt;&gt;"TransfereGOV",
              ROUND(OFFSET($P161,0,AM$13),15-13*ORÇAMENTO!$AF$7)/$H161*OFFSET(ORÇAMENTO!$X$15,ROW(AM161)-ROW(AM$15),0),
              ROUND(ROUND(OFFSET($P161,0,AM$13),15-13*ORÇAMENTO!$AF$7)*OFFSET(ORÇAMENTO!$W$15,ROW(AM161)-ROW(AM$15),0),15-13*ORÇAMENTO!$AF$11)),
         0)</f>
        <v>0</v>
      </c>
      <c r="AN161" s="453">
        <f ca="1">IF(AND($D161="Serviço",AN$12&lt;&gt;0,$H161&gt;0,OR(AUTOEVENTO&lt;&gt;"manual",$M161&lt;&gt;$A$15)),
        IF(Import.TipoArredondamento&lt;&gt;"TransfereGOV",
              ROUND(OFFSET($P161,0,AN$13),15-13*ORÇAMENTO!$AF$7)/$H161*OFFSET(ORÇAMENTO!$X$15,ROW(AN161)-ROW(AN$15),0),
              ROUND(ROUND(OFFSET($P161,0,AN$13),15-13*ORÇAMENTO!$AF$7)*OFFSET(ORÇAMENTO!$W$15,ROW(AN161)-ROW(AN$15),0),15-13*ORÇAMENTO!$AF$11)),
         0)</f>
        <v>0</v>
      </c>
      <c r="AO161" s="453">
        <f ca="1">IF(AND($D161="Serviço",AO$12&lt;&gt;0,$H161&gt;0,OR(AUTOEVENTO&lt;&gt;"manual",$M161&lt;&gt;$A$15)),
        IF(Import.TipoArredondamento&lt;&gt;"TransfereGOV",
              ROUND(OFFSET($P161,0,AO$13),15-13*ORÇAMENTO!$AF$7)/$H161*OFFSET(ORÇAMENTO!$X$15,ROW(AO161)-ROW(AO$15),0),
              ROUND(ROUND(OFFSET($P161,0,AO$13),15-13*ORÇAMENTO!$AF$7)*OFFSET(ORÇAMENTO!$W$15,ROW(AO161)-ROW(AO$15),0),15-13*ORÇAMENTO!$AF$11)),
         0)</f>
        <v>136.72999999999999</v>
      </c>
      <c r="AP161" s="453">
        <f ca="1">IF(AND($D161="Serviço",AP$12&lt;&gt;0,$H161&gt;0,OR(AUTOEVENTO&lt;&gt;"manual",$M161&lt;&gt;$A$15)),
        IF(Import.TipoArredondamento&lt;&gt;"TransfereGOV",
              ROUND(OFFSET($P161,0,AP$13),15-13*ORÇAMENTO!$AF$7)/$H161*OFFSET(ORÇAMENTO!$X$15,ROW(AP161)-ROW(AP$15),0),
              ROUND(ROUND(OFFSET($P161,0,AP$13),15-13*ORÇAMENTO!$AF$7)*OFFSET(ORÇAMENTO!$W$15,ROW(AP161)-ROW(AP$15),0),15-13*ORÇAMENTO!$AF$11)),
         0)</f>
        <v>0</v>
      </c>
      <c r="AQ161" s="453">
        <f ca="1">IF(AND($D161="Serviço",AQ$12&lt;&gt;0,$H161&gt;0,OR(AUTOEVENTO&lt;&gt;"manual",$M161&lt;&gt;$A$15)),
        IF(Import.TipoArredondamento&lt;&gt;"TransfereGOV",
              ROUND(OFFSET($P161,0,AQ$13),15-13*ORÇAMENTO!$AF$7)/$H161*OFFSET(ORÇAMENTO!$X$15,ROW(AQ161)-ROW(AQ$15),0),
              ROUND(ROUND(OFFSET($P161,0,AQ$13),15-13*ORÇAMENTO!$AF$7)*OFFSET(ORÇAMENTO!$W$15,ROW(AQ161)-ROW(AQ$15),0),15-13*ORÇAMENTO!$AF$11)),
         0)</f>
        <v>0</v>
      </c>
      <c r="AR161" s="453">
        <f ca="1">IF(AND($D161="Serviço",AR$12&lt;&gt;0,$H161&gt;0,OR(AUTOEVENTO&lt;&gt;"manual",$M161&lt;&gt;$A$15)),
        IF(Import.TipoArredondamento&lt;&gt;"TransfereGOV",
              ROUND(OFFSET($P161,0,AR$13),15-13*ORÇAMENTO!$AF$7)/$H161*OFFSET(ORÇAMENTO!$X$15,ROW(AR161)-ROW(AR$15),0),
              ROUND(ROUND(OFFSET($P161,0,AR$13),15-13*ORÇAMENTO!$AF$7)*OFFSET(ORÇAMENTO!$W$15,ROW(AR161)-ROW(AR$15),0),15-13*ORÇAMENTO!$AF$11)),
         0)</f>
        <v>0</v>
      </c>
      <c r="AS161" s="453">
        <f ca="1">IF(AND($D161="Serviço",AS$12&lt;&gt;0,$H161&gt;0,OR(AUTOEVENTO&lt;&gt;"manual",$M161&lt;&gt;$A$15)),
        IF(Import.TipoArredondamento&lt;&gt;"TransfereGOV",
              ROUND(OFFSET($P161,0,AS$13),15-13*ORÇAMENTO!$AF$7)/$H161*OFFSET(ORÇAMENTO!$X$15,ROW(AS161)-ROW(AS$15),0),
              ROUND(ROUND(OFFSET($P161,0,AS$13),15-13*ORÇAMENTO!$AF$7)*OFFSET(ORÇAMENTO!$W$15,ROW(AS161)-ROW(AS$15),0),15-13*ORÇAMENTO!$AF$11)),
         0)</f>
        <v>0</v>
      </c>
      <c r="AT161" s="453">
        <f ca="1">IF(AND($D161="Serviço",AT$12&lt;&gt;0,$H161&gt;0,OR(AUTOEVENTO&lt;&gt;"manual",$M161&lt;&gt;$A$15)),
        IF(Import.TipoArredondamento&lt;&gt;"TransfereGOV",
              ROUND(OFFSET($P161,0,AT$13),15-13*ORÇAMENTO!$AF$7)/$H161*OFFSET(ORÇAMENTO!$X$15,ROW(AT161)-ROW(AT$15),0),
              ROUND(ROUND(OFFSET($P161,0,AT$13),15-13*ORÇAMENTO!$AF$7)*OFFSET(ORÇAMENTO!$W$15,ROW(AT161)-ROW(AT$15),0),15-13*ORÇAMENTO!$AF$11)),
         0)</f>
        <v>0</v>
      </c>
      <c r="AU161" s="453">
        <f ca="1">IF(AND($D161="Serviço",AU$12&lt;&gt;0,$H161&gt;0,OR(AUTOEVENTO&lt;&gt;"manual",$M161&lt;&gt;$A$15)),
        IF(Import.TipoArredondamento&lt;&gt;"TransfereGOV",
              ROUND(OFFSET($P161,0,AU$13),15-13*ORÇAMENTO!$AF$7)/$H161*OFFSET(ORÇAMENTO!$X$15,ROW(AU161)-ROW(AU$15),0),
              ROUND(ROUND(OFFSET($P161,0,AU$13),15-13*ORÇAMENTO!$AF$7)*OFFSET(ORÇAMENTO!$W$15,ROW(AU161)-ROW(AU$15),0),15-13*ORÇAMENTO!$AF$11)),
         0)</f>
        <v>0</v>
      </c>
      <c r="AV161" s="453">
        <f ca="1">IF(AND($D161="Serviço",AV$12&lt;&gt;0,$H161&gt;0,OR(AUTOEVENTO&lt;&gt;"manual",$M161&lt;&gt;$A$15)),
        IF(Import.TipoArredondamento&lt;&gt;"TransfereGOV",
              ROUND(OFFSET($P161,0,AV$13),15-13*ORÇAMENTO!$AF$7)/$H161*OFFSET(ORÇAMENTO!$X$15,ROW(AV161)-ROW(AV$15),0),
              ROUND(ROUND(OFFSET($P161,0,AV$13),15-13*ORÇAMENTO!$AF$7)*OFFSET(ORÇAMENTO!$W$15,ROW(AV161)-ROW(AV$15),0),15-13*ORÇAMENTO!$AF$11)),
         0)</f>
        <v>0</v>
      </c>
      <c r="AW161" s="453">
        <f ca="1">IF(AND($D161="Serviço",AW$12&lt;&gt;0,$H161&gt;0,OR(AUTOEVENTO&lt;&gt;"manual",$M161&lt;&gt;$A$15)),
        IF(Import.TipoArredondamento&lt;&gt;"TransfereGOV",
              ROUND(OFFSET($P161,0,AW$13),15-13*ORÇAMENTO!$AF$7)/$H161*OFFSET(ORÇAMENTO!$X$15,ROW(AW161)-ROW(AW$15),0),
              ROUND(ROUND(OFFSET($P161,0,AW$13),15-13*ORÇAMENTO!$AF$7)*OFFSET(ORÇAMENTO!$W$15,ROW(AW161)-ROW(AW$15),0),15-13*ORÇAMENTO!$AF$11)),
         0)</f>
        <v>0</v>
      </c>
      <c r="AX161" s="453">
        <f ca="1">IF(AND($D161="Serviço",AX$12&lt;&gt;0,$H161&gt;0,OR(AUTOEVENTO&lt;&gt;"manual",$M161&lt;&gt;$A$15)),
        IF(Import.TipoArredondamento&lt;&gt;"TransfereGOV",
              ROUND(OFFSET($P161,0,AX$13),15-13*ORÇAMENTO!$AF$7)/$H161*OFFSET(ORÇAMENTO!$X$15,ROW(AX161)-ROW(AX$15),0),
              ROUND(ROUND(OFFSET($P161,0,AX$13),15-13*ORÇAMENTO!$AF$7)*OFFSET(ORÇAMENTO!$W$15,ROW(AX161)-ROW(AX$15),0),15-13*ORÇAMENTO!$AF$11)),
         0)</f>
        <v>0</v>
      </c>
      <c r="AY161" s="453">
        <f ca="1">IF(AND($D161="Serviço",AY$12&lt;&gt;0,$H161&gt;0,OR(AUTOEVENTO&lt;&gt;"manual",$M161&lt;&gt;$A$15)),
        IF(Import.TipoArredondamento&lt;&gt;"TransfereGOV",
              ROUND(OFFSET($P161,0,AY$13),15-13*ORÇAMENTO!$AF$7)/$H161*OFFSET(ORÇAMENTO!$X$15,ROW(AY161)-ROW(AY$15),0),
              ROUND(ROUND(OFFSET($P161,0,AY$13),15-13*ORÇAMENTO!$AF$7)*OFFSET(ORÇAMENTO!$W$15,ROW(AY161)-ROW(AY$15),0),15-13*ORÇAMENTO!$AF$11)),
         0)</f>
        <v>0</v>
      </c>
      <c r="AZ161" s="453">
        <f ca="1">IF(AND($D161="Serviço",AZ$12&lt;&gt;0,$H161&gt;0,OR(AUTOEVENTO&lt;&gt;"manual",$M161&lt;&gt;$A$15)),
        IF(Import.TipoArredondamento&lt;&gt;"TransfereGOV",
              ROUND(OFFSET($P161,0,AZ$13),15-13*ORÇAMENTO!$AF$7)/$H161*OFFSET(ORÇAMENTO!$X$15,ROW(AZ161)-ROW(AZ$15),0),
              ROUND(ROUND(OFFSET($P161,0,AZ$13),15-13*ORÇAMENTO!$AF$7)*OFFSET(ORÇAMENTO!$W$15,ROW(AZ161)-ROW(AZ$15),0),15-13*ORÇAMENTO!$AF$11)),
         0)</f>
        <v>0</v>
      </c>
      <c r="BA161" s="453">
        <f ca="1">IF(AND($D161="Serviço",BA$12&lt;&gt;0,$H161&gt;0,OR(AUTOEVENTO&lt;&gt;"manual",$M161&lt;&gt;$A$15)),
        IF(Import.TipoArredondamento&lt;&gt;"TransfereGOV",
              ROUND(OFFSET($P161,0,BA$13),15-13*ORÇAMENTO!$AF$7)/$H161*OFFSET(ORÇAMENTO!$X$15,ROW(BA161)-ROW(BA$15),0),
              ROUND(ROUND(OFFSET($P161,0,BA$13),15-13*ORÇAMENTO!$AF$7)*OFFSET(ORÇAMENTO!$W$15,ROW(BA161)-ROW(BA$15),0),15-13*ORÇAMENTO!$AF$11)),
         0)</f>
        <v>0</v>
      </c>
      <c r="BC161" s="171">
        <f ca="1">IF(OR($D161&lt;&gt;"Serviço",AND(AUTOEVENTO="Manual",$M161=$A$15)),0,
         IF(OFFSET(CRONOPLE!$F$15,$M161-$A$15,BC$13)=0,10^12,OFFSET(CRONOPLE!$F$15,$M161-$A$15,BC$13)))</f>
        <v>1000000000000</v>
      </c>
      <c r="BD161" s="171">
        <f ca="1">IF(OR($D161&lt;&gt;"Serviço",AND(AUTOEVENTO="Manual",$M161=$A$15)),0,
         IF(OFFSET(CRONOPLE!$F$15,$M161-$A$15,BD$13)=0,10^12,OFFSET(CRONOPLE!$F$15,$M161-$A$15,BD$13)))</f>
        <v>1000000000000</v>
      </c>
      <c r="BE161" s="171">
        <f ca="1">IF(OR($D161&lt;&gt;"Serviço",AND(AUTOEVENTO="Manual",$M161=$A$15)),0,
         IF(OFFSET(CRONOPLE!$F$15,$M161-$A$15,BE$13)=0,10^12,OFFSET(CRONOPLE!$F$15,$M161-$A$15,BE$13)))</f>
        <v>1000000000000</v>
      </c>
      <c r="BF161" s="171">
        <f ca="1">IF(OR($D161&lt;&gt;"Serviço",AND(AUTOEVENTO="Manual",$M161=$A$15)),0,
         IF(OFFSET(CRONOPLE!$F$15,$M161-$A$15,BF$13)=0,10^12,OFFSET(CRONOPLE!$F$15,$M161-$A$15,BF$13)))</f>
        <v>1000000000000</v>
      </c>
      <c r="BG161" s="171">
        <f ca="1">IF(OR($D161&lt;&gt;"Serviço",AND(AUTOEVENTO="Manual",$M161=$A$15)),0,
         IF(OFFSET(CRONOPLE!$F$15,$M161-$A$15,BG$13)=0,10^12,OFFSET(CRONOPLE!$F$15,$M161-$A$15,BG$13)))</f>
        <v>1000000000000</v>
      </c>
      <c r="BH161" s="171">
        <f ca="1">IF(OR($D161&lt;&gt;"Serviço",AND(AUTOEVENTO="Manual",$M161=$A$15)),0,
         IF(OFFSET(CRONOPLE!$F$15,$M161-$A$15,BH$13)=0,10^12,OFFSET(CRONOPLE!$F$15,$M161-$A$15,BH$13)))</f>
        <v>5</v>
      </c>
      <c r="BI161" s="171">
        <f ca="1">IF(OR($D161&lt;&gt;"Serviço",AND(AUTOEVENTO="Manual",$M161=$A$15)),0,
         IF(OFFSET(CRONOPLE!$F$15,$M161-$A$15,BI$13)=0,10^12,OFFSET(CRONOPLE!$F$15,$M161-$A$15,BI$13)))</f>
        <v>1000000000000</v>
      </c>
      <c r="BJ161" s="171">
        <f ca="1">IF(OR($D161&lt;&gt;"Serviço",AND(AUTOEVENTO="Manual",$M161=$A$15)),0,
         IF(OFFSET(CRONOPLE!$F$15,$M161-$A$15,BJ$13)=0,10^12,OFFSET(CRONOPLE!$F$15,$M161-$A$15,BJ$13)))</f>
        <v>1000000000000</v>
      </c>
      <c r="BK161" s="171">
        <f ca="1">IF(OR($D161&lt;&gt;"Serviço",AND(AUTOEVENTO="Manual",$M161=$A$15)),0,
         IF(OFFSET(CRONOPLE!$F$15,$M161-$A$15,BK$13)=0,10^12,OFFSET(CRONOPLE!$F$15,$M161-$A$15,BK$13)))</f>
        <v>1000000000000</v>
      </c>
      <c r="BL161" s="171">
        <f ca="1">IF(OR($D161&lt;&gt;"Serviço",AND(AUTOEVENTO="Manual",$M161=$A$15)),0,
         IF(OFFSET(CRONOPLE!$F$15,$M161-$A$15,BL$13)=0,10^12,OFFSET(CRONOPLE!$F$15,$M161-$A$15,BL$13)))</f>
        <v>1000000000000</v>
      </c>
      <c r="BM161" s="171">
        <f ca="1">IF(OR($D161&lt;&gt;"Serviço",AND(AUTOEVENTO="Manual",$M161=$A$15)),0,
         IF(OFFSET(CRONOPLE!$F$15,$M161-$A$15,BM$13)=0,10^12,OFFSET(CRONOPLE!$F$15,$M161-$A$15,BM$13)))</f>
        <v>1000000000000</v>
      </c>
      <c r="BN161" s="171">
        <f ca="1">IF(OR($D161&lt;&gt;"Serviço",AND(AUTOEVENTO="Manual",$M161=$A$15)),0,
         IF(OFFSET(CRONOPLE!$F$15,$M161-$A$15,BN$13)=0,10^12,OFFSET(CRONOPLE!$F$15,$M161-$A$15,BN$13)))</f>
        <v>1000000000000</v>
      </c>
      <c r="BO161" s="171">
        <f ca="1">IF(OR($D161&lt;&gt;"Serviço",AND(AUTOEVENTO="Manual",$M161=$A$15)),0,
         IF(OFFSET(CRONOPLE!$F$15,$M161-$A$15,BO$13)=0,10^12,OFFSET(CRONOPLE!$F$15,$M161-$A$15,BO$13)))</f>
        <v>1000000000000</v>
      </c>
      <c r="BP161" s="171">
        <f ca="1">IF(OR($D161&lt;&gt;"Serviço",AND(AUTOEVENTO="Manual",$M161=$A$15)),0,
         IF(OFFSET(CRONOPLE!$F$15,$M161-$A$15,BP$13)=0,10^12,OFFSET(CRONOPLE!$F$15,$M161-$A$15,BP$13)))</f>
        <v>1000000000000</v>
      </c>
      <c r="BQ161" s="171">
        <f ca="1">IF(OR($D161&lt;&gt;"Serviço",AND(AUTOEVENTO="Manual",$M161=$A$15)),0,
         IF(OFFSET(CRONOPLE!$F$15,$M161-$A$15,BQ$13)=0,10^12,OFFSET(CRONOPLE!$F$15,$M161-$A$15,BQ$13)))</f>
        <v>1000000000000</v>
      </c>
      <c r="BR161" s="171">
        <f ca="1">IF(OR($D161&lt;&gt;"Serviço",AND(AUTOEVENTO="Manual",$M161=$A$15)),0,
         IF(OFFSET(CRONOPLE!$F$15,$M161-$A$15,BR$13)=0,10^12,OFFSET(CRONOPLE!$F$15,$M161-$A$15,BR$13)))</f>
        <v>1000000000000</v>
      </c>
      <c r="BS161" s="171">
        <f ca="1">IF(OR($D161&lt;&gt;"Serviço",AND(AUTOEVENTO="Manual",$M161=$A$15)),0,
         IF(OFFSET(CRONOPLE!$F$15,$M161-$A$15,BS$13)=0,10^12,OFFSET(CRONOPLE!$F$15,$M161-$A$15,BS$13)))</f>
        <v>1000000000000</v>
      </c>
      <c r="BT161" s="171">
        <f ca="1">IF(OR($D161&lt;&gt;"Serviço",AND(AUTOEVENTO="Manual",$M161=$A$15)),0,
         IF(OFFSET(CRONOPLE!$F$15,$M161-$A$15,BT$13)=0,10^12,OFFSET(CRONOPLE!$F$15,$M161-$A$15,BT$13)))</f>
        <v>1000000000000</v>
      </c>
      <c r="BV161" s="172">
        <f ca="1">IF(OR($D161&lt;&gt;"Serviço",AND(AUTOEVENTO="Manual",$M161=$A$15),$M161&gt;(ROW(PLE.lastrow)-ROW(PLE.firstrow))),0,
           IF(OFFSET(PLE!$G$15,$M161-$A$15,BV$13)="",10^12,OFFSET(PLE!$G$15,$M161-$A$15,BV$13)))</f>
        <v>1000000000000</v>
      </c>
      <c r="BW161" s="172">
        <f ca="1">IF(OR($D161&lt;&gt;"Serviço",AND(AUTOEVENTO="Manual",$M161=$A$15),$M161&gt;(ROW(PLE.lastrow)-ROW(PLE.firstrow))),0,
           IF(OFFSET(PLE!$G$15,$M161-$A$15,BW$13)="",10^12,OFFSET(PLE!$G$15,$M161-$A$15,BW$13)))</f>
        <v>1000000000000</v>
      </c>
      <c r="BX161" s="172">
        <f ca="1">IF(OR($D161&lt;&gt;"Serviço",AND(AUTOEVENTO="Manual",$M161=$A$15),$M161&gt;(ROW(PLE.lastrow)-ROW(PLE.firstrow))),0,
           IF(OFFSET(PLE!$G$15,$M161-$A$15,BX$13)="",10^12,OFFSET(PLE!$G$15,$M161-$A$15,BX$13)))</f>
        <v>1000000000000</v>
      </c>
      <c r="BY161" s="172">
        <f ca="1">IF(OR($D161&lt;&gt;"Serviço",AND(AUTOEVENTO="Manual",$M161=$A$15),$M161&gt;(ROW(PLE.lastrow)-ROW(PLE.firstrow))),0,
           IF(OFFSET(PLE!$G$15,$M161-$A$15,BY$13)="",10^12,OFFSET(PLE!$G$15,$M161-$A$15,BY$13)))</f>
        <v>1000000000000</v>
      </c>
      <c r="BZ161" s="172">
        <f ca="1">IF(OR($D161&lt;&gt;"Serviço",AND(AUTOEVENTO="Manual",$M161=$A$15),$M161&gt;(ROW(PLE.lastrow)-ROW(PLE.firstrow))),0,
           IF(OFFSET(PLE!$G$15,$M161-$A$15,BZ$13)="",10^12,OFFSET(PLE!$G$15,$M161-$A$15,BZ$13)))</f>
        <v>1000000000000</v>
      </c>
      <c r="CA161" s="172">
        <f ca="1">IF(OR($D161&lt;&gt;"Serviço",AND(AUTOEVENTO="Manual",$M161=$A$15),$M161&gt;(ROW(PLE.lastrow)-ROW(PLE.firstrow))),0,
           IF(OFFSET(PLE!$G$15,$M161-$A$15,CA$13)="",10^12,OFFSET(PLE!$G$15,$M161-$A$15,CA$13)))</f>
        <v>1000000000000</v>
      </c>
      <c r="CB161" s="172">
        <f ca="1">IF(OR($D161&lt;&gt;"Serviço",AND(AUTOEVENTO="Manual",$M161=$A$15),$M161&gt;(ROW(PLE.lastrow)-ROW(PLE.firstrow))),0,
           IF(OFFSET(PLE!$G$15,$M161-$A$15,CB$13)="",10^12,OFFSET(PLE!$G$15,$M161-$A$15,CB$13)))</f>
        <v>1000000000000</v>
      </c>
      <c r="CC161" s="172">
        <f ca="1">IF(OR($D161&lt;&gt;"Serviço",AND(AUTOEVENTO="Manual",$M161=$A$15),$M161&gt;(ROW(PLE.lastrow)-ROW(PLE.firstrow))),0,
           IF(OFFSET(PLE!$G$15,$M161-$A$15,CC$13)="",10^12,OFFSET(PLE!$G$15,$M161-$A$15,CC$13)))</f>
        <v>1000000000000</v>
      </c>
      <c r="CD161" s="172">
        <f ca="1">IF(OR($D161&lt;&gt;"Serviço",AND(AUTOEVENTO="Manual",$M161=$A$15),$M161&gt;(ROW(PLE.lastrow)-ROW(PLE.firstrow))),0,
           IF(OFFSET(PLE!$G$15,$M161-$A$15,CD$13)="",10^12,OFFSET(PLE!$G$15,$M161-$A$15,CD$13)))</f>
        <v>1000000000000</v>
      </c>
      <c r="CE161" s="172">
        <f ca="1">IF(OR($D161&lt;&gt;"Serviço",AND(AUTOEVENTO="Manual",$M161=$A$15),$M161&gt;(ROW(PLE.lastrow)-ROW(PLE.firstrow))),0,
           IF(OFFSET(PLE!$G$15,$M161-$A$15,CE$13)="",10^12,OFFSET(PLE!$G$15,$M161-$A$15,CE$13)))</f>
        <v>1000000000000</v>
      </c>
      <c r="CF161" s="172">
        <f ca="1">IF(OR($D161&lt;&gt;"Serviço",AND(AUTOEVENTO="Manual",$M161=$A$15),$M161&gt;(ROW(PLE.lastrow)-ROW(PLE.firstrow))),0,
           IF(OFFSET(PLE!$G$15,$M161-$A$15,CF$13)="",10^12,OFFSET(PLE!$G$15,$M161-$A$15,CF$13)))</f>
        <v>1000000000000</v>
      </c>
      <c r="CG161" s="172">
        <f ca="1">IF(OR($D161&lt;&gt;"Serviço",AND(AUTOEVENTO="Manual",$M161=$A$15),$M161&gt;(ROW(PLE.lastrow)-ROW(PLE.firstrow))),0,
           IF(OFFSET(PLE!$G$15,$M161-$A$15,CG$13)="",10^12,OFFSET(PLE!$G$15,$M161-$A$15,CG$13)))</f>
        <v>1000000000000</v>
      </c>
      <c r="CH161" s="172">
        <f ca="1">IF(OR($D161&lt;&gt;"Serviço",AND(AUTOEVENTO="Manual",$M161=$A$15),$M161&gt;(ROW(PLE.lastrow)-ROW(PLE.firstrow))),0,
           IF(OFFSET(PLE!$G$15,$M161-$A$15,CH$13)="",10^12,OFFSET(PLE!$G$15,$M161-$A$15,CH$13)))</f>
        <v>1000000000000</v>
      </c>
      <c r="CI161" s="172">
        <f ca="1">IF(OR($D161&lt;&gt;"Serviço",AND(AUTOEVENTO="Manual",$M161=$A$15),$M161&gt;(ROW(PLE.lastrow)-ROW(PLE.firstrow))),0,
           IF(OFFSET(PLE!$G$15,$M161-$A$15,CI$13)="",10^12,OFFSET(PLE!$G$15,$M161-$A$15,CI$13)))</f>
        <v>1000000000000</v>
      </c>
      <c r="CJ161" s="172">
        <f ca="1">IF(OR($D161&lt;&gt;"Serviço",AND(AUTOEVENTO="Manual",$M161=$A$15),$M161&gt;(ROW(PLE.lastrow)-ROW(PLE.firstrow))),0,
           IF(OFFSET(PLE!$G$15,$M161-$A$15,CJ$13)="",10^12,OFFSET(PLE!$G$15,$M161-$A$15,CJ$13)))</f>
        <v>1000000000000</v>
      </c>
      <c r="CK161" s="172">
        <f ca="1">IF(OR($D161&lt;&gt;"Serviço",AND(AUTOEVENTO="Manual",$M161=$A$15),$M161&gt;(ROW(PLE.lastrow)-ROW(PLE.firstrow))),0,
           IF(OFFSET(PLE!$G$15,$M161-$A$15,CK$13)="",10^12,OFFSET(PLE!$G$15,$M161-$A$15,CK$13)))</f>
        <v>1000000000000</v>
      </c>
      <c r="CL161" s="172">
        <f ca="1">IF(OR($D161&lt;&gt;"Serviço",AND(AUTOEVENTO="Manual",$M161=$A$15),$M161&gt;(ROW(PLE.lastrow)-ROW(PLE.firstrow))),0,
           IF(OFFSET(PLE!$G$15,$M161-$A$15,CL$13)="",10^12,OFFSET(PLE!$G$15,$M161-$A$15,CL$13)))</f>
        <v>1000000000000</v>
      </c>
      <c r="CM161" s="172">
        <f ca="1">IF(OR($D161&lt;&gt;"Serviço",AND(AUTOEVENTO="Manual",$M161=$A$15),$M161&gt;(ROW(PLE.lastrow)-ROW(PLE.firstrow))),0,
           IF(OFFSET(PLE!$G$15,$M161-$A$15,CM$13)="",10^12,OFFSET(PLE!$G$15,$M161-$A$15,CM$13)))</f>
        <v>1000000000000</v>
      </c>
    </row>
    <row r="162" spans="1:91" ht="13.2" x14ac:dyDescent="0.25">
      <c r="A162" s="7" t="str">
        <f t="shared" ca="1" si="11"/>
        <v>143</v>
      </c>
      <c r="B162" s="7" t="str">
        <f ca="1">OFFSET(ORÇAMENTO!C$15,ROW(B162)-ROW(B$15),0)</f>
        <v>S</v>
      </c>
      <c r="C162" s="7" t="str">
        <f ca="1">OFFSET(ORÇAMENTO!L$15,ROW(C162)-ROW(C$15),0)</f>
        <v>F</v>
      </c>
      <c r="D162" s="116" t="str">
        <f ca="1">OFFSET(ORÇAMENTO!N$15,ROW(D162)-ROW(D$15),0)</f>
        <v>Serviço</v>
      </c>
      <c r="E162" s="117" t="str">
        <f ca="1">OFFSET(ORÇAMENTO!O$15,ROW(E162)-ROW(E$15),0)</f>
        <v>4.4.4.</v>
      </c>
      <c r="F162" s="163" t="str">
        <f ca="1">OFFSET(ORÇAMENTO!R$15,ROW(F162)-ROW(F$15),0)</f>
        <v xml:space="preserve">ENSAIO BANDEJA DO LIGANTE DE PINTURA </v>
      </c>
      <c r="G162" s="164" t="str">
        <f ca="1">IF($D162&lt;&gt;"Serviço","",OFFSET(ORÇAMENTO!S$15,ROW(G162)-ROW(G$15),0))</f>
        <v>UN</v>
      </c>
      <c r="H162" s="122" cm="1">
        <f t="array" aca="1" ref="H162" ca="1">IF($D162&lt;&gt;"Serviço",0,IF(ACOMPANHAMENTO="BM",ROUND(OFFSET(ORÇAMENTO!AJ$15,ROW(H162)-ROW(H$15),0),15-13*ORÇAMENTO!$AF$7),SUMPRODUCT(($Q$1:$AI$1=1)*ROUND($Q162:$AI162,15-13*ORÇAMENTO!$AF$7))))</f>
        <v>1</v>
      </c>
      <c r="I162" s="468"/>
      <c r="J162" s="651" t="e" cm="1">
        <f t="array" aca="1" ref="J162" ca="1">IF(OR(B162&lt;&gt;"S",CÁLCULO.FrentesPreenchidas=0),"",IF(AND(ACOMPANHAMENTO="PLE",AUTOEVENTO="Manual",OR(H162&gt;0,ORÇAMENTO!AC162="QUANT."),OR(K162="",M162=0,N162="")),"►E",IF(AND(ACOMPANHAMENTO="PLE",ORÇAMENTO!AC162="QUANT."),"►Q",IF(AND(ACOMPANHAMENTO="PLE",H162&lt;&gt;SUMPRODUCT(($Q$1:$AI$1=1)*ROUND(Q162:AI162,15))),"►S",IF(AND(COUNTIF($P$11:$AI$11,"▼")=0,H162&gt;0,I162=""),"◄M","")))))</f>
        <v>#NAME?</v>
      </c>
      <c r="K162" s="652"/>
      <c r="L162" s="165" t="s">
        <v>764</v>
      </c>
      <c r="M162" s="166">
        <f ca="1">IF($D162&lt;&gt;"Serviço","",
          IF(AUTOEVENTO="manual",$A162,
                IF(ISERROR(MATCH($A162,$A$15:OFFSET($A162,-1,0),0)),MAX($M$15:OFFSET(M162,-1,0))+1,
                      INDEX($M$15:OFFSET(M162,-1,0),MATCH($A162,$A$15:OFFSET($A162,-1,0),0)))))</f>
        <v>22</v>
      </c>
      <c r="N162" s="167" t="str">
        <f ca="1">IF($D162&lt;&gt;"Serviço","",
         IF(AUTOEVENTO="Manual",
                IF($A162=0,"&lt;-- defina o número do agrupador",
                       OFFSET(EVENTOS!$D$15,$A162-$A$15,0)),
                OFFSET($F$15,$A162,0)))</f>
        <v xml:space="preserve">ENSAIOS </v>
      </c>
      <c r="O162" s="168"/>
      <c r="Q162" s="168"/>
      <c r="R162" s="169"/>
      <c r="S162" s="169"/>
      <c r="T162" s="169"/>
      <c r="U162" s="169"/>
      <c r="V162" s="169">
        <v>1</v>
      </c>
      <c r="W162" s="169"/>
      <c r="X162" s="169"/>
      <c r="Y162" s="169"/>
      <c r="Z162" s="170"/>
      <c r="AA162" s="169"/>
      <c r="AB162" s="169"/>
      <c r="AC162" s="169"/>
      <c r="AD162" s="169"/>
      <c r="AE162" s="169"/>
      <c r="AF162" s="169"/>
      <c r="AG162" s="169"/>
      <c r="AH162" s="170"/>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L162" s="453">
        <f ca="1">IF(AND($D162="Serviço",AL$12&lt;&gt;0,$H162&gt;0,OR(AUTOEVENTO&lt;&gt;"manual",$M162&lt;&gt;$A$15)),
        IF(Import.TipoArredondamento&lt;&gt;"TransfereGOV",
              ROUND(OFFSET($P162,0,AL$13),15-13*ORÇAMENTO!$AF$7)/$H162*OFFSET(ORÇAMENTO!$X$15,ROW(AL162)-ROW(AL$15),0),
              ROUND(ROUND(OFFSET($P162,0,AL$13),15-13*ORÇAMENTO!$AF$7)*OFFSET(ORÇAMENTO!$W$15,ROW(AL162)-ROW(AL$15),0),15-13*ORÇAMENTO!$AF$11)),
         0)</f>
        <v>0</v>
      </c>
      <c r="AM162" s="453">
        <f ca="1">IF(AND($D162="Serviço",AM$12&lt;&gt;0,$H162&gt;0,OR(AUTOEVENTO&lt;&gt;"manual",$M162&lt;&gt;$A$15)),
        IF(Import.TipoArredondamento&lt;&gt;"TransfereGOV",
              ROUND(OFFSET($P162,0,AM$13),15-13*ORÇAMENTO!$AF$7)/$H162*OFFSET(ORÇAMENTO!$X$15,ROW(AM162)-ROW(AM$15),0),
              ROUND(ROUND(OFFSET($P162,0,AM$13),15-13*ORÇAMENTO!$AF$7)*OFFSET(ORÇAMENTO!$W$15,ROW(AM162)-ROW(AM$15),0),15-13*ORÇAMENTO!$AF$11)),
         0)</f>
        <v>0</v>
      </c>
      <c r="AN162" s="453">
        <f ca="1">IF(AND($D162="Serviço",AN$12&lt;&gt;0,$H162&gt;0,OR(AUTOEVENTO&lt;&gt;"manual",$M162&lt;&gt;$A$15)),
        IF(Import.TipoArredondamento&lt;&gt;"TransfereGOV",
              ROUND(OFFSET($P162,0,AN$13),15-13*ORÇAMENTO!$AF$7)/$H162*OFFSET(ORÇAMENTO!$X$15,ROW(AN162)-ROW(AN$15),0),
              ROUND(ROUND(OFFSET($P162,0,AN$13),15-13*ORÇAMENTO!$AF$7)*OFFSET(ORÇAMENTO!$W$15,ROW(AN162)-ROW(AN$15),0),15-13*ORÇAMENTO!$AF$11)),
         0)</f>
        <v>0</v>
      </c>
      <c r="AO162" s="453">
        <f ca="1">IF(AND($D162="Serviço",AO$12&lt;&gt;0,$H162&gt;0,OR(AUTOEVENTO&lt;&gt;"manual",$M162&lt;&gt;$A$15)),
        IF(Import.TipoArredondamento&lt;&gt;"TransfereGOV",
              ROUND(OFFSET($P162,0,AO$13),15-13*ORÇAMENTO!$AF$7)/$H162*OFFSET(ORÇAMENTO!$X$15,ROW(AO162)-ROW(AO$15),0),
              ROUND(ROUND(OFFSET($P162,0,AO$13),15-13*ORÇAMENTO!$AF$7)*OFFSET(ORÇAMENTO!$W$15,ROW(AO162)-ROW(AO$15),0),15-13*ORÇAMENTO!$AF$11)),
         0)</f>
        <v>212.78</v>
      </c>
      <c r="AP162" s="453">
        <f ca="1">IF(AND($D162="Serviço",AP$12&lt;&gt;0,$H162&gt;0,OR(AUTOEVENTO&lt;&gt;"manual",$M162&lt;&gt;$A$15)),
        IF(Import.TipoArredondamento&lt;&gt;"TransfereGOV",
              ROUND(OFFSET($P162,0,AP$13),15-13*ORÇAMENTO!$AF$7)/$H162*OFFSET(ORÇAMENTO!$X$15,ROW(AP162)-ROW(AP$15),0),
              ROUND(ROUND(OFFSET($P162,0,AP$13),15-13*ORÇAMENTO!$AF$7)*OFFSET(ORÇAMENTO!$W$15,ROW(AP162)-ROW(AP$15),0),15-13*ORÇAMENTO!$AF$11)),
         0)</f>
        <v>0</v>
      </c>
      <c r="AQ162" s="453">
        <f ca="1">IF(AND($D162="Serviço",AQ$12&lt;&gt;0,$H162&gt;0,OR(AUTOEVENTO&lt;&gt;"manual",$M162&lt;&gt;$A$15)),
        IF(Import.TipoArredondamento&lt;&gt;"TransfereGOV",
              ROUND(OFFSET($P162,0,AQ$13),15-13*ORÇAMENTO!$AF$7)/$H162*OFFSET(ORÇAMENTO!$X$15,ROW(AQ162)-ROW(AQ$15),0),
              ROUND(ROUND(OFFSET($P162,0,AQ$13),15-13*ORÇAMENTO!$AF$7)*OFFSET(ORÇAMENTO!$W$15,ROW(AQ162)-ROW(AQ$15),0),15-13*ORÇAMENTO!$AF$11)),
         0)</f>
        <v>0</v>
      </c>
      <c r="AR162" s="453">
        <f ca="1">IF(AND($D162="Serviço",AR$12&lt;&gt;0,$H162&gt;0,OR(AUTOEVENTO&lt;&gt;"manual",$M162&lt;&gt;$A$15)),
        IF(Import.TipoArredondamento&lt;&gt;"TransfereGOV",
              ROUND(OFFSET($P162,0,AR$13),15-13*ORÇAMENTO!$AF$7)/$H162*OFFSET(ORÇAMENTO!$X$15,ROW(AR162)-ROW(AR$15),0),
              ROUND(ROUND(OFFSET($P162,0,AR$13),15-13*ORÇAMENTO!$AF$7)*OFFSET(ORÇAMENTO!$W$15,ROW(AR162)-ROW(AR$15),0),15-13*ORÇAMENTO!$AF$11)),
         0)</f>
        <v>0</v>
      </c>
      <c r="AS162" s="453">
        <f ca="1">IF(AND($D162="Serviço",AS$12&lt;&gt;0,$H162&gt;0,OR(AUTOEVENTO&lt;&gt;"manual",$M162&lt;&gt;$A$15)),
        IF(Import.TipoArredondamento&lt;&gt;"TransfereGOV",
              ROUND(OFFSET($P162,0,AS$13),15-13*ORÇAMENTO!$AF$7)/$H162*OFFSET(ORÇAMENTO!$X$15,ROW(AS162)-ROW(AS$15),0),
              ROUND(ROUND(OFFSET($P162,0,AS$13),15-13*ORÇAMENTO!$AF$7)*OFFSET(ORÇAMENTO!$W$15,ROW(AS162)-ROW(AS$15),0),15-13*ORÇAMENTO!$AF$11)),
         0)</f>
        <v>0</v>
      </c>
      <c r="AT162" s="453">
        <f ca="1">IF(AND($D162="Serviço",AT$12&lt;&gt;0,$H162&gt;0,OR(AUTOEVENTO&lt;&gt;"manual",$M162&lt;&gt;$A$15)),
        IF(Import.TipoArredondamento&lt;&gt;"TransfereGOV",
              ROUND(OFFSET($P162,0,AT$13),15-13*ORÇAMENTO!$AF$7)/$H162*OFFSET(ORÇAMENTO!$X$15,ROW(AT162)-ROW(AT$15),0),
              ROUND(ROUND(OFFSET($P162,0,AT$13),15-13*ORÇAMENTO!$AF$7)*OFFSET(ORÇAMENTO!$W$15,ROW(AT162)-ROW(AT$15),0),15-13*ORÇAMENTO!$AF$11)),
         0)</f>
        <v>0</v>
      </c>
      <c r="AU162" s="453">
        <f ca="1">IF(AND($D162="Serviço",AU$12&lt;&gt;0,$H162&gt;0,OR(AUTOEVENTO&lt;&gt;"manual",$M162&lt;&gt;$A$15)),
        IF(Import.TipoArredondamento&lt;&gt;"TransfereGOV",
              ROUND(OFFSET($P162,0,AU$13),15-13*ORÇAMENTO!$AF$7)/$H162*OFFSET(ORÇAMENTO!$X$15,ROW(AU162)-ROW(AU$15),0),
              ROUND(ROUND(OFFSET($P162,0,AU$13),15-13*ORÇAMENTO!$AF$7)*OFFSET(ORÇAMENTO!$W$15,ROW(AU162)-ROW(AU$15),0),15-13*ORÇAMENTO!$AF$11)),
         0)</f>
        <v>0</v>
      </c>
      <c r="AV162" s="453">
        <f ca="1">IF(AND($D162="Serviço",AV$12&lt;&gt;0,$H162&gt;0,OR(AUTOEVENTO&lt;&gt;"manual",$M162&lt;&gt;$A$15)),
        IF(Import.TipoArredondamento&lt;&gt;"TransfereGOV",
              ROUND(OFFSET($P162,0,AV$13),15-13*ORÇAMENTO!$AF$7)/$H162*OFFSET(ORÇAMENTO!$X$15,ROW(AV162)-ROW(AV$15),0),
              ROUND(ROUND(OFFSET($P162,0,AV$13),15-13*ORÇAMENTO!$AF$7)*OFFSET(ORÇAMENTO!$W$15,ROW(AV162)-ROW(AV$15),0),15-13*ORÇAMENTO!$AF$11)),
         0)</f>
        <v>0</v>
      </c>
      <c r="AW162" s="453">
        <f ca="1">IF(AND($D162="Serviço",AW$12&lt;&gt;0,$H162&gt;0,OR(AUTOEVENTO&lt;&gt;"manual",$M162&lt;&gt;$A$15)),
        IF(Import.TipoArredondamento&lt;&gt;"TransfereGOV",
              ROUND(OFFSET($P162,0,AW$13),15-13*ORÇAMENTO!$AF$7)/$H162*OFFSET(ORÇAMENTO!$X$15,ROW(AW162)-ROW(AW$15),0),
              ROUND(ROUND(OFFSET($P162,0,AW$13),15-13*ORÇAMENTO!$AF$7)*OFFSET(ORÇAMENTO!$W$15,ROW(AW162)-ROW(AW$15),0),15-13*ORÇAMENTO!$AF$11)),
         0)</f>
        <v>0</v>
      </c>
      <c r="AX162" s="453">
        <f ca="1">IF(AND($D162="Serviço",AX$12&lt;&gt;0,$H162&gt;0,OR(AUTOEVENTO&lt;&gt;"manual",$M162&lt;&gt;$A$15)),
        IF(Import.TipoArredondamento&lt;&gt;"TransfereGOV",
              ROUND(OFFSET($P162,0,AX$13),15-13*ORÇAMENTO!$AF$7)/$H162*OFFSET(ORÇAMENTO!$X$15,ROW(AX162)-ROW(AX$15),0),
              ROUND(ROUND(OFFSET($P162,0,AX$13),15-13*ORÇAMENTO!$AF$7)*OFFSET(ORÇAMENTO!$W$15,ROW(AX162)-ROW(AX$15),0),15-13*ORÇAMENTO!$AF$11)),
         0)</f>
        <v>0</v>
      </c>
      <c r="AY162" s="453">
        <f ca="1">IF(AND($D162="Serviço",AY$12&lt;&gt;0,$H162&gt;0,OR(AUTOEVENTO&lt;&gt;"manual",$M162&lt;&gt;$A$15)),
        IF(Import.TipoArredondamento&lt;&gt;"TransfereGOV",
              ROUND(OFFSET($P162,0,AY$13),15-13*ORÇAMENTO!$AF$7)/$H162*OFFSET(ORÇAMENTO!$X$15,ROW(AY162)-ROW(AY$15),0),
              ROUND(ROUND(OFFSET($P162,0,AY$13),15-13*ORÇAMENTO!$AF$7)*OFFSET(ORÇAMENTO!$W$15,ROW(AY162)-ROW(AY$15),0),15-13*ORÇAMENTO!$AF$11)),
         0)</f>
        <v>0</v>
      </c>
      <c r="AZ162" s="453">
        <f ca="1">IF(AND($D162="Serviço",AZ$12&lt;&gt;0,$H162&gt;0,OR(AUTOEVENTO&lt;&gt;"manual",$M162&lt;&gt;$A$15)),
        IF(Import.TipoArredondamento&lt;&gt;"TransfereGOV",
              ROUND(OFFSET($P162,0,AZ$13),15-13*ORÇAMENTO!$AF$7)/$H162*OFFSET(ORÇAMENTO!$X$15,ROW(AZ162)-ROW(AZ$15),0),
              ROUND(ROUND(OFFSET($P162,0,AZ$13),15-13*ORÇAMENTO!$AF$7)*OFFSET(ORÇAMENTO!$W$15,ROW(AZ162)-ROW(AZ$15),0),15-13*ORÇAMENTO!$AF$11)),
         0)</f>
        <v>0</v>
      </c>
      <c r="BA162" s="453">
        <f ca="1">IF(AND($D162="Serviço",BA$12&lt;&gt;0,$H162&gt;0,OR(AUTOEVENTO&lt;&gt;"manual",$M162&lt;&gt;$A$15)),
        IF(Import.TipoArredondamento&lt;&gt;"TransfereGOV",
              ROUND(OFFSET($P162,0,BA$13),15-13*ORÇAMENTO!$AF$7)/$H162*OFFSET(ORÇAMENTO!$X$15,ROW(BA162)-ROW(BA$15),0),
              ROUND(ROUND(OFFSET($P162,0,BA$13),15-13*ORÇAMENTO!$AF$7)*OFFSET(ORÇAMENTO!$W$15,ROW(BA162)-ROW(BA$15),0),15-13*ORÇAMENTO!$AF$11)),
         0)</f>
        <v>0</v>
      </c>
      <c r="BC162" s="171">
        <f ca="1">IF(OR($D162&lt;&gt;"Serviço",AND(AUTOEVENTO="Manual",$M162=$A$15)),0,
         IF(OFFSET(CRONOPLE!$F$15,$M162-$A$15,BC$13)=0,10^12,OFFSET(CRONOPLE!$F$15,$M162-$A$15,BC$13)))</f>
        <v>1000000000000</v>
      </c>
      <c r="BD162" s="171">
        <f ca="1">IF(OR($D162&lt;&gt;"Serviço",AND(AUTOEVENTO="Manual",$M162=$A$15)),0,
         IF(OFFSET(CRONOPLE!$F$15,$M162-$A$15,BD$13)=0,10^12,OFFSET(CRONOPLE!$F$15,$M162-$A$15,BD$13)))</f>
        <v>1000000000000</v>
      </c>
      <c r="BE162" s="171">
        <f ca="1">IF(OR($D162&lt;&gt;"Serviço",AND(AUTOEVENTO="Manual",$M162=$A$15)),0,
         IF(OFFSET(CRONOPLE!$F$15,$M162-$A$15,BE$13)=0,10^12,OFFSET(CRONOPLE!$F$15,$M162-$A$15,BE$13)))</f>
        <v>1000000000000</v>
      </c>
      <c r="BF162" s="171">
        <f ca="1">IF(OR($D162&lt;&gt;"Serviço",AND(AUTOEVENTO="Manual",$M162=$A$15)),0,
         IF(OFFSET(CRONOPLE!$F$15,$M162-$A$15,BF$13)=0,10^12,OFFSET(CRONOPLE!$F$15,$M162-$A$15,BF$13)))</f>
        <v>1000000000000</v>
      </c>
      <c r="BG162" s="171">
        <f ca="1">IF(OR($D162&lt;&gt;"Serviço",AND(AUTOEVENTO="Manual",$M162=$A$15)),0,
         IF(OFFSET(CRONOPLE!$F$15,$M162-$A$15,BG$13)=0,10^12,OFFSET(CRONOPLE!$F$15,$M162-$A$15,BG$13)))</f>
        <v>1000000000000</v>
      </c>
      <c r="BH162" s="171">
        <f ca="1">IF(OR($D162&lt;&gt;"Serviço",AND(AUTOEVENTO="Manual",$M162=$A$15)),0,
         IF(OFFSET(CRONOPLE!$F$15,$M162-$A$15,BH$13)=0,10^12,OFFSET(CRONOPLE!$F$15,$M162-$A$15,BH$13)))</f>
        <v>5</v>
      </c>
      <c r="BI162" s="171">
        <f ca="1">IF(OR($D162&lt;&gt;"Serviço",AND(AUTOEVENTO="Manual",$M162=$A$15)),0,
         IF(OFFSET(CRONOPLE!$F$15,$M162-$A$15,BI$13)=0,10^12,OFFSET(CRONOPLE!$F$15,$M162-$A$15,BI$13)))</f>
        <v>1000000000000</v>
      </c>
      <c r="BJ162" s="171">
        <f ca="1">IF(OR($D162&lt;&gt;"Serviço",AND(AUTOEVENTO="Manual",$M162=$A$15)),0,
         IF(OFFSET(CRONOPLE!$F$15,$M162-$A$15,BJ$13)=0,10^12,OFFSET(CRONOPLE!$F$15,$M162-$A$15,BJ$13)))</f>
        <v>1000000000000</v>
      </c>
      <c r="BK162" s="171">
        <f ca="1">IF(OR($D162&lt;&gt;"Serviço",AND(AUTOEVENTO="Manual",$M162=$A$15)),0,
         IF(OFFSET(CRONOPLE!$F$15,$M162-$A$15,BK$13)=0,10^12,OFFSET(CRONOPLE!$F$15,$M162-$A$15,BK$13)))</f>
        <v>1000000000000</v>
      </c>
      <c r="BL162" s="171">
        <f ca="1">IF(OR($D162&lt;&gt;"Serviço",AND(AUTOEVENTO="Manual",$M162=$A$15)),0,
         IF(OFFSET(CRONOPLE!$F$15,$M162-$A$15,BL$13)=0,10^12,OFFSET(CRONOPLE!$F$15,$M162-$A$15,BL$13)))</f>
        <v>1000000000000</v>
      </c>
      <c r="BM162" s="171">
        <f ca="1">IF(OR($D162&lt;&gt;"Serviço",AND(AUTOEVENTO="Manual",$M162=$A$15)),0,
         IF(OFFSET(CRONOPLE!$F$15,$M162-$A$15,BM$13)=0,10^12,OFFSET(CRONOPLE!$F$15,$M162-$A$15,BM$13)))</f>
        <v>1000000000000</v>
      </c>
      <c r="BN162" s="171">
        <f ca="1">IF(OR($D162&lt;&gt;"Serviço",AND(AUTOEVENTO="Manual",$M162=$A$15)),0,
         IF(OFFSET(CRONOPLE!$F$15,$M162-$A$15,BN$13)=0,10^12,OFFSET(CRONOPLE!$F$15,$M162-$A$15,BN$13)))</f>
        <v>1000000000000</v>
      </c>
      <c r="BO162" s="171">
        <f ca="1">IF(OR($D162&lt;&gt;"Serviço",AND(AUTOEVENTO="Manual",$M162=$A$15)),0,
         IF(OFFSET(CRONOPLE!$F$15,$M162-$A$15,BO$13)=0,10^12,OFFSET(CRONOPLE!$F$15,$M162-$A$15,BO$13)))</f>
        <v>1000000000000</v>
      </c>
      <c r="BP162" s="171">
        <f ca="1">IF(OR($D162&lt;&gt;"Serviço",AND(AUTOEVENTO="Manual",$M162=$A$15)),0,
         IF(OFFSET(CRONOPLE!$F$15,$M162-$A$15,BP$13)=0,10^12,OFFSET(CRONOPLE!$F$15,$M162-$A$15,BP$13)))</f>
        <v>1000000000000</v>
      </c>
      <c r="BQ162" s="171">
        <f ca="1">IF(OR($D162&lt;&gt;"Serviço",AND(AUTOEVENTO="Manual",$M162=$A$15)),0,
         IF(OFFSET(CRONOPLE!$F$15,$M162-$A$15,BQ$13)=0,10^12,OFFSET(CRONOPLE!$F$15,$M162-$A$15,BQ$13)))</f>
        <v>1000000000000</v>
      </c>
      <c r="BR162" s="171">
        <f ca="1">IF(OR($D162&lt;&gt;"Serviço",AND(AUTOEVENTO="Manual",$M162=$A$15)),0,
         IF(OFFSET(CRONOPLE!$F$15,$M162-$A$15,BR$13)=0,10^12,OFFSET(CRONOPLE!$F$15,$M162-$A$15,BR$13)))</f>
        <v>1000000000000</v>
      </c>
      <c r="BS162" s="171">
        <f ca="1">IF(OR($D162&lt;&gt;"Serviço",AND(AUTOEVENTO="Manual",$M162=$A$15)),0,
         IF(OFFSET(CRONOPLE!$F$15,$M162-$A$15,BS$13)=0,10^12,OFFSET(CRONOPLE!$F$15,$M162-$A$15,BS$13)))</f>
        <v>1000000000000</v>
      </c>
      <c r="BT162" s="171">
        <f ca="1">IF(OR($D162&lt;&gt;"Serviço",AND(AUTOEVENTO="Manual",$M162=$A$15)),0,
         IF(OFFSET(CRONOPLE!$F$15,$M162-$A$15,BT$13)=0,10^12,OFFSET(CRONOPLE!$F$15,$M162-$A$15,BT$13)))</f>
        <v>1000000000000</v>
      </c>
      <c r="BV162" s="172">
        <f ca="1">IF(OR($D162&lt;&gt;"Serviço",AND(AUTOEVENTO="Manual",$M162=$A$15),$M162&gt;(ROW(PLE.lastrow)-ROW(PLE.firstrow))),0,
           IF(OFFSET(PLE!$G$15,$M162-$A$15,BV$13)="",10^12,OFFSET(PLE!$G$15,$M162-$A$15,BV$13)))</f>
        <v>1000000000000</v>
      </c>
      <c r="BW162" s="172">
        <f ca="1">IF(OR($D162&lt;&gt;"Serviço",AND(AUTOEVENTO="Manual",$M162=$A$15),$M162&gt;(ROW(PLE.lastrow)-ROW(PLE.firstrow))),0,
           IF(OFFSET(PLE!$G$15,$M162-$A$15,BW$13)="",10^12,OFFSET(PLE!$G$15,$M162-$A$15,BW$13)))</f>
        <v>1000000000000</v>
      </c>
      <c r="BX162" s="172">
        <f ca="1">IF(OR($D162&lt;&gt;"Serviço",AND(AUTOEVENTO="Manual",$M162=$A$15),$M162&gt;(ROW(PLE.lastrow)-ROW(PLE.firstrow))),0,
           IF(OFFSET(PLE!$G$15,$M162-$A$15,BX$13)="",10^12,OFFSET(PLE!$G$15,$M162-$A$15,BX$13)))</f>
        <v>1000000000000</v>
      </c>
      <c r="BY162" s="172">
        <f ca="1">IF(OR($D162&lt;&gt;"Serviço",AND(AUTOEVENTO="Manual",$M162=$A$15),$M162&gt;(ROW(PLE.lastrow)-ROW(PLE.firstrow))),0,
           IF(OFFSET(PLE!$G$15,$M162-$A$15,BY$13)="",10^12,OFFSET(PLE!$G$15,$M162-$A$15,BY$13)))</f>
        <v>1000000000000</v>
      </c>
      <c r="BZ162" s="172">
        <f ca="1">IF(OR($D162&lt;&gt;"Serviço",AND(AUTOEVENTO="Manual",$M162=$A$15),$M162&gt;(ROW(PLE.lastrow)-ROW(PLE.firstrow))),0,
           IF(OFFSET(PLE!$G$15,$M162-$A$15,BZ$13)="",10^12,OFFSET(PLE!$G$15,$M162-$A$15,BZ$13)))</f>
        <v>1000000000000</v>
      </c>
      <c r="CA162" s="172">
        <f ca="1">IF(OR($D162&lt;&gt;"Serviço",AND(AUTOEVENTO="Manual",$M162=$A$15),$M162&gt;(ROW(PLE.lastrow)-ROW(PLE.firstrow))),0,
           IF(OFFSET(PLE!$G$15,$M162-$A$15,CA$13)="",10^12,OFFSET(PLE!$G$15,$M162-$A$15,CA$13)))</f>
        <v>1000000000000</v>
      </c>
      <c r="CB162" s="172">
        <f ca="1">IF(OR($D162&lt;&gt;"Serviço",AND(AUTOEVENTO="Manual",$M162=$A$15),$M162&gt;(ROW(PLE.lastrow)-ROW(PLE.firstrow))),0,
           IF(OFFSET(PLE!$G$15,$M162-$A$15,CB$13)="",10^12,OFFSET(PLE!$G$15,$M162-$A$15,CB$13)))</f>
        <v>1000000000000</v>
      </c>
      <c r="CC162" s="172">
        <f ca="1">IF(OR($D162&lt;&gt;"Serviço",AND(AUTOEVENTO="Manual",$M162=$A$15),$M162&gt;(ROW(PLE.lastrow)-ROW(PLE.firstrow))),0,
           IF(OFFSET(PLE!$G$15,$M162-$A$15,CC$13)="",10^12,OFFSET(PLE!$G$15,$M162-$A$15,CC$13)))</f>
        <v>1000000000000</v>
      </c>
      <c r="CD162" s="172">
        <f ca="1">IF(OR($D162&lt;&gt;"Serviço",AND(AUTOEVENTO="Manual",$M162=$A$15),$M162&gt;(ROW(PLE.lastrow)-ROW(PLE.firstrow))),0,
           IF(OFFSET(PLE!$G$15,$M162-$A$15,CD$13)="",10^12,OFFSET(PLE!$G$15,$M162-$A$15,CD$13)))</f>
        <v>1000000000000</v>
      </c>
      <c r="CE162" s="172">
        <f ca="1">IF(OR($D162&lt;&gt;"Serviço",AND(AUTOEVENTO="Manual",$M162=$A$15),$M162&gt;(ROW(PLE.lastrow)-ROW(PLE.firstrow))),0,
           IF(OFFSET(PLE!$G$15,$M162-$A$15,CE$13)="",10^12,OFFSET(PLE!$G$15,$M162-$A$15,CE$13)))</f>
        <v>1000000000000</v>
      </c>
      <c r="CF162" s="172">
        <f ca="1">IF(OR($D162&lt;&gt;"Serviço",AND(AUTOEVENTO="Manual",$M162=$A$15),$M162&gt;(ROW(PLE.lastrow)-ROW(PLE.firstrow))),0,
           IF(OFFSET(PLE!$G$15,$M162-$A$15,CF$13)="",10^12,OFFSET(PLE!$G$15,$M162-$A$15,CF$13)))</f>
        <v>1000000000000</v>
      </c>
      <c r="CG162" s="172">
        <f ca="1">IF(OR($D162&lt;&gt;"Serviço",AND(AUTOEVENTO="Manual",$M162=$A$15),$M162&gt;(ROW(PLE.lastrow)-ROW(PLE.firstrow))),0,
           IF(OFFSET(PLE!$G$15,$M162-$A$15,CG$13)="",10^12,OFFSET(PLE!$G$15,$M162-$A$15,CG$13)))</f>
        <v>1000000000000</v>
      </c>
      <c r="CH162" s="172">
        <f ca="1">IF(OR($D162&lt;&gt;"Serviço",AND(AUTOEVENTO="Manual",$M162=$A$15),$M162&gt;(ROW(PLE.lastrow)-ROW(PLE.firstrow))),0,
           IF(OFFSET(PLE!$G$15,$M162-$A$15,CH$13)="",10^12,OFFSET(PLE!$G$15,$M162-$A$15,CH$13)))</f>
        <v>1000000000000</v>
      </c>
      <c r="CI162" s="172">
        <f ca="1">IF(OR($D162&lt;&gt;"Serviço",AND(AUTOEVENTO="Manual",$M162=$A$15),$M162&gt;(ROW(PLE.lastrow)-ROW(PLE.firstrow))),0,
           IF(OFFSET(PLE!$G$15,$M162-$A$15,CI$13)="",10^12,OFFSET(PLE!$G$15,$M162-$A$15,CI$13)))</f>
        <v>1000000000000</v>
      </c>
      <c r="CJ162" s="172">
        <f ca="1">IF(OR($D162&lt;&gt;"Serviço",AND(AUTOEVENTO="Manual",$M162=$A$15),$M162&gt;(ROW(PLE.lastrow)-ROW(PLE.firstrow))),0,
           IF(OFFSET(PLE!$G$15,$M162-$A$15,CJ$13)="",10^12,OFFSET(PLE!$G$15,$M162-$A$15,CJ$13)))</f>
        <v>1000000000000</v>
      </c>
      <c r="CK162" s="172">
        <f ca="1">IF(OR($D162&lt;&gt;"Serviço",AND(AUTOEVENTO="Manual",$M162=$A$15),$M162&gt;(ROW(PLE.lastrow)-ROW(PLE.firstrow))),0,
           IF(OFFSET(PLE!$G$15,$M162-$A$15,CK$13)="",10^12,OFFSET(PLE!$G$15,$M162-$A$15,CK$13)))</f>
        <v>1000000000000</v>
      </c>
      <c r="CL162" s="172">
        <f ca="1">IF(OR($D162&lt;&gt;"Serviço",AND(AUTOEVENTO="Manual",$M162=$A$15),$M162&gt;(ROW(PLE.lastrow)-ROW(PLE.firstrow))),0,
           IF(OFFSET(PLE!$G$15,$M162-$A$15,CL$13)="",10^12,OFFSET(PLE!$G$15,$M162-$A$15,CL$13)))</f>
        <v>1000000000000</v>
      </c>
      <c r="CM162" s="172">
        <f ca="1">IF(OR($D162&lt;&gt;"Serviço",AND(AUTOEVENTO="Manual",$M162=$A$15),$M162&gt;(ROW(PLE.lastrow)-ROW(PLE.firstrow))),0,
           IF(OFFSET(PLE!$G$15,$M162-$A$15,CM$13)="",10^12,OFFSET(PLE!$G$15,$M162-$A$15,CM$13)))</f>
        <v>1000000000000</v>
      </c>
    </row>
    <row r="163" spans="1:91" ht="13.2" x14ac:dyDescent="0.25">
      <c r="A163" s="7" t="str">
        <f t="shared" ca="1" si="11"/>
        <v>148.</v>
      </c>
      <c r="B163" s="7">
        <f ca="1">OFFSET(ORÇAMENTO!C$15,ROW(B163)-ROW(B$15),0)</f>
        <v>2</v>
      </c>
      <c r="C163" s="7" t="str">
        <f ca="1">OFFSET(ORÇAMENTO!L$15,ROW(C163)-ROW(C$15),0)</f>
        <v>F</v>
      </c>
      <c r="D163" s="116" t="str">
        <f ca="1">OFFSET(ORÇAMENTO!N$15,ROW(D163)-ROW(D$15),0)</f>
        <v>Nível 2</v>
      </c>
      <c r="E163" s="117" t="str">
        <f ca="1">OFFSET(ORÇAMENTO!O$15,ROW(E163)-ROW(E$15),0)</f>
        <v>4.5.</v>
      </c>
      <c r="F163" s="163" t="str">
        <f ca="1">OFFSET(ORÇAMENTO!R$15,ROW(F163)-ROW(F$15),0)</f>
        <v xml:space="preserve">DESMOBILIZAÇÃO </v>
      </c>
      <c r="G163" s="164" t="str">
        <f ca="1">IF($D163&lt;&gt;"Serviço","",OFFSET(ORÇAMENTO!S$15,ROW(G163)-ROW(G$15),0))</f>
        <v/>
      </c>
      <c r="H163" s="122" cm="1">
        <f t="array" aca="1" ref="H163" ca="1">IF($D163&lt;&gt;"Serviço",0,IF(ACOMPANHAMENTO="BM",ROUND(OFFSET(ORÇAMENTO!AJ$15,ROW(H163)-ROW(H$15),0),15-13*ORÇAMENTO!$AF$7),SUMPRODUCT(($Q$1:$AI$1=1)*ROUND($Q163:$AI163,15-13*ORÇAMENTO!$AF$7))))</f>
        <v>0</v>
      </c>
      <c r="I163" s="468"/>
      <c r="J163" s="651" t="str" cm="1">
        <f t="array" aca="1" ref="J163" ca="1">IF(OR(B163&lt;&gt;"S",CÁLCULO.FrentesPreenchidas=0),"",IF(AND(ACOMPANHAMENTO="PLE",AUTOEVENTO="Manual",OR(H163&gt;0,ORÇAMENTO!AC163="QUANT."),OR(K163="",M163=0,N163="")),"►E",IF(AND(ACOMPANHAMENTO="PLE",ORÇAMENTO!AC163="QUANT."),"►Q",IF(AND(ACOMPANHAMENTO="PLE",H163&lt;&gt;SUMPRODUCT(($Q$1:$AI$1=1)*ROUND(Q163:AI163,15))),"►S",IF(AND(COUNTIF($P$11:$AI$11,"▼")=0,H163&gt;0,I163=""),"◄M","")))))</f>
        <v/>
      </c>
      <c r="K163" s="652"/>
      <c r="L163" s="165" t="s">
        <v>764</v>
      </c>
      <c r="M163" s="166" t="str">
        <f ca="1">IF($D163&lt;&gt;"Serviço","",
          IF(AUTOEVENTO="manual",$A163,
                IF(ISERROR(MATCH($A163,$A$15:OFFSET($A163,-1,0),0)),MAX($M$15:OFFSET(M163,-1,0))+1,
                      INDEX($M$15:OFFSET(M163,-1,0),MATCH($A163,$A$15:OFFSET($A163,-1,0),0)))))</f>
        <v/>
      </c>
      <c r="N163" s="167" t="str">
        <f ca="1">IF($D163&lt;&gt;"Serviço","",
         IF(AUTOEVENTO="Manual",
                IF($A163=0,"&lt;-- defina o número do agrupador",
                       OFFSET(EVENTOS!$D$15,$A163-$A$15,0)),
                OFFSET($F$15,$A163,0)))</f>
        <v/>
      </c>
      <c r="O163" s="168"/>
      <c r="Q163" s="168"/>
      <c r="R163" s="169"/>
      <c r="S163" s="169"/>
      <c r="T163" s="169"/>
      <c r="U163" s="169"/>
      <c r="V163" s="169"/>
      <c r="W163" s="169"/>
      <c r="X163" s="169"/>
      <c r="Y163" s="169"/>
      <c r="Z163" s="170"/>
      <c r="AA163" s="169"/>
      <c r="AB163" s="169"/>
      <c r="AC163" s="169"/>
      <c r="AD163" s="169"/>
      <c r="AE163" s="169"/>
      <c r="AF163" s="169"/>
      <c r="AG163" s="169"/>
      <c r="AH163" s="170"/>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L163" s="453">
        <f ca="1">IF(AND($D163="Serviço",AL$12&lt;&gt;0,$H163&gt;0,OR(AUTOEVENTO&lt;&gt;"manual",$M163&lt;&gt;$A$15)),
        IF(Import.TipoArredondamento&lt;&gt;"TransfereGOV",
              ROUND(OFFSET($P163,0,AL$13),15-13*ORÇAMENTO!$AF$7)/$H163*OFFSET(ORÇAMENTO!$X$15,ROW(AL163)-ROW(AL$15),0),
              ROUND(ROUND(OFFSET($P163,0,AL$13),15-13*ORÇAMENTO!$AF$7)*OFFSET(ORÇAMENTO!$W$15,ROW(AL163)-ROW(AL$15),0),15-13*ORÇAMENTO!$AF$11)),
         0)</f>
        <v>0</v>
      </c>
      <c r="AM163" s="453">
        <f ca="1">IF(AND($D163="Serviço",AM$12&lt;&gt;0,$H163&gt;0,OR(AUTOEVENTO&lt;&gt;"manual",$M163&lt;&gt;$A$15)),
        IF(Import.TipoArredondamento&lt;&gt;"TransfereGOV",
              ROUND(OFFSET($P163,0,AM$13),15-13*ORÇAMENTO!$AF$7)/$H163*OFFSET(ORÇAMENTO!$X$15,ROW(AM163)-ROW(AM$15),0),
              ROUND(ROUND(OFFSET($P163,0,AM$13),15-13*ORÇAMENTO!$AF$7)*OFFSET(ORÇAMENTO!$W$15,ROW(AM163)-ROW(AM$15),0),15-13*ORÇAMENTO!$AF$11)),
         0)</f>
        <v>0</v>
      </c>
      <c r="AN163" s="453">
        <f ca="1">IF(AND($D163="Serviço",AN$12&lt;&gt;0,$H163&gt;0,OR(AUTOEVENTO&lt;&gt;"manual",$M163&lt;&gt;$A$15)),
        IF(Import.TipoArredondamento&lt;&gt;"TransfereGOV",
              ROUND(OFFSET($P163,0,AN$13),15-13*ORÇAMENTO!$AF$7)/$H163*OFFSET(ORÇAMENTO!$X$15,ROW(AN163)-ROW(AN$15),0),
              ROUND(ROUND(OFFSET($P163,0,AN$13),15-13*ORÇAMENTO!$AF$7)*OFFSET(ORÇAMENTO!$W$15,ROW(AN163)-ROW(AN$15),0),15-13*ORÇAMENTO!$AF$11)),
         0)</f>
        <v>0</v>
      </c>
      <c r="AO163" s="453">
        <f ca="1">IF(AND($D163="Serviço",AO$12&lt;&gt;0,$H163&gt;0,OR(AUTOEVENTO&lt;&gt;"manual",$M163&lt;&gt;$A$15)),
        IF(Import.TipoArredondamento&lt;&gt;"TransfereGOV",
              ROUND(OFFSET($P163,0,AO$13),15-13*ORÇAMENTO!$AF$7)/$H163*OFFSET(ORÇAMENTO!$X$15,ROW(AO163)-ROW(AO$15),0),
              ROUND(ROUND(OFFSET($P163,0,AO$13),15-13*ORÇAMENTO!$AF$7)*OFFSET(ORÇAMENTO!$W$15,ROW(AO163)-ROW(AO$15),0),15-13*ORÇAMENTO!$AF$11)),
         0)</f>
        <v>0</v>
      </c>
      <c r="AP163" s="453">
        <f ca="1">IF(AND($D163="Serviço",AP$12&lt;&gt;0,$H163&gt;0,OR(AUTOEVENTO&lt;&gt;"manual",$M163&lt;&gt;$A$15)),
        IF(Import.TipoArredondamento&lt;&gt;"TransfereGOV",
              ROUND(OFFSET($P163,0,AP$13),15-13*ORÇAMENTO!$AF$7)/$H163*OFFSET(ORÇAMENTO!$X$15,ROW(AP163)-ROW(AP$15),0),
              ROUND(ROUND(OFFSET($P163,0,AP$13),15-13*ORÇAMENTO!$AF$7)*OFFSET(ORÇAMENTO!$W$15,ROW(AP163)-ROW(AP$15),0),15-13*ORÇAMENTO!$AF$11)),
         0)</f>
        <v>0</v>
      </c>
      <c r="AQ163" s="453">
        <f ca="1">IF(AND($D163="Serviço",AQ$12&lt;&gt;0,$H163&gt;0,OR(AUTOEVENTO&lt;&gt;"manual",$M163&lt;&gt;$A$15)),
        IF(Import.TipoArredondamento&lt;&gt;"TransfereGOV",
              ROUND(OFFSET($P163,0,AQ$13),15-13*ORÇAMENTO!$AF$7)/$H163*OFFSET(ORÇAMENTO!$X$15,ROW(AQ163)-ROW(AQ$15),0),
              ROUND(ROUND(OFFSET($P163,0,AQ$13),15-13*ORÇAMENTO!$AF$7)*OFFSET(ORÇAMENTO!$W$15,ROW(AQ163)-ROW(AQ$15),0),15-13*ORÇAMENTO!$AF$11)),
         0)</f>
        <v>0</v>
      </c>
      <c r="AR163" s="453">
        <f ca="1">IF(AND($D163="Serviço",AR$12&lt;&gt;0,$H163&gt;0,OR(AUTOEVENTO&lt;&gt;"manual",$M163&lt;&gt;$A$15)),
        IF(Import.TipoArredondamento&lt;&gt;"TransfereGOV",
              ROUND(OFFSET($P163,0,AR$13),15-13*ORÇAMENTO!$AF$7)/$H163*OFFSET(ORÇAMENTO!$X$15,ROW(AR163)-ROW(AR$15),0),
              ROUND(ROUND(OFFSET($P163,0,AR$13),15-13*ORÇAMENTO!$AF$7)*OFFSET(ORÇAMENTO!$W$15,ROW(AR163)-ROW(AR$15),0),15-13*ORÇAMENTO!$AF$11)),
         0)</f>
        <v>0</v>
      </c>
      <c r="AS163" s="453">
        <f ca="1">IF(AND($D163="Serviço",AS$12&lt;&gt;0,$H163&gt;0,OR(AUTOEVENTO&lt;&gt;"manual",$M163&lt;&gt;$A$15)),
        IF(Import.TipoArredondamento&lt;&gt;"TransfereGOV",
              ROUND(OFFSET($P163,0,AS$13),15-13*ORÇAMENTO!$AF$7)/$H163*OFFSET(ORÇAMENTO!$X$15,ROW(AS163)-ROW(AS$15),0),
              ROUND(ROUND(OFFSET($P163,0,AS$13),15-13*ORÇAMENTO!$AF$7)*OFFSET(ORÇAMENTO!$W$15,ROW(AS163)-ROW(AS$15),0),15-13*ORÇAMENTO!$AF$11)),
         0)</f>
        <v>0</v>
      </c>
      <c r="AT163" s="453">
        <f ca="1">IF(AND($D163="Serviço",AT$12&lt;&gt;0,$H163&gt;0,OR(AUTOEVENTO&lt;&gt;"manual",$M163&lt;&gt;$A$15)),
        IF(Import.TipoArredondamento&lt;&gt;"TransfereGOV",
              ROUND(OFFSET($P163,0,AT$13),15-13*ORÇAMENTO!$AF$7)/$H163*OFFSET(ORÇAMENTO!$X$15,ROW(AT163)-ROW(AT$15),0),
              ROUND(ROUND(OFFSET($P163,0,AT$13),15-13*ORÇAMENTO!$AF$7)*OFFSET(ORÇAMENTO!$W$15,ROW(AT163)-ROW(AT$15),0),15-13*ORÇAMENTO!$AF$11)),
         0)</f>
        <v>0</v>
      </c>
      <c r="AU163" s="453">
        <f ca="1">IF(AND($D163="Serviço",AU$12&lt;&gt;0,$H163&gt;0,OR(AUTOEVENTO&lt;&gt;"manual",$M163&lt;&gt;$A$15)),
        IF(Import.TipoArredondamento&lt;&gt;"TransfereGOV",
              ROUND(OFFSET($P163,0,AU$13),15-13*ORÇAMENTO!$AF$7)/$H163*OFFSET(ORÇAMENTO!$X$15,ROW(AU163)-ROW(AU$15),0),
              ROUND(ROUND(OFFSET($P163,0,AU$13),15-13*ORÇAMENTO!$AF$7)*OFFSET(ORÇAMENTO!$W$15,ROW(AU163)-ROW(AU$15),0),15-13*ORÇAMENTO!$AF$11)),
         0)</f>
        <v>0</v>
      </c>
      <c r="AV163" s="453">
        <f ca="1">IF(AND($D163="Serviço",AV$12&lt;&gt;0,$H163&gt;0,OR(AUTOEVENTO&lt;&gt;"manual",$M163&lt;&gt;$A$15)),
        IF(Import.TipoArredondamento&lt;&gt;"TransfereGOV",
              ROUND(OFFSET($P163,0,AV$13),15-13*ORÇAMENTO!$AF$7)/$H163*OFFSET(ORÇAMENTO!$X$15,ROW(AV163)-ROW(AV$15),0),
              ROUND(ROUND(OFFSET($P163,0,AV$13),15-13*ORÇAMENTO!$AF$7)*OFFSET(ORÇAMENTO!$W$15,ROW(AV163)-ROW(AV$15),0),15-13*ORÇAMENTO!$AF$11)),
         0)</f>
        <v>0</v>
      </c>
      <c r="AW163" s="453">
        <f ca="1">IF(AND($D163="Serviço",AW$12&lt;&gt;0,$H163&gt;0,OR(AUTOEVENTO&lt;&gt;"manual",$M163&lt;&gt;$A$15)),
        IF(Import.TipoArredondamento&lt;&gt;"TransfereGOV",
              ROUND(OFFSET($P163,0,AW$13),15-13*ORÇAMENTO!$AF$7)/$H163*OFFSET(ORÇAMENTO!$X$15,ROW(AW163)-ROW(AW$15),0),
              ROUND(ROUND(OFFSET($P163,0,AW$13),15-13*ORÇAMENTO!$AF$7)*OFFSET(ORÇAMENTO!$W$15,ROW(AW163)-ROW(AW$15),0),15-13*ORÇAMENTO!$AF$11)),
         0)</f>
        <v>0</v>
      </c>
      <c r="AX163" s="453">
        <f ca="1">IF(AND($D163="Serviço",AX$12&lt;&gt;0,$H163&gt;0,OR(AUTOEVENTO&lt;&gt;"manual",$M163&lt;&gt;$A$15)),
        IF(Import.TipoArredondamento&lt;&gt;"TransfereGOV",
              ROUND(OFFSET($P163,0,AX$13),15-13*ORÇAMENTO!$AF$7)/$H163*OFFSET(ORÇAMENTO!$X$15,ROW(AX163)-ROW(AX$15),0),
              ROUND(ROUND(OFFSET($P163,0,AX$13),15-13*ORÇAMENTO!$AF$7)*OFFSET(ORÇAMENTO!$W$15,ROW(AX163)-ROW(AX$15),0),15-13*ORÇAMENTO!$AF$11)),
         0)</f>
        <v>0</v>
      </c>
      <c r="AY163" s="453">
        <f ca="1">IF(AND($D163="Serviço",AY$12&lt;&gt;0,$H163&gt;0,OR(AUTOEVENTO&lt;&gt;"manual",$M163&lt;&gt;$A$15)),
        IF(Import.TipoArredondamento&lt;&gt;"TransfereGOV",
              ROUND(OFFSET($P163,0,AY$13),15-13*ORÇAMENTO!$AF$7)/$H163*OFFSET(ORÇAMENTO!$X$15,ROW(AY163)-ROW(AY$15),0),
              ROUND(ROUND(OFFSET($P163,0,AY$13),15-13*ORÇAMENTO!$AF$7)*OFFSET(ORÇAMENTO!$W$15,ROW(AY163)-ROW(AY$15),0),15-13*ORÇAMENTO!$AF$11)),
         0)</f>
        <v>0</v>
      </c>
      <c r="AZ163" s="453">
        <f ca="1">IF(AND($D163="Serviço",AZ$12&lt;&gt;0,$H163&gt;0,OR(AUTOEVENTO&lt;&gt;"manual",$M163&lt;&gt;$A$15)),
        IF(Import.TipoArredondamento&lt;&gt;"TransfereGOV",
              ROUND(OFFSET($P163,0,AZ$13),15-13*ORÇAMENTO!$AF$7)/$H163*OFFSET(ORÇAMENTO!$X$15,ROW(AZ163)-ROW(AZ$15),0),
              ROUND(ROUND(OFFSET($P163,0,AZ$13),15-13*ORÇAMENTO!$AF$7)*OFFSET(ORÇAMENTO!$W$15,ROW(AZ163)-ROW(AZ$15),0),15-13*ORÇAMENTO!$AF$11)),
         0)</f>
        <v>0</v>
      </c>
      <c r="BA163" s="453">
        <f ca="1">IF(AND($D163="Serviço",BA$12&lt;&gt;0,$H163&gt;0,OR(AUTOEVENTO&lt;&gt;"manual",$M163&lt;&gt;$A$15)),
        IF(Import.TipoArredondamento&lt;&gt;"TransfereGOV",
              ROUND(OFFSET($P163,0,BA$13),15-13*ORÇAMENTO!$AF$7)/$H163*OFFSET(ORÇAMENTO!$X$15,ROW(BA163)-ROW(BA$15),0),
              ROUND(ROUND(OFFSET($P163,0,BA$13),15-13*ORÇAMENTO!$AF$7)*OFFSET(ORÇAMENTO!$W$15,ROW(BA163)-ROW(BA$15),0),15-13*ORÇAMENTO!$AF$11)),
         0)</f>
        <v>0</v>
      </c>
      <c r="BC163" s="171">
        <f ca="1">IF(OR($D163&lt;&gt;"Serviço",AND(AUTOEVENTO="Manual",$M163=$A$15)),0,
         IF(OFFSET(CRONOPLE!$F$15,$M163-$A$15,BC$13)=0,10^12,OFFSET(CRONOPLE!$F$15,$M163-$A$15,BC$13)))</f>
        <v>0</v>
      </c>
      <c r="BD163" s="171">
        <f ca="1">IF(OR($D163&lt;&gt;"Serviço",AND(AUTOEVENTO="Manual",$M163=$A$15)),0,
         IF(OFFSET(CRONOPLE!$F$15,$M163-$A$15,BD$13)=0,10^12,OFFSET(CRONOPLE!$F$15,$M163-$A$15,BD$13)))</f>
        <v>0</v>
      </c>
      <c r="BE163" s="171">
        <f ca="1">IF(OR($D163&lt;&gt;"Serviço",AND(AUTOEVENTO="Manual",$M163=$A$15)),0,
         IF(OFFSET(CRONOPLE!$F$15,$M163-$A$15,BE$13)=0,10^12,OFFSET(CRONOPLE!$F$15,$M163-$A$15,BE$13)))</f>
        <v>0</v>
      </c>
      <c r="BF163" s="171">
        <f ca="1">IF(OR($D163&lt;&gt;"Serviço",AND(AUTOEVENTO="Manual",$M163=$A$15)),0,
         IF(OFFSET(CRONOPLE!$F$15,$M163-$A$15,BF$13)=0,10^12,OFFSET(CRONOPLE!$F$15,$M163-$A$15,BF$13)))</f>
        <v>0</v>
      </c>
      <c r="BG163" s="171">
        <f ca="1">IF(OR($D163&lt;&gt;"Serviço",AND(AUTOEVENTO="Manual",$M163=$A$15)),0,
         IF(OFFSET(CRONOPLE!$F$15,$M163-$A$15,BG$13)=0,10^12,OFFSET(CRONOPLE!$F$15,$M163-$A$15,BG$13)))</f>
        <v>0</v>
      </c>
      <c r="BH163" s="171">
        <f ca="1">IF(OR($D163&lt;&gt;"Serviço",AND(AUTOEVENTO="Manual",$M163=$A$15)),0,
         IF(OFFSET(CRONOPLE!$F$15,$M163-$A$15,BH$13)=0,10^12,OFFSET(CRONOPLE!$F$15,$M163-$A$15,BH$13)))</f>
        <v>0</v>
      </c>
      <c r="BI163" s="171">
        <f ca="1">IF(OR($D163&lt;&gt;"Serviço",AND(AUTOEVENTO="Manual",$M163=$A$15)),0,
         IF(OFFSET(CRONOPLE!$F$15,$M163-$A$15,BI$13)=0,10^12,OFFSET(CRONOPLE!$F$15,$M163-$A$15,BI$13)))</f>
        <v>0</v>
      </c>
      <c r="BJ163" s="171">
        <f ca="1">IF(OR($D163&lt;&gt;"Serviço",AND(AUTOEVENTO="Manual",$M163=$A$15)),0,
         IF(OFFSET(CRONOPLE!$F$15,$M163-$A$15,BJ$13)=0,10^12,OFFSET(CRONOPLE!$F$15,$M163-$A$15,BJ$13)))</f>
        <v>0</v>
      </c>
      <c r="BK163" s="171">
        <f ca="1">IF(OR($D163&lt;&gt;"Serviço",AND(AUTOEVENTO="Manual",$M163=$A$15)),0,
         IF(OFFSET(CRONOPLE!$F$15,$M163-$A$15,BK$13)=0,10^12,OFFSET(CRONOPLE!$F$15,$M163-$A$15,BK$13)))</f>
        <v>0</v>
      </c>
      <c r="BL163" s="171">
        <f ca="1">IF(OR($D163&lt;&gt;"Serviço",AND(AUTOEVENTO="Manual",$M163=$A$15)),0,
         IF(OFFSET(CRONOPLE!$F$15,$M163-$A$15,BL$13)=0,10^12,OFFSET(CRONOPLE!$F$15,$M163-$A$15,BL$13)))</f>
        <v>0</v>
      </c>
      <c r="BM163" s="171">
        <f ca="1">IF(OR($D163&lt;&gt;"Serviço",AND(AUTOEVENTO="Manual",$M163=$A$15)),0,
         IF(OFFSET(CRONOPLE!$F$15,$M163-$A$15,BM$13)=0,10^12,OFFSET(CRONOPLE!$F$15,$M163-$A$15,BM$13)))</f>
        <v>0</v>
      </c>
      <c r="BN163" s="171">
        <f ca="1">IF(OR($D163&lt;&gt;"Serviço",AND(AUTOEVENTO="Manual",$M163=$A$15)),0,
         IF(OFFSET(CRONOPLE!$F$15,$M163-$A$15,BN$13)=0,10^12,OFFSET(CRONOPLE!$F$15,$M163-$A$15,BN$13)))</f>
        <v>0</v>
      </c>
      <c r="BO163" s="171">
        <f ca="1">IF(OR($D163&lt;&gt;"Serviço",AND(AUTOEVENTO="Manual",$M163=$A$15)),0,
         IF(OFFSET(CRONOPLE!$F$15,$M163-$A$15,BO$13)=0,10^12,OFFSET(CRONOPLE!$F$15,$M163-$A$15,BO$13)))</f>
        <v>0</v>
      </c>
      <c r="BP163" s="171">
        <f ca="1">IF(OR($D163&lt;&gt;"Serviço",AND(AUTOEVENTO="Manual",$M163=$A$15)),0,
         IF(OFFSET(CRONOPLE!$F$15,$M163-$A$15,BP$13)=0,10^12,OFFSET(CRONOPLE!$F$15,$M163-$A$15,BP$13)))</f>
        <v>0</v>
      </c>
      <c r="BQ163" s="171">
        <f ca="1">IF(OR($D163&lt;&gt;"Serviço",AND(AUTOEVENTO="Manual",$M163=$A$15)),0,
         IF(OFFSET(CRONOPLE!$F$15,$M163-$A$15,BQ$13)=0,10^12,OFFSET(CRONOPLE!$F$15,$M163-$A$15,BQ$13)))</f>
        <v>0</v>
      </c>
      <c r="BR163" s="171">
        <f ca="1">IF(OR($D163&lt;&gt;"Serviço",AND(AUTOEVENTO="Manual",$M163=$A$15)),0,
         IF(OFFSET(CRONOPLE!$F$15,$M163-$A$15,BR$13)=0,10^12,OFFSET(CRONOPLE!$F$15,$M163-$A$15,BR$13)))</f>
        <v>0</v>
      </c>
      <c r="BS163" s="171">
        <f ca="1">IF(OR($D163&lt;&gt;"Serviço",AND(AUTOEVENTO="Manual",$M163=$A$15)),0,
         IF(OFFSET(CRONOPLE!$F$15,$M163-$A$15,BS$13)=0,10^12,OFFSET(CRONOPLE!$F$15,$M163-$A$15,BS$13)))</f>
        <v>0</v>
      </c>
      <c r="BT163" s="171">
        <f ca="1">IF(OR($D163&lt;&gt;"Serviço",AND(AUTOEVENTO="Manual",$M163=$A$15)),0,
         IF(OFFSET(CRONOPLE!$F$15,$M163-$A$15,BT$13)=0,10^12,OFFSET(CRONOPLE!$F$15,$M163-$A$15,BT$13)))</f>
        <v>0</v>
      </c>
      <c r="BV163" s="172">
        <f ca="1">IF(OR($D163&lt;&gt;"Serviço",AND(AUTOEVENTO="Manual",$M163=$A$15),$M163&gt;(ROW(PLE.lastrow)-ROW(PLE.firstrow))),0,
           IF(OFFSET(PLE!$G$15,$M163-$A$15,BV$13)="",10^12,OFFSET(PLE!$G$15,$M163-$A$15,BV$13)))</f>
        <v>0</v>
      </c>
      <c r="BW163" s="172">
        <f ca="1">IF(OR($D163&lt;&gt;"Serviço",AND(AUTOEVENTO="Manual",$M163=$A$15),$M163&gt;(ROW(PLE.lastrow)-ROW(PLE.firstrow))),0,
           IF(OFFSET(PLE!$G$15,$M163-$A$15,BW$13)="",10^12,OFFSET(PLE!$G$15,$M163-$A$15,BW$13)))</f>
        <v>0</v>
      </c>
      <c r="BX163" s="172">
        <f ca="1">IF(OR($D163&lt;&gt;"Serviço",AND(AUTOEVENTO="Manual",$M163=$A$15),$M163&gt;(ROW(PLE.lastrow)-ROW(PLE.firstrow))),0,
           IF(OFFSET(PLE!$G$15,$M163-$A$15,BX$13)="",10^12,OFFSET(PLE!$G$15,$M163-$A$15,BX$13)))</f>
        <v>0</v>
      </c>
      <c r="BY163" s="172">
        <f ca="1">IF(OR($D163&lt;&gt;"Serviço",AND(AUTOEVENTO="Manual",$M163=$A$15),$M163&gt;(ROW(PLE.lastrow)-ROW(PLE.firstrow))),0,
           IF(OFFSET(PLE!$G$15,$M163-$A$15,BY$13)="",10^12,OFFSET(PLE!$G$15,$M163-$A$15,BY$13)))</f>
        <v>0</v>
      </c>
      <c r="BZ163" s="172">
        <f ca="1">IF(OR($D163&lt;&gt;"Serviço",AND(AUTOEVENTO="Manual",$M163=$A$15),$M163&gt;(ROW(PLE.lastrow)-ROW(PLE.firstrow))),0,
           IF(OFFSET(PLE!$G$15,$M163-$A$15,BZ$13)="",10^12,OFFSET(PLE!$G$15,$M163-$A$15,BZ$13)))</f>
        <v>0</v>
      </c>
      <c r="CA163" s="172">
        <f ca="1">IF(OR($D163&lt;&gt;"Serviço",AND(AUTOEVENTO="Manual",$M163=$A$15),$M163&gt;(ROW(PLE.lastrow)-ROW(PLE.firstrow))),0,
           IF(OFFSET(PLE!$G$15,$M163-$A$15,CA$13)="",10^12,OFFSET(PLE!$G$15,$M163-$A$15,CA$13)))</f>
        <v>0</v>
      </c>
      <c r="CB163" s="172">
        <f ca="1">IF(OR($D163&lt;&gt;"Serviço",AND(AUTOEVENTO="Manual",$M163=$A$15),$M163&gt;(ROW(PLE.lastrow)-ROW(PLE.firstrow))),0,
           IF(OFFSET(PLE!$G$15,$M163-$A$15,CB$13)="",10^12,OFFSET(PLE!$G$15,$M163-$A$15,CB$13)))</f>
        <v>0</v>
      </c>
      <c r="CC163" s="172">
        <f ca="1">IF(OR($D163&lt;&gt;"Serviço",AND(AUTOEVENTO="Manual",$M163=$A$15),$M163&gt;(ROW(PLE.lastrow)-ROW(PLE.firstrow))),0,
           IF(OFFSET(PLE!$G$15,$M163-$A$15,CC$13)="",10^12,OFFSET(PLE!$G$15,$M163-$A$15,CC$13)))</f>
        <v>0</v>
      </c>
      <c r="CD163" s="172">
        <f ca="1">IF(OR($D163&lt;&gt;"Serviço",AND(AUTOEVENTO="Manual",$M163=$A$15),$M163&gt;(ROW(PLE.lastrow)-ROW(PLE.firstrow))),0,
           IF(OFFSET(PLE!$G$15,$M163-$A$15,CD$13)="",10^12,OFFSET(PLE!$G$15,$M163-$A$15,CD$13)))</f>
        <v>0</v>
      </c>
      <c r="CE163" s="172">
        <f ca="1">IF(OR($D163&lt;&gt;"Serviço",AND(AUTOEVENTO="Manual",$M163=$A$15),$M163&gt;(ROW(PLE.lastrow)-ROW(PLE.firstrow))),0,
           IF(OFFSET(PLE!$G$15,$M163-$A$15,CE$13)="",10^12,OFFSET(PLE!$G$15,$M163-$A$15,CE$13)))</f>
        <v>0</v>
      </c>
      <c r="CF163" s="172">
        <f ca="1">IF(OR($D163&lt;&gt;"Serviço",AND(AUTOEVENTO="Manual",$M163=$A$15),$M163&gt;(ROW(PLE.lastrow)-ROW(PLE.firstrow))),0,
           IF(OFFSET(PLE!$G$15,$M163-$A$15,CF$13)="",10^12,OFFSET(PLE!$G$15,$M163-$A$15,CF$13)))</f>
        <v>0</v>
      </c>
      <c r="CG163" s="172">
        <f ca="1">IF(OR($D163&lt;&gt;"Serviço",AND(AUTOEVENTO="Manual",$M163=$A$15),$M163&gt;(ROW(PLE.lastrow)-ROW(PLE.firstrow))),0,
           IF(OFFSET(PLE!$G$15,$M163-$A$15,CG$13)="",10^12,OFFSET(PLE!$G$15,$M163-$A$15,CG$13)))</f>
        <v>0</v>
      </c>
      <c r="CH163" s="172">
        <f ca="1">IF(OR($D163&lt;&gt;"Serviço",AND(AUTOEVENTO="Manual",$M163=$A$15),$M163&gt;(ROW(PLE.lastrow)-ROW(PLE.firstrow))),0,
           IF(OFFSET(PLE!$G$15,$M163-$A$15,CH$13)="",10^12,OFFSET(PLE!$G$15,$M163-$A$15,CH$13)))</f>
        <v>0</v>
      </c>
      <c r="CI163" s="172">
        <f ca="1">IF(OR($D163&lt;&gt;"Serviço",AND(AUTOEVENTO="Manual",$M163=$A$15),$M163&gt;(ROW(PLE.lastrow)-ROW(PLE.firstrow))),0,
           IF(OFFSET(PLE!$G$15,$M163-$A$15,CI$13)="",10^12,OFFSET(PLE!$G$15,$M163-$A$15,CI$13)))</f>
        <v>0</v>
      </c>
      <c r="CJ163" s="172">
        <f ca="1">IF(OR($D163&lt;&gt;"Serviço",AND(AUTOEVENTO="Manual",$M163=$A$15),$M163&gt;(ROW(PLE.lastrow)-ROW(PLE.firstrow))),0,
           IF(OFFSET(PLE!$G$15,$M163-$A$15,CJ$13)="",10^12,OFFSET(PLE!$G$15,$M163-$A$15,CJ$13)))</f>
        <v>0</v>
      </c>
      <c r="CK163" s="172">
        <f ca="1">IF(OR($D163&lt;&gt;"Serviço",AND(AUTOEVENTO="Manual",$M163=$A$15),$M163&gt;(ROW(PLE.lastrow)-ROW(PLE.firstrow))),0,
           IF(OFFSET(PLE!$G$15,$M163-$A$15,CK$13)="",10^12,OFFSET(PLE!$G$15,$M163-$A$15,CK$13)))</f>
        <v>0</v>
      </c>
      <c r="CL163" s="172">
        <f ca="1">IF(OR($D163&lt;&gt;"Serviço",AND(AUTOEVENTO="Manual",$M163=$A$15),$M163&gt;(ROW(PLE.lastrow)-ROW(PLE.firstrow))),0,
           IF(OFFSET(PLE!$G$15,$M163-$A$15,CL$13)="",10^12,OFFSET(PLE!$G$15,$M163-$A$15,CL$13)))</f>
        <v>0</v>
      </c>
      <c r="CM163" s="172">
        <f ca="1">IF(OR($D163&lt;&gt;"Serviço",AND(AUTOEVENTO="Manual",$M163=$A$15),$M163&gt;(ROW(PLE.lastrow)-ROW(PLE.firstrow))),0,
           IF(OFFSET(PLE!$G$15,$M163-$A$15,CM$13)="",10^12,OFFSET(PLE!$G$15,$M163-$A$15,CM$13)))</f>
        <v>0</v>
      </c>
    </row>
    <row r="164" spans="1:91" ht="39.6" x14ac:dyDescent="0.25">
      <c r="A164" s="7" t="str">
        <f t="shared" ca="1" si="11"/>
        <v>148</v>
      </c>
      <c r="B164" s="7" t="str">
        <f ca="1">OFFSET(ORÇAMENTO!C$15,ROW(B164)-ROW(B$15),0)</f>
        <v>S</v>
      </c>
      <c r="C164" s="7" t="str">
        <f ca="1">OFFSET(ORÇAMENTO!L$15,ROW(C164)-ROW(C$15),0)</f>
        <v>F</v>
      </c>
      <c r="D164" s="116" t="str">
        <f ca="1">OFFSET(ORÇAMENTO!N$15,ROW(D164)-ROW(D$15),0)</f>
        <v>Serviço</v>
      </c>
      <c r="E164" s="117" t="str">
        <f ca="1">OFFSET(ORÇAMENTO!O$15,ROW(E164)-ROW(E$15),0)</f>
        <v>4.5.1.</v>
      </c>
      <c r="F164" s="163" t="str">
        <f ca="1">OFFSET(ORÇAMENTO!R$15,ROW(F164)-ROW(F$15),0)</f>
        <v>MOBILIZAÇÃO OU DESMOBILIZAÇÃO DE 07 EQUIPAMENTOS, COM CAMINHÃO PRANCHA, PARA UMA DMT= 21 KM E UMA VM=
60KM/H, POR VIAS PAVIMENTADAS</v>
      </c>
      <c r="G164" s="164" t="str">
        <f ca="1">IF($D164&lt;&gt;"Serviço","",OFFSET(ORÇAMENTO!S$15,ROW(G164)-ROW(G$15),0))</f>
        <v>UN</v>
      </c>
      <c r="H164" s="122" cm="1">
        <f t="array" aca="1" ref="H164" ca="1">IF($D164&lt;&gt;"Serviço",0,IF(ACOMPANHAMENTO="BM",ROUND(OFFSET(ORÇAMENTO!AJ$15,ROW(H164)-ROW(H$15),0),15-13*ORÇAMENTO!$AF$7),SUMPRODUCT(($Q$1:$AI$1=1)*ROUND($Q164:$AI164,15-13*ORÇAMENTO!$AF$7))))</f>
        <v>1</v>
      </c>
      <c r="I164" s="468"/>
      <c r="J164" s="651" t="e" cm="1">
        <f t="array" aca="1" ref="J164" ca="1">IF(OR(B164&lt;&gt;"S",CÁLCULO.FrentesPreenchidas=0),"",IF(AND(ACOMPANHAMENTO="PLE",AUTOEVENTO="Manual",OR(H164&gt;0,ORÇAMENTO!AC164="QUANT."),OR(K164="",M164=0,N164="")),"►E",IF(AND(ACOMPANHAMENTO="PLE",ORÇAMENTO!AC164="QUANT."),"►Q",IF(AND(ACOMPANHAMENTO="PLE",H164&lt;&gt;SUMPRODUCT(($Q$1:$AI$1=1)*ROUND(Q164:AI164,15))),"►S",IF(AND(COUNTIF($P$11:$AI$11,"▼")=0,H164&gt;0,I164=""),"◄M","")))))</f>
        <v>#NAME?</v>
      </c>
      <c r="K164" s="652"/>
      <c r="L164" s="165" t="s">
        <v>764</v>
      </c>
      <c r="M164" s="166">
        <f ca="1">IF($D164&lt;&gt;"Serviço","",
          IF(AUTOEVENTO="manual",$A164,
                IF(ISERROR(MATCH($A164,$A$15:OFFSET($A164,-1,0),0)),MAX($M$15:OFFSET(M164,-1,0))+1,
                      INDEX($M$15:OFFSET(M164,-1,0),MATCH($A164,$A$15:OFFSET($A164,-1,0),0)))))</f>
        <v>23</v>
      </c>
      <c r="N164" s="167" t="str">
        <f ca="1">IF($D164&lt;&gt;"Serviço","",
         IF(AUTOEVENTO="Manual",
                IF($A164=0,"&lt;-- defina o número do agrupador",
                       OFFSET(EVENTOS!$D$15,$A164-$A$15,0)),
                OFFSET($F$15,$A164,0)))</f>
        <v xml:space="preserve">DESMOBILIZAÇÃO </v>
      </c>
      <c r="O164" s="168"/>
      <c r="Q164" s="168"/>
      <c r="R164" s="169"/>
      <c r="S164" s="169"/>
      <c r="T164" s="169"/>
      <c r="U164" s="169"/>
      <c r="V164" s="169">
        <v>1</v>
      </c>
      <c r="W164" s="169"/>
      <c r="X164" s="169"/>
      <c r="Y164" s="169"/>
      <c r="Z164" s="170"/>
      <c r="AA164" s="169"/>
      <c r="AB164" s="169"/>
      <c r="AC164" s="169"/>
      <c r="AD164" s="169"/>
      <c r="AE164" s="169"/>
      <c r="AF164" s="169"/>
      <c r="AG164" s="169"/>
      <c r="AH164" s="170"/>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L164" s="453">
        <f ca="1">IF(AND($D164="Serviço",AL$12&lt;&gt;0,$H164&gt;0,OR(AUTOEVENTO&lt;&gt;"manual",$M164&lt;&gt;$A$15)),
        IF(Import.TipoArredondamento&lt;&gt;"TransfereGOV",
              ROUND(OFFSET($P164,0,AL$13),15-13*ORÇAMENTO!$AF$7)/$H164*OFFSET(ORÇAMENTO!$X$15,ROW(AL164)-ROW(AL$15),0),
              ROUND(ROUND(OFFSET($P164,0,AL$13),15-13*ORÇAMENTO!$AF$7)*OFFSET(ORÇAMENTO!$W$15,ROW(AL164)-ROW(AL$15),0),15-13*ORÇAMENTO!$AF$11)),
         0)</f>
        <v>0</v>
      </c>
      <c r="AM164" s="453">
        <f ca="1">IF(AND($D164="Serviço",AM$12&lt;&gt;0,$H164&gt;0,OR(AUTOEVENTO&lt;&gt;"manual",$M164&lt;&gt;$A$15)),
        IF(Import.TipoArredondamento&lt;&gt;"TransfereGOV",
              ROUND(OFFSET($P164,0,AM$13),15-13*ORÇAMENTO!$AF$7)/$H164*OFFSET(ORÇAMENTO!$X$15,ROW(AM164)-ROW(AM$15),0),
              ROUND(ROUND(OFFSET($P164,0,AM$13),15-13*ORÇAMENTO!$AF$7)*OFFSET(ORÇAMENTO!$W$15,ROW(AM164)-ROW(AM$15),0),15-13*ORÇAMENTO!$AF$11)),
         0)</f>
        <v>0</v>
      </c>
      <c r="AN164" s="453">
        <f ca="1">IF(AND($D164="Serviço",AN$12&lt;&gt;0,$H164&gt;0,OR(AUTOEVENTO&lt;&gt;"manual",$M164&lt;&gt;$A$15)),
        IF(Import.TipoArredondamento&lt;&gt;"TransfereGOV",
              ROUND(OFFSET($P164,0,AN$13),15-13*ORÇAMENTO!$AF$7)/$H164*OFFSET(ORÇAMENTO!$X$15,ROW(AN164)-ROW(AN$15),0),
              ROUND(ROUND(OFFSET($P164,0,AN$13),15-13*ORÇAMENTO!$AF$7)*OFFSET(ORÇAMENTO!$W$15,ROW(AN164)-ROW(AN$15),0),15-13*ORÇAMENTO!$AF$11)),
         0)</f>
        <v>0</v>
      </c>
      <c r="AO164" s="453">
        <f ca="1">IF(AND($D164="Serviço",AO$12&lt;&gt;0,$H164&gt;0,OR(AUTOEVENTO&lt;&gt;"manual",$M164&lt;&gt;$A$15)),
        IF(Import.TipoArredondamento&lt;&gt;"TransfereGOV",
              ROUND(OFFSET($P164,0,AO$13),15-13*ORÇAMENTO!$AF$7)/$H164*OFFSET(ORÇAMENTO!$X$15,ROW(AO164)-ROW(AO$15),0),
              ROUND(ROUND(OFFSET($P164,0,AO$13),15-13*ORÇAMENTO!$AF$7)*OFFSET(ORÇAMENTO!$W$15,ROW(AO164)-ROW(AO$15),0),15-13*ORÇAMENTO!$AF$11)),
         0)</f>
        <v>2174.1999999999998</v>
      </c>
      <c r="AP164" s="453">
        <f ca="1">IF(AND($D164="Serviço",AP$12&lt;&gt;0,$H164&gt;0,OR(AUTOEVENTO&lt;&gt;"manual",$M164&lt;&gt;$A$15)),
        IF(Import.TipoArredondamento&lt;&gt;"TransfereGOV",
              ROUND(OFFSET($P164,0,AP$13),15-13*ORÇAMENTO!$AF$7)/$H164*OFFSET(ORÇAMENTO!$X$15,ROW(AP164)-ROW(AP$15),0),
              ROUND(ROUND(OFFSET($P164,0,AP$13),15-13*ORÇAMENTO!$AF$7)*OFFSET(ORÇAMENTO!$W$15,ROW(AP164)-ROW(AP$15),0),15-13*ORÇAMENTO!$AF$11)),
         0)</f>
        <v>0</v>
      </c>
      <c r="AQ164" s="453">
        <f ca="1">IF(AND($D164="Serviço",AQ$12&lt;&gt;0,$H164&gt;0,OR(AUTOEVENTO&lt;&gt;"manual",$M164&lt;&gt;$A$15)),
        IF(Import.TipoArredondamento&lt;&gt;"TransfereGOV",
              ROUND(OFFSET($P164,0,AQ$13),15-13*ORÇAMENTO!$AF$7)/$H164*OFFSET(ORÇAMENTO!$X$15,ROW(AQ164)-ROW(AQ$15),0),
              ROUND(ROUND(OFFSET($P164,0,AQ$13),15-13*ORÇAMENTO!$AF$7)*OFFSET(ORÇAMENTO!$W$15,ROW(AQ164)-ROW(AQ$15),0),15-13*ORÇAMENTO!$AF$11)),
         0)</f>
        <v>0</v>
      </c>
      <c r="AR164" s="453">
        <f ca="1">IF(AND($D164="Serviço",AR$12&lt;&gt;0,$H164&gt;0,OR(AUTOEVENTO&lt;&gt;"manual",$M164&lt;&gt;$A$15)),
        IF(Import.TipoArredondamento&lt;&gt;"TransfereGOV",
              ROUND(OFFSET($P164,0,AR$13),15-13*ORÇAMENTO!$AF$7)/$H164*OFFSET(ORÇAMENTO!$X$15,ROW(AR164)-ROW(AR$15),0),
              ROUND(ROUND(OFFSET($P164,0,AR$13),15-13*ORÇAMENTO!$AF$7)*OFFSET(ORÇAMENTO!$W$15,ROW(AR164)-ROW(AR$15),0),15-13*ORÇAMENTO!$AF$11)),
         0)</f>
        <v>0</v>
      </c>
      <c r="AS164" s="453">
        <f ca="1">IF(AND($D164="Serviço",AS$12&lt;&gt;0,$H164&gt;0,OR(AUTOEVENTO&lt;&gt;"manual",$M164&lt;&gt;$A$15)),
        IF(Import.TipoArredondamento&lt;&gt;"TransfereGOV",
              ROUND(OFFSET($P164,0,AS$13),15-13*ORÇAMENTO!$AF$7)/$H164*OFFSET(ORÇAMENTO!$X$15,ROW(AS164)-ROW(AS$15),0),
              ROUND(ROUND(OFFSET($P164,0,AS$13),15-13*ORÇAMENTO!$AF$7)*OFFSET(ORÇAMENTO!$W$15,ROW(AS164)-ROW(AS$15),0),15-13*ORÇAMENTO!$AF$11)),
         0)</f>
        <v>0</v>
      </c>
      <c r="AT164" s="453">
        <f ca="1">IF(AND($D164="Serviço",AT$12&lt;&gt;0,$H164&gt;0,OR(AUTOEVENTO&lt;&gt;"manual",$M164&lt;&gt;$A$15)),
        IF(Import.TipoArredondamento&lt;&gt;"TransfereGOV",
              ROUND(OFFSET($P164,0,AT$13),15-13*ORÇAMENTO!$AF$7)/$H164*OFFSET(ORÇAMENTO!$X$15,ROW(AT164)-ROW(AT$15),0),
              ROUND(ROUND(OFFSET($P164,0,AT$13),15-13*ORÇAMENTO!$AF$7)*OFFSET(ORÇAMENTO!$W$15,ROW(AT164)-ROW(AT$15),0),15-13*ORÇAMENTO!$AF$11)),
         0)</f>
        <v>0</v>
      </c>
      <c r="AU164" s="453">
        <f ca="1">IF(AND($D164="Serviço",AU$12&lt;&gt;0,$H164&gt;0,OR(AUTOEVENTO&lt;&gt;"manual",$M164&lt;&gt;$A$15)),
        IF(Import.TipoArredondamento&lt;&gt;"TransfereGOV",
              ROUND(OFFSET($P164,0,AU$13),15-13*ORÇAMENTO!$AF$7)/$H164*OFFSET(ORÇAMENTO!$X$15,ROW(AU164)-ROW(AU$15),0),
              ROUND(ROUND(OFFSET($P164,0,AU$13),15-13*ORÇAMENTO!$AF$7)*OFFSET(ORÇAMENTO!$W$15,ROW(AU164)-ROW(AU$15),0),15-13*ORÇAMENTO!$AF$11)),
         0)</f>
        <v>0</v>
      </c>
      <c r="AV164" s="453">
        <f ca="1">IF(AND($D164="Serviço",AV$12&lt;&gt;0,$H164&gt;0,OR(AUTOEVENTO&lt;&gt;"manual",$M164&lt;&gt;$A$15)),
        IF(Import.TipoArredondamento&lt;&gt;"TransfereGOV",
              ROUND(OFFSET($P164,0,AV$13),15-13*ORÇAMENTO!$AF$7)/$H164*OFFSET(ORÇAMENTO!$X$15,ROW(AV164)-ROW(AV$15),0),
              ROUND(ROUND(OFFSET($P164,0,AV$13),15-13*ORÇAMENTO!$AF$7)*OFFSET(ORÇAMENTO!$W$15,ROW(AV164)-ROW(AV$15),0),15-13*ORÇAMENTO!$AF$11)),
         0)</f>
        <v>0</v>
      </c>
      <c r="AW164" s="453">
        <f ca="1">IF(AND($D164="Serviço",AW$12&lt;&gt;0,$H164&gt;0,OR(AUTOEVENTO&lt;&gt;"manual",$M164&lt;&gt;$A$15)),
        IF(Import.TipoArredondamento&lt;&gt;"TransfereGOV",
              ROUND(OFFSET($P164,0,AW$13),15-13*ORÇAMENTO!$AF$7)/$H164*OFFSET(ORÇAMENTO!$X$15,ROW(AW164)-ROW(AW$15),0),
              ROUND(ROUND(OFFSET($P164,0,AW$13),15-13*ORÇAMENTO!$AF$7)*OFFSET(ORÇAMENTO!$W$15,ROW(AW164)-ROW(AW$15),0),15-13*ORÇAMENTO!$AF$11)),
         0)</f>
        <v>0</v>
      </c>
      <c r="AX164" s="453">
        <f ca="1">IF(AND($D164="Serviço",AX$12&lt;&gt;0,$H164&gt;0,OR(AUTOEVENTO&lt;&gt;"manual",$M164&lt;&gt;$A$15)),
        IF(Import.TipoArredondamento&lt;&gt;"TransfereGOV",
              ROUND(OFFSET($P164,0,AX$13),15-13*ORÇAMENTO!$AF$7)/$H164*OFFSET(ORÇAMENTO!$X$15,ROW(AX164)-ROW(AX$15),0),
              ROUND(ROUND(OFFSET($P164,0,AX$13),15-13*ORÇAMENTO!$AF$7)*OFFSET(ORÇAMENTO!$W$15,ROW(AX164)-ROW(AX$15),0),15-13*ORÇAMENTO!$AF$11)),
         0)</f>
        <v>0</v>
      </c>
      <c r="AY164" s="453">
        <f ca="1">IF(AND($D164="Serviço",AY$12&lt;&gt;0,$H164&gt;0,OR(AUTOEVENTO&lt;&gt;"manual",$M164&lt;&gt;$A$15)),
        IF(Import.TipoArredondamento&lt;&gt;"TransfereGOV",
              ROUND(OFFSET($P164,0,AY$13),15-13*ORÇAMENTO!$AF$7)/$H164*OFFSET(ORÇAMENTO!$X$15,ROW(AY164)-ROW(AY$15),0),
              ROUND(ROUND(OFFSET($P164,0,AY$13),15-13*ORÇAMENTO!$AF$7)*OFFSET(ORÇAMENTO!$W$15,ROW(AY164)-ROW(AY$15),0),15-13*ORÇAMENTO!$AF$11)),
         0)</f>
        <v>0</v>
      </c>
      <c r="AZ164" s="453">
        <f ca="1">IF(AND($D164="Serviço",AZ$12&lt;&gt;0,$H164&gt;0,OR(AUTOEVENTO&lt;&gt;"manual",$M164&lt;&gt;$A$15)),
        IF(Import.TipoArredondamento&lt;&gt;"TransfereGOV",
              ROUND(OFFSET($P164,0,AZ$13),15-13*ORÇAMENTO!$AF$7)/$H164*OFFSET(ORÇAMENTO!$X$15,ROW(AZ164)-ROW(AZ$15),0),
              ROUND(ROUND(OFFSET($P164,0,AZ$13),15-13*ORÇAMENTO!$AF$7)*OFFSET(ORÇAMENTO!$W$15,ROW(AZ164)-ROW(AZ$15),0),15-13*ORÇAMENTO!$AF$11)),
         0)</f>
        <v>0</v>
      </c>
      <c r="BA164" s="453">
        <f ca="1">IF(AND($D164="Serviço",BA$12&lt;&gt;0,$H164&gt;0,OR(AUTOEVENTO&lt;&gt;"manual",$M164&lt;&gt;$A$15)),
        IF(Import.TipoArredondamento&lt;&gt;"TransfereGOV",
              ROUND(OFFSET($P164,0,BA$13),15-13*ORÇAMENTO!$AF$7)/$H164*OFFSET(ORÇAMENTO!$X$15,ROW(BA164)-ROW(BA$15),0),
              ROUND(ROUND(OFFSET($P164,0,BA$13),15-13*ORÇAMENTO!$AF$7)*OFFSET(ORÇAMENTO!$W$15,ROW(BA164)-ROW(BA$15),0),15-13*ORÇAMENTO!$AF$11)),
         0)</f>
        <v>0</v>
      </c>
      <c r="BC164" s="171">
        <f ca="1">IF(OR($D164&lt;&gt;"Serviço",AND(AUTOEVENTO="Manual",$M164=$A$15)),0,
         IF(OFFSET(CRONOPLE!$F$15,$M164-$A$15,BC$13)=0,10^12,OFFSET(CRONOPLE!$F$15,$M164-$A$15,BC$13)))</f>
        <v>1000000000000</v>
      </c>
      <c r="BD164" s="171">
        <f ca="1">IF(OR($D164&lt;&gt;"Serviço",AND(AUTOEVENTO="Manual",$M164=$A$15)),0,
         IF(OFFSET(CRONOPLE!$F$15,$M164-$A$15,BD$13)=0,10^12,OFFSET(CRONOPLE!$F$15,$M164-$A$15,BD$13)))</f>
        <v>1000000000000</v>
      </c>
      <c r="BE164" s="171">
        <f ca="1">IF(OR($D164&lt;&gt;"Serviço",AND(AUTOEVENTO="Manual",$M164=$A$15)),0,
         IF(OFFSET(CRONOPLE!$F$15,$M164-$A$15,BE$13)=0,10^12,OFFSET(CRONOPLE!$F$15,$M164-$A$15,BE$13)))</f>
        <v>1000000000000</v>
      </c>
      <c r="BF164" s="171">
        <f ca="1">IF(OR($D164&lt;&gt;"Serviço",AND(AUTOEVENTO="Manual",$M164=$A$15)),0,
         IF(OFFSET(CRONOPLE!$F$15,$M164-$A$15,BF$13)=0,10^12,OFFSET(CRONOPLE!$F$15,$M164-$A$15,BF$13)))</f>
        <v>1000000000000</v>
      </c>
      <c r="BG164" s="171">
        <f ca="1">IF(OR($D164&lt;&gt;"Serviço",AND(AUTOEVENTO="Manual",$M164=$A$15)),0,
         IF(OFFSET(CRONOPLE!$F$15,$M164-$A$15,BG$13)=0,10^12,OFFSET(CRONOPLE!$F$15,$M164-$A$15,BG$13)))</f>
        <v>1000000000000</v>
      </c>
      <c r="BH164" s="171">
        <f ca="1">IF(OR($D164&lt;&gt;"Serviço",AND(AUTOEVENTO="Manual",$M164=$A$15)),0,
         IF(OFFSET(CRONOPLE!$F$15,$M164-$A$15,BH$13)=0,10^12,OFFSET(CRONOPLE!$F$15,$M164-$A$15,BH$13)))</f>
        <v>6</v>
      </c>
      <c r="BI164" s="171">
        <f ca="1">IF(OR($D164&lt;&gt;"Serviço",AND(AUTOEVENTO="Manual",$M164=$A$15)),0,
         IF(OFFSET(CRONOPLE!$F$15,$M164-$A$15,BI$13)=0,10^12,OFFSET(CRONOPLE!$F$15,$M164-$A$15,BI$13)))</f>
        <v>1000000000000</v>
      </c>
      <c r="BJ164" s="171">
        <f ca="1">IF(OR($D164&lt;&gt;"Serviço",AND(AUTOEVENTO="Manual",$M164=$A$15)),0,
         IF(OFFSET(CRONOPLE!$F$15,$M164-$A$15,BJ$13)=0,10^12,OFFSET(CRONOPLE!$F$15,$M164-$A$15,BJ$13)))</f>
        <v>1000000000000</v>
      </c>
      <c r="BK164" s="171">
        <f ca="1">IF(OR($D164&lt;&gt;"Serviço",AND(AUTOEVENTO="Manual",$M164=$A$15)),0,
         IF(OFFSET(CRONOPLE!$F$15,$M164-$A$15,BK$13)=0,10^12,OFFSET(CRONOPLE!$F$15,$M164-$A$15,BK$13)))</f>
        <v>1000000000000</v>
      </c>
      <c r="BL164" s="171">
        <f ca="1">IF(OR($D164&lt;&gt;"Serviço",AND(AUTOEVENTO="Manual",$M164=$A$15)),0,
         IF(OFFSET(CRONOPLE!$F$15,$M164-$A$15,BL$13)=0,10^12,OFFSET(CRONOPLE!$F$15,$M164-$A$15,BL$13)))</f>
        <v>1000000000000</v>
      </c>
      <c r="BM164" s="171">
        <f ca="1">IF(OR($D164&lt;&gt;"Serviço",AND(AUTOEVENTO="Manual",$M164=$A$15)),0,
         IF(OFFSET(CRONOPLE!$F$15,$M164-$A$15,BM$13)=0,10^12,OFFSET(CRONOPLE!$F$15,$M164-$A$15,BM$13)))</f>
        <v>1000000000000</v>
      </c>
      <c r="BN164" s="171">
        <f ca="1">IF(OR($D164&lt;&gt;"Serviço",AND(AUTOEVENTO="Manual",$M164=$A$15)),0,
         IF(OFFSET(CRONOPLE!$F$15,$M164-$A$15,BN$13)=0,10^12,OFFSET(CRONOPLE!$F$15,$M164-$A$15,BN$13)))</f>
        <v>1000000000000</v>
      </c>
      <c r="BO164" s="171">
        <f ca="1">IF(OR($D164&lt;&gt;"Serviço",AND(AUTOEVENTO="Manual",$M164=$A$15)),0,
         IF(OFFSET(CRONOPLE!$F$15,$M164-$A$15,BO$13)=0,10^12,OFFSET(CRONOPLE!$F$15,$M164-$A$15,BO$13)))</f>
        <v>1000000000000</v>
      </c>
      <c r="BP164" s="171">
        <f ca="1">IF(OR($D164&lt;&gt;"Serviço",AND(AUTOEVENTO="Manual",$M164=$A$15)),0,
         IF(OFFSET(CRONOPLE!$F$15,$M164-$A$15,BP$13)=0,10^12,OFFSET(CRONOPLE!$F$15,$M164-$A$15,BP$13)))</f>
        <v>1000000000000</v>
      </c>
      <c r="BQ164" s="171">
        <f ca="1">IF(OR($D164&lt;&gt;"Serviço",AND(AUTOEVENTO="Manual",$M164=$A$15)),0,
         IF(OFFSET(CRONOPLE!$F$15,$M164-$A$15,BQ$13)=0,10^12,OFFSET(CRONOPLE!$F$15,$M164-$A$15,BQ$13)))</f>
        <v>1000000000000</v>
      </c>
      <c r="BR164" s="171">
        <f ca="1">IF(OR($D164&lt;&gt;"Serviço",AND(AUTOEVENTO="Manual",$M164=$A$15)),0,
         IF(OFFSET(CRONOPLE!$F$15,$M164-$A$15,BR$13)=0,10^12,OFFSET(CRONOPLE!$F$15,$M164-$A$15,BR$13)))</f>
        <v>1000000000000</v>
      </c>
      <c r="BS164" s="171">
        <f ca="1">IF(OR($D164&lt;&gt;"Serviço",AND(AUTOEVENTO="Manual",$M164=$A$15)),0,
         IF(OFFSET(CRONOPLE!$F$15,$M164-$A$15,BS$13)=0,10^12,OFFSET(CRONOPLE!$F$15,$M164-$A$15,BS$13)))</f>
        <v>1000000000000</v>
      </c>
      <c r="BT164" s="171">
        <f ca="1">IF(OR($D164&lt;&gt;"Serviço",AND(AUTOEVENTO="Manual",$M164=$A$15)),0,
         IF(OFFSET(CRONOPLE!$F$15,$M164-$A$15,BT$13)=0,10^12,OFFSET(CRONOPLE!$F$15,$M164-$A$15,BT$13)))</f>
        <v>1000000000000</v>
      </c>
      <c r="BV164" s="172">
        <f ca="1">IF(OR($D164&lt;&gt;"Serviço",AND(AUTOEVENTO="Manual",$M164=$A$15),$M164&gt;(ROW(PLE.lastrow)-ROW(PLE.firstrow))),0,
           IF(OFFSET(PLE!$G$15,$M164-$A$15,BV$13)="",10^12,OFFSET(PLE!$G$15,$M164-$A$15,BV$13)))</f>
        <v>1000000000000</v>
      </c>
      <c r="BW164" s="172">
        <f ca="1">IF(OR($D164&lt;&gt;"Serviço",AND(AUTOEVENTO="Manual",$M164=$A$15),$M164&gt;(ROW(PLE.lastrow)-ROW(PLE.firstrow))),0,
           IF(OFFSET(PLE!$G$15,$M164-$A$15,BW$13)="",10^12,OFFSET(PLE!$G$15,$M164-$A$15,BW$13)))</f>
        <v>1000000000000</v>
      </c>
      <c r="BX164" s="172">
        <f ca="1">IF(OR($D164&lt;&gt;"Serviço",AND(AUTOEVENTO="Manual",$M164=$A$15),$M164&gt;(ROW(PLE.lastrow)-ROW(PLE.firstrow))),0,
           IF(OFFSET(PLE!$G$15,$M164-$A$15,BX$13)="",10^12,OFFSET(PLE!$G$15,$M164-$A$15,BX$13)))</f>
        <v>1000000000000</v>
      </c>
      <c r="BY164" s="172">
        <f ca="1">IF(OR($D164&lt;&gt;"Serviço",AND(AUTOEVENTO="Manual",$M164=$A$15),$M164&gt;(ROW(PLE.lastrow)-ROW(PLE.firstrow))),0,
           IF(OFFSET(PLE!$G$15,$M164-$A$15,BY$13)="",10^12,OFFSET(PLE!$G$15,$M164-$A$15,BY$13)))</f>
        <v>1000000000000</v>
      </c>
      <c r="BZ164" s="172">
        <f ca="1">IF(OR($D164&lt;&gt;"Serviço",AND(AUTOEVENTO="Manual",$M164=$A$15),$M164&gt;(ROW(PLE.lastrow)-ROW(PLE.firstrow))),0,
           IF(OFFSET(PLE!$G$15,$M164-$A$15,BZ$13)="",10^12,OFFSET(PLE!$G$15,$M164-$A$15,BZ$13)))</f>
        <v>1000000000000</v>
      </c>
      <c r="CA164" s="172">
        <f ca="1">IF(OR($D164&lt;&gt;"Serviço",AND(AUTOEVENTO="Manual",$M164=$A$15),$M164&gt;(ROW(PLE.lastrow)-ROW(PLE.firstrow))),0,
           IF(OFFSET(PLE!$G$15,$M164-$A$15,CA$13)="",10^12,OFFSET(PLE!$G$15,$M164-$A$15,CA$13)))</f>
        <v>1000000000000</v>
      </c>
      <c r="CB164" s="172">
        <f ca="1">IF(OR($D164&lt;&gt;"Serviço",AND(AUTOEVENTO="Manual",$M164=$A$15),$M164&gt;(ROW(PLE.lastrow)-ROW(PLE.firstrow))),0,
           IF(OFFSET(PLE!$G$15,$M164-$A$15,CB$13)="",10^12,OFFSET(PLE!$G$15,$M164-$A$15,CB$13)))</f>
        <v>1000000000000</v>
      </c>
      <c r="CC164" s="172">
        <f ca="1">IF(OR($D164&lt;&gt;"Serviço",AND(AUTOEVENTO="Manual",$M164=$A$15),$M164&gt;(ROW(PLE.lastrow)-ROW(PLE.firstrow))),0,
           IF(OFFSET(PLE!$G$15,$M164-$A$15,CC$13)="",10^12,OFFSET(PLE!$G$15,$M164-$A$15,CC$13)))</f>
        <v>1000000000000</v>
      </c>
      <c r="CD164" s="172">
        <f ca="1">IF(OR($D164&lt;&gt;"Serviço",AND(AUTOEVENTO="Manual",$M164=$A$15),$M164&gt;(ROW(PLE.lastrow)-ROW(PLE.firstrow))),0,
           IF(OFFSET(PLE!$G$15,$M164-$A$15,CD$13)="",10^12,OFFSET(PLE!$G$15,$M164-$A$15,CD$13)))</f>
        <v>1000000000000</v>
      </c>
      <c r="CE164" s="172">
        <f ca="1">IF(OR($D164&lt;&gt;"Serviço",AND(AUTOEVENTO="Manual",$M164=$A$15),$M164&gt;(ROW(PLE.lastrow)-ROW(PLE.firstrow))),0,
           IF(OFFSET(PLE!$G$15,$M164-$A$15,CE$13)="",10^12,OFFSET(PLE!$G$15,$M164-$A$15,CE$13)))</f>
        <v>1000000000000</v>
      </c>
      <c r="CF164" s="172">
        <f ca="1">IF(OR($D164&lt;&gt;"Serviço",AND(AUTOEVENTO="Manual",$M164=$A$15),$M164&gt;(ROW(PLE.lastrow)-ROW(PLE.firstrow))),0,
           IF(OFFSET(PLE!$G$15,$M164-$A$15,CF$13)="",10^12,OFFSET(PLE!$G$15,$M164-$A$15,CF$13)))</f>
        <v>1000000000000</v>
      </c>
      <c r="CG164" s="172">
        <f ca="1">IF(OR($D164&lt;&gt;"Serviço",AND(AUTOEVENTO="Manual",$M164=$A$15),$M164&gt;(ROW(PLE.lastrow)-ROW(PLE.firstrow))),0,
           IF(OFFSET(PLE!$G$15,$M164-$A$15,CG$13)="",10^12,OFFSET(PLE!$G$15,$M164-$A$15,CG$13)))</f>
        <v>1000000000000</v>
      </c>
      <c r="CH164" s="172">
        <f ca="1">IF(OR($D164&lt;&gt;"Serviço",AND(AUTOEVENTO="Manual",$M164=$A$15),$M164&gt;(ROW(PLE.lastrow)-ROW(PLE.firstrow))),0,
           IF(OFFSET(PLE!$G$15,$M164-$A$15,CH$13)="",10^12,OFFSET(PLE!$G$15,$M164-$A$15,CH$13)))</f>
        <v>1000000000000</v>
      </c>
      <c r="CI164" s="172">
        <f ca="1">IF(OR($D164&lt;&gt;"Serviço",AND(AUTOEVENTO="Manual",$M164=$A$15),$M164&gt;(ROW(PLE.lastrow)-ROW(PLE.firstrow))),0,
           IF(OFFSET(PLE!$G$15,$M164-$A$15,CI$13)="",10^12,OFFSET(PLE!$G$15,$M164-$A$15,CI$13)))</f>
        <v>1000000000000</v>
      </c>
      <c r="CJ164" s="172">
        <f ca="1">IF(OR($D164&lt;&gt;"Serviço",AND(AUTOEVENTO="Manual",$M164=$A$15),$M164&gt;(ROW(PLE.lastrow)-ROW(PLE.firstrow))),0,
           IF(OFFSET(PLE!$G$15,$M164-$A$15,CJ$13)="",10^12,OFFSET(PLE!$G$15,$M164-$A$15,CJ$13)))</f>
        <v>1000000000000</v>
      </c>
      <c r="CK164" s="172">
        <f ca="1">IF(OR($D164&lt;&gt;"Serviço",AND(AUTOEVENTO="Manual",$M164=$A$15),$M164&gt;(ROW(PLE.lastrow)-ROW(PLE.firstrow))),0,
           IF(OFFSET(PLE!$G$15,$M164-$A$15,CK$13)="",10^12,OFFSET(PLE!$G$15,$M164-$A$15,CK$13)))</f>
        <v>1000000000000</v>
      </c>
      <c r="CL164" s="172">
        <f ca="1">IF(OR($D164&lt;&gt;"Serviço",AND(AUTOEVENTO="Manual",$M164=$A$15),$M164&gt;(ROW(PLE.lastrow)-ROW(PLE.firstrow))),0,
           IF(OFFSET(PLE!$G$15,$M164-$A$15,CL$13)="",10^12,OFFSET(PLE!$G$15,$M164-$A$15,CL$13)))</f>
        <v>1000000000000</v>
      </c>
      <c r="CM164" s="172">
        <f ca="1">IF(OR($D164&lt;&gt;"Serviço",AND(AUTOEVENTO="Manual",$M164=$A$15),$M164&gt;(ROW(PLE.lastrow)-ROW(PLE.firstrow))),0,
           IF(OFFSET(PLE!$G$15,$M164-$A$15,CM$13)="",10^12,OFFSET(PLE!$G$15,$M164-$A$15,CM$13)))</f>
        <v>1000000000000</v>
      </c>
    </row>
    <row r="165" spans="1:91" ht="5.0999999999999996" customHeight="1" x14ac:dyDescent="0.25">
      <c r="B165" s="7">
        <f ca="1">OFFSET(ORÇAMENTO!C$15,ROW(B165)-ROW(B$15),0)</f>
        <v>-1</v>
      </c>
      <c r="C165" s="7" t="str">
        <f ca="1">OFFSET(ORÇAMENTO!L$15,ROW(C165)-ROW(C$15),0)</f>
        <v>F</v>
      </c>
      <c r="D165" s="634" t="s">
        <v>700</v>
      </c>
      <c r="E165" s="618"/>
      <c r="F165" s="619"/>
      <c r="G165" s="619"/>
      <c r="H165" s="619"/>
      <c r="I165" s="419"/>
      <c r="K165" s="569"/>
      <c r="L165" s="165" t="s">
        <v>764</v>
      </c>
      <c r="M165" s="421"/>
      <c r="N165" s="420"/>
      <c r="O165" s="635"/>
      <c r="Q165" s="618"/>
      <c r="R165" s="619"/>
      <c r="S165" s="619"/>
      <c r="T165" s="619"/>
      <c r="U165" s="619"/>
      <c r="V165" s="619"/>
      <c r="W165" s="619"/>
      <c r="X165" s="619"/>
      <c r="Y165" s="619"/>
      <c r="Z165" s="419"/>
      <c r="AA165" s="619"/>
      <c r="AB165" s="619"/>
      <c r="AC165" s="619"/>
      <c r="AD165" s="619"/>
      <c r="AE165" s="619"/>
      <c r="AF165" s="619"/>
      <c r="AG165" s="619"/>
      <c r="AH165" s="419"/>
      <c r="AJ165" s="636"/>
      <c r="AK165" s="637"/>
      <c r="AL165" s="637"/>
      <c r="AM165" s="637"/>
      <c r="AN165" s="637"/>
      <c r="AO165" s="637"/>
      <c r="AP165" s="637"/>
      <c r="AQ165" s="637"/>
      <c r="AR165" s="637"/>
      <c r="AS165" s="133"/>
      <c r="AT165" s="637"/>
      <c r="AU165" s="637"/>
      <c r="AV165" s="637"/>
      <c r="AW165" s="637"/>
      <c r="AX165" s="637"/>
      <c r="AY165" s="637"/>
      <c r="AZ165" s="637"/>
      <c r="BA165" s="133"/>
      <c r="BC165" s="636"/>
      <c r="BD165" s="637"/>
      <c r="BE165" s="637"/>
      <c r="BF165" s="637"/>
      <c r="BG165" s="637"/>
      <c r="BH165" s="637"/>
      <c r="BI165" s="637"/>
      <c r="BJ165" s="637"/>
      <c r="BK165" s="637"/>
      <c r="BL165" s="133"/>
      <c r="BM165" s="637"/>
      <c r="BN165" s="637"/>
      <c r="BO165" s="637"/>
      <c r="BP165" s="637"/>
      <c r="BQ165" s="637"/>
      <c r="BR165" s="637"/>
      <c r="BS165" s="637"/>
      <c r="BT165" s="133"/>
      <c r="BV165" s="636"/>
      <c r="BW165" s="637"/>
      <c r="BX165" s="637"/>
      <c r="BY165" s="637"/>
      <c r="BZ165" s="637"/>
      <c r="CA165" s="637"/>
      <c r="CB165" s="637"/>
      <c r="CC165" s="637"/>
      <c r="CD165" s="637"/>
      <c r="CE165" s="133"/>
      <c r="CF165" s="637"/>
      <c r="CG165" s="637"/>
      <c r="CH165" s="637"/>
      <c r="CI165" s="637"/>
      <c r="CJ165" s="637"/>
      <c r="CK165" s="637"/>
      <c r="CL165" s="637"/>
      <c r="CM165" s="133"/>
    </row>
    <row r="166" spans="1:91" ht="12.75" customHeight="1" x14ac:dyDescent="0.25"/>
    <row r="167" spans="1:91" ht="12.75" customHeight="1" x14ac:dyDescent="0.25"/>
    <row r="168" spans="1:91" ht="12.75" customHeight="1" x14ac:dyDescent="0.25"/>
    <row r="169" spans="1:91" ht="15" customHeight="1" x14ac:dyDescent="0.25">
      <c r="F169" s="179" t="str">
        <f>Import.Município</f>
        <v>SARANDI/RS</v>
      </c>
      <c r="I169" s="460"/>
      <c r="J169" s="460"/>
      <c r="K169" s="460"/>
      <c r="L169" s="460"/>
      <c r="M169" s="461"/>
      <c r="N169" s="417"/>
      <c r="T169" s="139"/>
      <c r="U169" s="139"/>
      <c r="V169" s="180"/>
      <c r="W169" s="180"/>
      <c r="X169" s="180"/>
      <c r="Y169" s="180"/>
      <c r="AB169" s="139"/>
      <c r="AC169" s="139"/>
      <c r="AD169" s="180"/>
      <c r="AE169" s="180"/>
      <c r="AF169" s="180"/>
      <c r="AG169" s="180"/>
    </row>
    <row r="170" spans="1:91" ht="12.75" customHeight="1" x14ac:dyDescent="0.25">
      <c r="F170" s="9" t="s">
        <v>693</v>
      </c>
      <c r="I170" s="181" t="s">
        <v>696</v>
      </c>
      <c r="J170" s="181"/>
      <c r="K170" s="181"/>
      <c r="L170" s="181"/>
      <c r="T170" s="181" t="s">
        <v>696</v>
      </c>
      <c r="U170" s="181"/>
      <c r="AB170" s="181" t="s">
        <v>696</v>
      </c>
      <c r="AC170" s="181"/>
    </row>
    <row r="171" spans="1:91" ht="12.75" customHeight="1" x14ac:dyDescent="0.25">
      <c r="I171" s="398" t="str">
        <f t="array" aca="1" ref="I171:I173" ca="1">OFFSET(Import.RespOrçamento,0,-1) &amp; " " &amp; Import.RespOrçamento</f>
        <v>Nome: LEONARDO HENRIQUE ZAMBERLAN</v>
      </c>
      <c r="K171" s="79"/>
      <c r="L171" s="79"/>
      <c r="T171" s="398" t="str">
        <f t="array" aca="1" ref="T171:T173" ca="1">OFFSET(Import.RespOrçamento,0,-1) &amp; " " &amp; Import.RespOrçamento</f>
        <v>Nome: LEONARDO HENRIQUE ZAMBERLAN</v>
      </c>
      <c r="U171" s="78"/>
      <c r="AB171" s="398" t="str">
        <f t="array" aca="1" ref="AB171:AB173" ca="1">OFFSET(Import.RespOrçamento,0,-1) &amp; " " &amp; Import.RespOrçamento</f>
        <v>Nome: LEONARDO HENRIQUE ZAMBERLAN</v>
      </c>
      <c r="AC171" s="78"/>
    </row>
    <row r="172" spans="1:91" ht="12.75" customHeight="1" x14ac:dyDescent="0.25">
      <c r="F172" s="459">
        <f>DADOS!$C$25</f>
        <v>46034</v>
      </c>
      <c r="I172" s="398" t="str">
        <f ca="1"/>
        <v>CREA/CAU: CREA-RS 242523</v>
      </c>
      <c r="K172" s="79"/>
      <c r="L172" s="79"/>
      <c r="T172" s="398" t="str">
        <f ca="1"/>
        <v>CREA/CAU: CREA-RS 242523</v>
      </c>
      <c r="U172" s="78"/>
      <c r="AB172" s="398" t="str">
        <f ca="1"/>
        <v>CREA/CAU: CREA-RS 242523</v>
      </c>
      <c r="AC172" s="78"/>
    </row>
    <row r="173" spans="1:91" ht="12.75" customHeight="1" x14ac:dyDescent="0.25">
      <c r="F173" s="140" t="s">
        <v>694</v>
      </c>
      <c r="I173" s="398" t="str">
        <f ca="1"/>
        <v xml:space="preserve">ART/RRT: </v>
      </c>
      <c r="K173" s="79"/>
      <c r="L173" s="79"/>
      <c r="T173" s="398" t="str">
        <f ca="1"/>
        <v xml:space="preserve">ART/RRT: </v>
      </c>
      <c r="U173" s="78"/>
      <c r="AB173" s="398" t="str">
        <f ca="1"/>
        <v xml:space="preserve">ART/RRT: </v>
      </c>
      <c r="AC173" s="78"/>
    </row>
    <row r="174" spans="1:91" ht="12.75" customHeight="1" x14ac:dyDescent="0.25">
      <c r="C174"/>
      <c r="M174"/>
    </row>
    <row r="175" spans="1:91" ht="12.75" customHeight="1" x14ac:dyDescent="0.25">
      <c r="C175"/>
      <c r="M175"/>
    </row>
    <row r="176" spans="1:91" ht="12.75" customHeight="1" x14ac:dyDescent="0.25">
      <c r="C176"/>
      <c r="M176"/>
    </row>
    <row r="177" spans="3:13" ht="12.75" customHeight="1" x14ac:dyDescent="0.25">
      <c r="C177"/>
      <c r="M177"/>
    </row>
    <row r="178" spans="3:13" ht="12.75" customHeight="1" x14ac:dyDescent="0.25">
      <c r="C178"/>
      <c r="M178"/>
    </row>
    <row r="179" spans="3:13" ht="12.75" customHeight="1" x14ac:dyDescent="0.25">
      <c r="C179"/>
      <c r="M179"/>
    </row>
    <row r="180" spans="3:13" ht="12.75" customHeight="1" x14ac:dyDescent="0.25">
      <c r="C180"/>
      <c r="M180"/>
    </row>
    <row r="181" spans="3:13" ht="12.75" customHeight="1" x14ac:dyDescent="0.25">
      <c r="C181"/>
      <c r="M181"/>
    </row>
    <row r="182" spans="3:13" ht="12.75" customHeight="1" x14ac:dyDescent="0.25">
      <c r="C182"/>
      <c r="M182"/>
    </row>
    <row r="183" spans="3:13" ht="12.75" customHeight="1" x14ac:dyDescent="0.25">
      <c r="C183"/>
      <c r="M183"/>
    </row>
    <row r="184" spans="3:13" ht="12.75" customHeight="1" x14ac:dyDescent="0.25">
      <c r="C184"/>
      <c r="M184"/>
    </row>
    <row r="185" spans="3:13" ht="12.75" customHeight="1" x14ac:dyDescent="0.25">
      <c r="C185"/>
      <c r="M185"/>
    </row>
    <row r="186" spans="3:13" ht="12.75" customHeight="1" x14ac:dyDescent="0.25">
      <c r="C186"/>
      <c r="M186"/>
    </row>
    <row r="187" spans="3:13" ht="12.75" customHeight="1" x14ac:dyDescent="0.25">
      <c r="C187"/>
      <c r="M187"/>
    </row>
    <row r="188" spans="3:13" ht="12.75" customHeight="1" x14ac:dyDescent="0.25">
      <c r="C188"/>
      <c r="M188"/>
    </row>
    <row r="189" spans="3:13" ht="12.75" customHeight="1" x14ac:dyDescent="0.25">
      <c r="C189"/>
      <c r="M189"/>
    </row>
    <row r="190" spans="3:13" ht="12.75" customHeight="1" x14ac:dyDescent="0.25">
      <c r="C190"/>
      <c r="M190"/>
    </row>
    <row r="191" spans="3:13" ht="12.75" customHeight="1" x14ac:dyDescent="0.25">
      <c r="C191"/>
      <c r="M191"/>
    </row>
    <row r="192" spans="3:13" ht="12.75" customHeight="1" x14ac:dyDescent="0.25">
      <c r="C192"/>
      <c r="M192"/>
    </row>
    <row r="193" spans="3:13" ht="12.75" customHeight="1" x14ac:dyDescent="0.25">
      <c r="C193"/>
      <c r="M193"/>
    </row>
    <row r="194" spans="3:13" ht="12.75" customHeight="1" x14ac:dyDescent="0.25">
      <c r="C194"/>
      <c r="M194"/>
    </row>
    <row r="195" spans="3:13" ht="12.75" customHeight="1" x14ac:dyDescent="0.25">
      <c r="C195"/>
      <c r="M195"/>
    </row>
    <row r="196" spans="3:13" ht="12.75" customHeight="1" x14ac:dyDescent="0.25">
      <c r="C196"/>
      <c r="M196"/>
    </row>
    <row r="197" spans="3:13" ht="12.75" customHeight="1" x14ac:dyDescent="0.25">
      <c r="C197"/>
      <c r="M197"/>
    </row>
    <row r="198" spans="3:13" ht="12.75" customHeight="1" x14ac:dyDescent="0.25">
      <c r="C198"/>
      <c r="M198"/>
    </row>
    <row r="199" spans="3:13" ht="12.75" customHeight="1" x14ac:dyDescent="0.25">
      <c r="C199"/>
      <c r="M199"/>
    </row>
    <row r="200" spans="3:13" ht="12.75" customHeight="1" x14ac:dyDescent="0.25">
      <c r="C200"/>
      <c r="M200"/>
    </row>
    <row r="201" spans="3:13" ht="12.75" customHeight="1" x14ac:dyDescent="0.25">
      <c r="C201"/>
      <c r="M201"/>
    </row>
    <row r="202" spans="3:13" ht="12.75" customHeight="1" x14ac:dyDescent="0.25">
      <c r="C202"/>
      <c r="M202"/>
    </row>
    <row r="203" spans="3:13" ht="12.75" customHeight="1" x14ac:dyDescent="0.25">
      <c r="C203"/>
      <c r="M203"/>
    </row>
    <row r="204" spans="3:13" ht="12.75" customHeight="1" x14ac:dyDescent="0.25">
      <c r="C204"/>
      <c r="M204"/>
    </row>
    <row r="205" spans="3:13" ht="12.75" customHeight="1" x14ac:dyDescent="0.25">
      <c r="C205"/>
      <c r="M205"/>
    </row>
    <row r="206" spans="3:13" ht="12.75" customHeight="1" x14ac:dyDescent="0.25">
      <c r="C206"/>
      <c r="M206"/>
    </row>
    <row r="207" spans="3:13" ht="12.75" customHeight="1" x14ac:dyDescent="0.25">
      <c r="C207"/>
      <c r="M207"/>
    </row>
    <row r="208" spans="3:13" ht="12.75" customHeight="1" x14ac:dyDescent="0.25">
      <c r="C208"/>
      <c r="M208"/>
    </row>
    <row r="209" spans="3:13" ht="12.75" customHeight="1" x14ac:dyDescent="0.25">
      <c r="C209"/>
      <c r="M209"/>
    </row>
    <row r="210" spans="3:13" ht="12.75" customHeight="1" x14ac:dyDescent="0.25">
      <c r="C210"/>
      <c r="M210"/>
    </row>
    <row r="211" spans="3:13" ht="12.75" customHeight="1" x14ac:dyDescent="0.25">
      <c r="C211"/>
      <c r="M211"/>
    </row>
    <row r="212" spans="3:13" ht="12.75" customHeight="1" x14ac:dyDescent="0.25">
      <c r="C212"/>
      <c r="M212"/>
    </row>
    <row r="213" spans="3:13" ht="12.75" customHeight="1" x14ac:dyDescent="0.25">
      <c r="C213"/>
      <c r="M213"/>
    </row>
    <row r="214" spans="3:13" ht="12.75" customHeight="1" x14ac:dyDescent="0.25">
      <c r="C214"/>
      <c r="M214"/>
    </row>
    <row r="215" spans="3:13" ht="12.75" customHeight="1" x14ac:dyDescent="0.25">
      <c r="C215"/>
      <c r="M215"/>
    </row>
    <row r="216" spans="3:13" ht="12.75" customHeight="1" x14ac:dyDescent="0.25">
      <c r="C216"/>
      <c r="M216"/>
    </row>
    <row r="217" spans="3:13" ht="12.75" customHeight="1" x14ac:dyDescent="0.25">
      <c r="C217"/>
      <c r="M217"/>
    </row>
    <row r="218" spans="3:13" ht="12.75" customHeight="1" x14ac:dyDescent="0.25">
      <c r="C218"/>
      <c r="M218"/>
    </row>
    <row r="219" spans="3:13" ht="12.75" customHeight="1" x14ac:dyDescent="0.25">
      <c r="C219"/>
      <c r="M219"/>
    </row>
    <row r="220" spans="3:13" ht="12.75" customHeight="1" x14ac:dyDescent="0.25">
      <c r="C220"/>
      <c r="M220"/>
    </row>
    <row r="221" spans="3:13" ht="12.75" customHeight="1" x14ac:dyDescent="0.25">
      <c r="C221"/>
      <c r="M221"/>
    </row>
    <row r="222" spans="3:13" ht="12.75" customHeight="1" x14ac:dyDescent="0.25">
      <c r="C222"/>
      <c r="M222"/>
    </row>
    <row r="223" spans="3:13" ht="12.75" customHeight="1" x14ac:dyDescent="0.25">
      <c r="C223"/>
      <c r="M223"/>
    </row>
    <row r="224" spans="3:13" ht="12.75" customHeight="1" x14ac:dyDescent="0.25">
      <c r="C224"/>
      <c r="M224"/>
    </row>
    <row r="225" spans="3:13" ht="12.75" customHeight="1" x14ac:dyDescent="0.25">
      <c r="C225"/>
      <c r="M225"/>
    </row>
    <row r="226" spans="3:13" ht="12.75" customHeight="1" x14ac:dyDescent="0.25">
      <c r="C226"/>
      <c r="M226"/>
    </row>
    <row r="227" spans="3:13" ht="12.75" customHeight="1" x14ac:dyDescent="0.25">
      <c r="C227"/>
      <c r="M227"/>
    </row>
    <row r="228" spans="3:13" ht="12.75" customHeight="1" x14ac:dyDescent="0.25">
      <c r="C228"/>
      <c r="M228"/>
    </row>
    <row r="229" spans="3:13" ht="12.75" customHeight="1" x14ac:dyDescent="0.25">
      <c r="C229"/>
      <c r="M229"/>
    </row>
    <row r="230" spans="3:13" ht="12.75" customHeight="1" x14ac:dyDescent="0.25">
      <c r="C230"/>
      <c r="M230"/>
    </row>
    <row r="231" spans="3:13" ht="12.75" customHeight="1" x14ac:dyDescent="0.25">
      <c r="C231"/>
      <c r="M231"/>
    </row>
    <row r="232" spans="3:13" ht="12.75" customHeight="1" x14ac:dyDescent="0.25">
      <c r="C232"/>
      <c r="M232"/>
    </row>
    <row r="233" spans="3:13" ht="12.75" customHeight="1" x14ac:dyDescent="0.25">
      <c r="C233"/>
      <c r="M233"/>
    </row>
    <row r="234" spans="3:13" ht="12.75" customHeight="1" x14ac:dyDescent="0.25">
      <c r="C234"/>
      <c r="M234"/>
    </row>
    <row r="235" spans="3:13" ht="12.75" customHeight="1" x14ac:dyDescent="0.25">
      <c r="C235"/>
      <c r="M235"/>
    </row>
    <row r="236" spans="3:13" ht="12.75" customHeight="1" x14ac:dyDescent="0.25">
      <c r="C236"/>
      <c r="M236"/>
    </row>
    <row r="237" spans="3:13" ht="12.75" customHeight="1" x14ac:dyDescent="0.25">
      <c r="C237"/>
      <c r="M237"/>
    </row>
    <row r="238" spans="3:13" ht="12.75" customHeight="1" x14ac:dyDescent="0.25">
      <c r="C238"/>
      <c r="M238"/>
    </row>
    <row r="239" spans="3:13" ht="12.75" customHeight="1" x14ac:dyDescent="0.25">
      <c r="C239"/>
      <c r="M239"/>
    </row>
    <row r="240" spans="3:13" ht="12.75" customHeight="1" x14ac:dyDescent="0.25">
      <c r="C240"/>
      <c r="M240"/>
    </row>
    <row r="241" spans="3:13" ht="12.75" customHeight="1" x14ac:dyDescent="0.25">
      <c r="C241"/>
      <c r="M241"/>
    </row>
    <row r="242" spans="3:13" ht="12.75" customHeight="1" x14ac:dyDescent="0.25">
      <c r="C242"/>
      <c r="M242"/>
    </row>
    <row r="243" spans="3:13" ht="12.75" customHeight="1" x14ac:dyDescent="0.25">
      <c r="C243"/>
      <c r="M243"/>
    </row>
    <row r="244" spans="3:13" ht="12.75" customHeight="1" x14ac:dyDescent="0.25">
      <c r="C244"/>
      <c r="M244"/>
    </row>
    <row r="245" spans="3:13" ht="12.75" customHeight="1" x14ac:dyDescent="0.25">
      <c r="C245"/>
      <c r="M245"/>
    </row>
    <row r="246" spans="3:13" ht="12.75" customHeight="1" x14ac:dyDescent="0.25">
      <c r="C246"/>
      <c r="M246"/>
    </row>
    <row r="247" spans="3:13" ht="12.75" customHeight="1" x14ac:dyDescent="0.25">
      <c r="C247"/>
      <c r="M247"/>
    </row>
    <row r="248" spans="3:13" ht="12.75" customHeight="1" x14ac:dyDescent="0.25">
      <c r="C248"/>
      <c r="M248"/>
    </row>
    <row r="249" spans="3:13" ht="12.75" customHeight="1" x14ac:dyDescent="0.25">
      <c r="C249"/>
      <c r="M249"/>
    </row>
    <row r="250" spans="3:13" ht="12.75" customHeight="1" x14ac:dyDescent="0.25">
      <c r="C250"/>
      <c r="M250"/>
    </row>
    <row r="251" spans="3:13" ht="12.75" customHeight="1" x14ac:dyDescent="0.25">
      <c r="C251"/>
      <c r="M251"/>
    </row>
    <row r="252" spans="3:13" ht="12.75" customHeight="1" x14ac:dyDescent="0.25">
      <c r="C252"/>
      <c r="M252"/>
    </row>
    <row r="253" spans="3:13" ht="12.75" customHeight="1" x14ac:dyDescent="0.25">
      <c r="C253"/>
      <c r="M253"/>
    </row>
    <row r="254" spans="3:13" ht="12.75" customHeight="1" x14ac:dyDescent="0.25">
      <c r="C254"/>
      <c r="M254"/>
    </row>
    <row r="255" spans="3:13" ht="12.75" customHeight="1" x14ac:dyDescent="0.25">
      <c r="C255"/>
      <c r="M255"/>
    </row>
    <row r="256" spans="3:13" ht="12.75" customHeight="1" x14ac:dyDescent="0.25">
      <c r="C256"/>
      <c r="M256"/>
    </row>
    <row r="257" spans="3:13" ht="12.75" customHeight="1" x14ac:dyDescent="0.25">
      <c r="C257"/>
      <c r="M257"/>
    </row>
    <row r="258" spans="3:13" ht="12.75" customHeight="1" x14ac:dyDescent="0.25">
      <c r="C258"/>
      <c r="M258"/>
    </row>
    <row r="259" spans="3:13" ht="12.75" customHeight="1" x14ac:dyDescent="0.25">
      <c r="C259"/>
      <c r="M259"/>
    </row>
    <row r="260" spans="3:13" ht="12.75" customHeight="1" x14ac:dyDescent="0.25">
      <c r="C260"/>
      <c r="M260"/>
    </row>
    <row r="261" spans="3:13" ht="12.75" customHeight="1" x14ac:dyDescent="0.25">
      <c r="C261"/>
      <c r="M261"/>
    </row>
    <row r="262" spans="3:13" ht="12.75" customHeight="1" x14ac:dyDescent="0.25">
      <c r="C262"/>
      <c r="M262"/>
    </row>
    <row r="263" spans="3:13" ht="12.75" customHeight="1" x14ac:dyDescent="0.25">
      <c r="C263"/>
      <c r="M263"/>
    </row>
    <row r="264" spans="3:13" ht="12.75" customHeight="1" x14ac:dyDescent="0.25">
      <c r="C264"/>
      <c r="M264"/>
    </row>
    <row r="265" spans="3:13" ht="12.75" customHeight="1" x14ac:dyDescent="0.25">
      <c r="C265"/>
      <c r="M265"/>
    </row>
    <row r="266" spans="3:13" ht="12.75" customHeight="1" x14ac:dyDescent="0.25">
      <c r="C266"/>
      <c r="M266"/>
    </row>
    <row r="267" spans="3:13" ht="12.75" customHeight="1" x14ac:dyDescent="0.25">
      <c r="C267"/>
      <c r="M267"/>
    </row>
    <row r="268" spans="3:13" ht="12.75" customHeight="1" x14ac:dyDescent="0.25">
      <c r="C268"/>
      <c r="M268"/>
    </row>
    <row r="269" spans="3:13" ht="12.75" customHeight="1" x14ac:dyDescent="0.25">
      <c r="C269"/>
      <c r="M269"/>
    </row>
    <row r="270" spans="3:13" ht="12.75" customHeight="1" x14ac:dyDescent="0.25">
      <c r="C270"/>
      <c r="M270"/>
    </row>
    <row r="271" spans="3:13" ht="12.75" customHeight="1" x14ac:dyDescent="0.25">
      <c r="C271"/>
      <c r="M271"/>
    </row>
    <row r="272" spans="3:13" ht="12.75" customHeight="1" x14ac:dyDescent="0.25">
      <c r="C272"/>
      <c r="M272"/>
    </row>
    <row r="273" spans="3:13" ht="12.75" customHeight="1" x14ac:dyDescent="0.25">
      <c r="C273"/>
      <c r="M273"/>
    </row>
    <row r="274" spans="3:13" ht="12.75" customHeight="1" x14ac:dyDescent="0.25">
      <c r="C274"/>
      <c r="M274"/>
    </row>
    <row r="275" spans="3:13" ht="12.75" customHeight="1" x14ac:dyDescent="0.25">
      <c r="C275"/>
      <c r="M275"/>
    </row>
    <row r="276" spans="3:13" ht="12.75" customHeight="1" x14ac:dyDescent="0.25">
      <c r="C276"/>
      <c r="M276"/>
    </row>
    <row r="277" spans="3:13" ht="12.75" customHeight="1" x14ac:dyDescent="0.25">
      <c r="C277"/>
      <c r="M277"/>
    </row>
    <row r="278" spans="3:13" ht="12.75" customHeight="1" x14ac:dyDescent="0.25">
      <c r="C278"/>
      <c r="M278"/>
    </row>
    <row r="279" spans="3:13" ht="12.75" customHeight="1" x14ac:dyDescent="0.25">
      <c r="C279"/>
      <c r="M279"/>
    </row>
    <row r="280" spans="3:13" ht="12.75" customHeight="1" x14ac:dyDescent="0.25">
      <c r="C280"/>
      <c r="M280"/>
    </row>
    <row r="281" spans="3:13" ht="12.75" customHeight="1" x14ac:dyDescent="0.25">
      <c r="C281"/>
      <c r="M281"/>
    </row>
    <row r="282" spans="3:13" ht="12.75" customHeight="1" x14ac:dyDescent="0.25">
      <c r="C282"/>
      <c r="M282"/>
    </row>
    <row r="283" spans="3:13" ht="12.75" customHeight="1" x14ac:dyDescent="0.25">
      <c r="C283"/>
      <c r="M283"/>
    </row>
    <row r="284" spans="3:13" ht="12.75" customHeight="1" x14ac:dyDescent="0.25">
      <c r="C284"/>
      <c r="M284"/>
    </row>
    <row r="285" spans="3:13" ht="12.75" customHeight="1" x14ac:dyDescent="0.25">
      <c r="C285"/>
      <c r="M285"/>
    </row>
    <row r="286" spans="3:13" ht="12.75" customHeight="1" x14ac:dyDescent="0.25">
      <c r="C286"/>
      <c r="M286"/>
    </row>
    <row r="287" spans="3:13" ht="12.75" customHeight="1" x14ac:dyDescent="0.25">
      <c r="C287"/>
      <c r="M287"/>
    </row>
    <row r="288" spans="3:13" ht="12.75" customHeight="1" x14ac:dyDescent="0.25">
      <c r="C288"/>
      <c r="M288"/>
    </row>
    <row r="289" spans="3:13" ht="12.75" customHeight="1" x14ac:dyDescent="0.25">
      <c r="C289"/>
      <c r="M289"/>
    </row>
    <row r="290" spans="3:13" ht="12.75" customHeight="1" x14ac:dyDescent="0.25">
      <c r="C290"/>
      <c r="M290"/>
    </row>
    <row r="291" spans="3:13" ht="12.75" customHeight="1" x14ac:dyDescent="0.25">
      <c r="C291"/>
      <c r="M291"/>
    </row>
    <row r="292" spans="3:13" ht="12.75" customHeight="1" x14ac:dyDescent="0.25">
      <c r="C292"/>
      <c r="M292"/>
    </row>
    <row r="293" spans="3:13" ht="12.75" customHeight="1" x14ac:dyDescent="0.25">
      <c r="C293"/>
      <c r="M293"/>
    </row>
    <row r="294" spans="3:13" ht="12.75" customHeight="1" x14ac:dyDescent="0.25">
      <c r="C294"/>
      <c r="M294"/>
    </row>
    <row r="295" spans="3:13" ht="12.75" customHeight="1" x14ac:dyDescent="0.25">
      <c r="C295"/>
      <c r="M295"/>
    </row>
    <row r="296" spans="3:13" ht="12.75" customHeight="1" x14ac:dyDescent="0.25">
      <c r="C296"/>
      <c r="M296"/>
    </row>
    <row r="297" spans="3:13" ht="12.75" customHeight="1" x14ac:dyDescent="0.25">
      <c r="C297"/>
      <c r="M297"/>
    </row>
    <row r="298" spans="3:13" ht="12.75" customHeight="1" x14ac:dyDescent="0.25">
      <c r="C298"/>
      <c r="M298"/>
    </row>
    <row r="299" spans="3:13" ht="12.75" customHeight="1" x14ac:dyDescent="0.25">
      <c r="C299"/>
      <c r="M299"/>
    </row>
    <row r="300" spans="3:13" ht="12.75" customHeight="1" x14ac:dyDescent="0.25">
      <c r="C300"/>
      <c r="M300"/>
    </row>
    <row r="301" spans="3:13" ht="12.75" customHeight="1" x14ac:dyDescent="0.25">
      <c r="C301"/>
      <c r="M301"/>
    </row>
    <row r="302" spans="3:13" ht="12.75" customHeight="1" x14ac:dyDescent="0.25">
      <c r="C302"/>
      <c r="M302"/>
    </row>
    <row r="303" spans="3:13" ht="12.75" customHeight="1" x14ac:dyDescent="0.25">
      <c r="C303"/>
      <c r="M303"/>
    </row>
    <row r="304" spans="3:13" ht="12.75" customHeight="1" x14ac:dyDescent="0.25">
      <c r="C304"/>
      <c r="M304"/>
    </row>
    <row r="305" spans="3:13" ht="12.75" customHeight="1" x14ac:dyDescent="0.25">
      <c r="C305"/>
      <c r="M305"/>
    </row>
    <row r="306" spans="3:13" ht="12.75" customHeight="1" x14ac:dyDescent="0.25">
      <c r="C306"/>
      <c r="M306"/>
    </row>
    <row r="307" spans="3:13" ht="12.75" customHeight="1" x14ac:dyDescent="0.25">
      <c r="C307"/>
      <c r="M307"/>
    </row>
    <row r="308" spans="3:13" ht="12.75" customHeight="1" x14ac:dyDescent="0.25">
      <c r="C308"/>
      <c r="M308"/>
    </row>
    <row r="309" spans="3:13" ht="12.75" customHeight="1" x14ac:dyDescent="0.25">
      <c r="C309"/>
      <c r="M309"/>
    </row>
    <row r="310" spans="3:13" ht="12.75" customHeight="1" x14ac:dyDescent="0.25">
      <c r="C310"/>
      <c r="M310"/>
    </row>
    <row r="311" spans="3:13" ht="12.75" customHeight="1" x14ac:dyDescent="0.25">
      <c r="C311"/>
      <c r="M311"/>
    </row>
    <row r="312" spans="3:13" ht="12.75" customHeight="1" x14ac:dyDescent="0.25">
      <c r="C312"/>
      <c r="M312"/>
    </row>
    <row r="313" spans="3:13" ht="12.75" customHeight="1" x14ac:dyDescent="0.25">
      <c r="C313"/>
      <c r="M313"/>
    </row>
    <row r="314" spans="3:13" ht="12.75" customHeight="1" x14ac:dyDescent="0.25">
      <c r="C314"/>
      <c r="M314"/>
    </row>
    <row r="315" spans="3:13" ht="12.75" customHeight="1" x14ac:dyDescent="0.25">
      <c r="C315"/>
      <c r="M315"/>
    </row>
    <row r="316" spans="3:13" ht="12.75" customHeight="1" x14ac:dyDescent="0.25">
      <c r="C316"/>
      <c r="M316"/>
    </row>
    <row r="317" spans="3:13" ht="12.75" customHeight="1" x14ac:dyDescent="0.25">
      <c r="C317"/>
      <c r="M317"/>
    </row>
    <row r="318" spans="3:13" ht="12.75" customHeight="1" x14ac:dyDescent="0.25">
      <c r="C318"/>
      <c r="M318"/>
    </row>
    <row r="319" spans="3:13" ht="12.75" customHeight="1" x14ac:dyDescent="0.25">
      <c r="C319"/>
      <c r="M319"/>
    </row>
    <row r="320" spans="3:13" ht="12.75" customHeight="1" x14ac:dyDescent="0.25">
      <c r="C320"/>
      <c r="M320"/>
    </row>
    <row r="321" spans="3:13" ht="12.75" customHeight="1" x14ac:dyDescent="0.25">
      <c r="C321"/>
      <c r="M321"/>
    </row>
    <row r="322" spans="3:13" ht="12.75" customHeight="1" x14ac:dyDescent="0.25">
      <c r="C322"/>
      <c r="M322"/>
    </row>
    <row r="323" spans="3:13" ht="12.75" customHeight="1" x14ac:dyDescent="0.25">
      <c r="C323"/>
      <c r="M323"/>
    </row>
    <row r="324" spans="3:13" ht="12.75" customHeight="1" x14ac:dyDescent="0.25">
      <c r="C324"/>
      <c r="M324"/>
    </row>
    <row r="325" spans="3:13" ht="12.75" customHeight="1" x14ac:dyDescent="0.25">
      <c r="C325"/>
      <c r="M325"/>
    </row>
    <row r="326" spans="3:13" ht="12.75" customHeight="1" x14ac:dyDescent="0.25">
      <c r="C326"/>
      <c r="M326"/>
    </row>
    <row r="327" spans="3:13" ht="12.75" customHeight="1" x14ac:dyDescent="0.25">
      <c r="C327"/>
      <c r="M327"/>
    </row>
    <row r="328" spans="3:13" ht="12.75" customHeight="1" x14ac:dyDescent="0.25">
      <c r="C328"/>
      <c r="M328"/>
    </row>
    <row r="329" spans="3:13" ht="12.75" customHeight="1" x14ac:dyDescent="0.25">
      <c r="C329"/>
      <c r="M329"/>
    </row>
    <row r="330" spans="3:13" ht="12.75" customHeight="1" x14ac:dyDescent="0.25">
      <c r="C330"/>
      <c r="M330"/>
    </row>
    <row r="331" spans="3:13" ht="12.75" customHeight="1" x14ac:dyDescent="0.25">
      <c r="C331"/>
      <c r="M331"/>
    </row>
    <row r="332" spans="3:13" ht="12.75" customHeight="1" x14ac:dyDescent="0.25">
      <c r="C332"/>
      <c r="M332"/>
    </row>
    <row r="333" spans="3:13" ht="12.75" customHeight="1" x14ac:dyDescent="0.25">
      <c r="C333"/>
      <c r="M333"/>
    </row>
    <row r="334" spans="3:13" ht="12.75" customHeight="1" x14ac:dyDescent="0.25">
      <c r="C334"/>
      <c r="M334"/>
    </row>
    <row r="335" spans="3:13" ht="12.75" customHeight="1" x14ac:dyDescent="0.25">
      <c r="C335"/>
      <c r="M335"/>
    </row>
    <row r="336" spans="3:13"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67" spans="3:13" ht="12.75" customHeight="1" x14ac:dyDescent="0.25">
      <c r="C4267"/>
      <c r="M4267"/>
    </row>
    <row r="4268" spans="3:13" ht="12.75" customHeight="1" x14ac:dyDescent="0.25">
      <c r="C4268"/>
      <c r="M4268"/>
    </row>
    <row r="4269" spans="3:13" ht="12.75" customHeight="1" x14ac:dyDescent="0.25">
      <c r="C4269"/>
      <c r="M4269"/>
    </row>
    <row r="4270" spans="3:13" ht="12.75" customHeight="1" x14ac:dyDescent="0.25">
      <c r="C4270"/>
      <c r="M4270"/>
    </row>
    <row r="4271" spans="3:13" ht="12.75" customHeight="1" x14ac:dyDescent="0.25">
      <c r="C4271"/>
      <c r="M4271"/>
    </row>
    <row r="4272" spans="3:13" ht="12.75" customHeight="1" x14ac:dyDescent="0.25">
      <c r="C4272"/>
      <c r="M4272"/>
    </row>
    <row r="4273" spans="3:13" ht="12.75" customHeight="1" x14ac:dyDescent="0.25">
      <c r="C4273"/>
      <c r="M4273"/>
    </row>
    <row r="4274" spans="3:13" ht="12.75" customHeight="1" x14ac:dyDescent="0.25">
      <c r="C4274"/>
      <c r="M4274"/>
    </row>
    <row r="4275" spans="3:13" ht="12.75" customHeight="1" x14ac:dyDescent="0.25">
      <c r="C4275"/>
      <c r="M4275"/>
    </row>
    <row r="4276" spans="3:13" ht="12.75" customHeight="1" x14ac:dyDescent="0.25">
      <c r="C4276"/>
      <c r="M4276"/>
    </row>
    <row r="4277" spans="3:13" ht="12.75" customHeight="1" x14ac:dyDescent="0.25">
      <c r="C4277"/>
      <c r="M4277"/>
    </row>
    <row r="4278" spans="3:13" ht="12.75" customHeight="1" x14ac:dyDescent="0.25">
      <c r="C4278"/>
      <c r="M4278"/>
    </row>
    <row r="4279" spans="3:13" ht="12.75" customHeight="1" x14ac:dyDescent="0.25">
      <c r="C4279"/>
      <c r="M4279"/>
    </row>
    <row r="4280" spans="3:13" ht="12.75" customHeight="1" x14ac:dyDescent="0.25">
      <c r="C4280"/>
      <c r="M4280"/>
    </row>
    <row r="4281" spans="3:13" ht="12.75" customHeight="1" x14ac:dyDescent="0.25">
      <c r="C4281"/>
      <c r="M4281"/>
    </row>
    <row r="4282" spans="3:13" ht="12.75" customHeight="1" x14ac:dyDescent="0.25">
      <c r="C4282"/>
      <c r="M4282"/>
    </row>
    <row r="4283" spans="3:13" ht="12.75" customHeight="1" x14ac:dyDescent="0.25">
      <c r="C4283"/>
      <c r="M4283"/>
    </row>
    <row r="4284" spans="3:13" ht="12.75" customHeight="1" x14ac:dyDescent="0.25">
      <c r="C4284"/>
      <c r="M4284"/>
    </row>
    <row r="4285" spans="3:13" ht="12.75" customHeight="1" x14ac:dyDescent="0.25">
      <c r="C4285"/>
      <c r="M4285"/>
    </row>
    <row r="4286" spans="3:13" ht="12.75" customHeight="1" x14ac:dyDescent="0.25">
      <c r="C4286"/>
      <c r="M4286"/>
    </row>
    <row r="4287" spans="3:13" ht="12.75" customHeight="1" x14ac:dyDescent="0.25">
      <c r="C4287"/>
      <c r="M4287"/>
    </row>
    <row r="4288" spans="3:13" ht="12.75" customHeight="1" x14ac:dyDescent="0.25">
      <c r="C4288"/>
      <c r="M4288"/>
    </row>
    <row r="4289" spans="3:13" ht="12.75" customHeight="1" x14ac:dyDescent="0.25">
      <c r="C4289"/>
      <c r="M4289"/>
    </row>
    <row r="4290" spans="3:13" ht="12.75" customHeight="1" x14ac:dyDescent="0.25">
      <c r="C4290"/>
      <c r="M4290"/>
    </row>
    <row r="4291" spans="3:13" ht="12.75" customHeight="1" x14ac:dyDescent="0.25">
      <c r="C4291"/>
      <c r="M4291"/>
    </row>
    <row r="4292" spans="3:13" ht="12.75" customHeight="1" x14ac:dyDescent="0.25">
      <c r="C4292"/>
      <c r="M4292"/>
    </row>
    <row r="4293" spans="3:13" ht="12.75" customHeight="1" x14ac:dyDescent="0.25">
      <c r="C4293"/>
      <c r="M4293"/>
    </row>
    <row r="4294" spans="3:13" ht="12.75" customHeight="1" x14ac:dyDescent="0.25">
      <c r="C4294"/>
      <c r="M4294"/>
    </row>
    <row r="4295" spans="3:13" ht="12.75" customHeight="1" x14ac:dyDescent="0.25">
      <c r="C4295"/>
      <c r="M4295"/>
    </row>
    <row r="4296" spans="3:13" ht="12.75" customHeight="1" x14ac:dyDescent="0.25">
      <c r="C4296"/>
      <c r="M4296"/>
    </row>
    <row r="4297" spans="3:13" ht="12.75" customHeight="1" x14ac:dyDescent="0.25">
      <c r="C4297"/>
      <c r="M4297"/>
    </row>
    <row r="4298" spans="3:13" ht="12.75" customHeight="1" x14ac:dyDescent="0.25">
      <c r="C4298"/>
      <c r="M4298"/>
    </row>
    <row r="4299" spans="3:13" ht="12.75" customHeight="1" x14ac:dyDescent="0.25">
      <c r="C4299"/>
      <c r="M4299"/>
    </row>
    <row r="4300" spans="3:13" ht="12.75" customHeight="1" x14ac:dyDescent="0.25">
      <c r="C4300"/>
      <c r="M4300"/>
    </row>
    <row r="4301" spans="3:13" ht="12.75" customHeight="1" x14ac:dyDescent="0.25">
      <c r="C4301"/>
      <c r="M4301"/>
    </row>
    <row r="4302" spans="3:13" ht="12.75" customHeight="1" x14ac:dyDescent="0.25">
      <c r="C4302"/>
      <c r="M4302"/>
    </row>
    <row r="4303" spans="3:13" ht="12.75" customHeight="1" x14ac:dyDescent="0.25">
      <c r="C4303"/>
      <c r="M4303"/>
    </row>
    <row r="4304" spans="3:13" ht="12.75" customHeight="1" x14ac:dyDescent="0.25">
      <c r="C4304"/>
      <c r="M4304"/>
    </row>
    <row r="4305" spans="3:13" ht="12.75" customHeight="1" x14ac:dyDescent="0.25">
      <c r="C4305"/>
      <c r="M4305"/>
    </row>
    <row r="4306" spans="3:13" ht="12.75" customHeight="1" x14ac:dyDescent="0.25">
      <c r="C4306"/>
      <c r="M4306"/>
    </row>
    <row r="4307" spans="3:13" ht="12.75" customHeight="1" x14ac:dyDescent="0.25">
      <c r="C4307"/>
      <c r="M4307"/>
    </row>
    <row r="4308" spans="3:13" ht="12.75" customHeight="1" x14ac:dyDescent="0.25">
      <c r="C4308"/>
      <c r="M4308"/>
    </row>
    <row r="4309" spans="3:13" ht="12.75" customHeight="1" x14ac:dyDescent="0.25">
      <c r="C4309"/>
      <c r="M4309"/>
    </row>
    <row r="4310" spans="3:13" ht="12.75" customHeight="1" x14ac:dyDescent="0.25">
      <c r="C4310"/>
      <c r="M4310"/>
    </row>
    <row r="4311" spans="3:13" ht="12.75" customHeight="1" x14ac:dyDescent="0.25">
      <c r="C4311"/>
      <c r="M4311"/>
    </row>
    <row r="4312" spans="3:13" ht="12.75" customHeight="1" x14ac:dyDescent="0.25">
      <c r="C4312"/>
      <c r="M4312"/>
    </row>
    <row r="4313" spans="3:13" ht="12.75" customHeight="1" x14ac:dyDescent="0.25">
      <c r="C4313"/>
      <c r="M4313"/>
    </row>
    <row r="4314" spans="3:13" ht="12.75" customHeight="1" x14ac:dyDescent="0.25">
      <c r="C4314"/>
      <c r="M4314"/>
    </row>
    <row r="4315" spans="3:13" ht="12.75" customHeight="1" x14ac:dyDescent="0.25">
      <c r="C4315"/>
      <c r="M4315"/>
    </row>
    <row r="4316" spans="3:13" ht="12.75" customHeight="1" x14ac:dyDescent="0.25">
      <c r="C4316"/>
      <c r="M4316"/>
    </row>
    <row r="4317" spans="3:13" ht="12.75" customHeight="1" x14ac:dyDescent="0.25">
      <c r="C4317"/>
      <c r="M4317"/>
    </row>
    <row r="4318" spans="3:13" ht="12.75" customHeight="1" x14ac:dyDescent="0.25">
      <c r="C4318"/>
      <c r="M4318"/>
    </row>
    <row r="4319" spans="3:13" ht="12.75" customHeight="1" x14ac:dyDescent="0.25">
      <c r="C4319"/>
      <c r="M4319"/>
    </row>
    <row r="4320" spans="3:13" ht="12.75" customHeight="1" x14ac:dyDescent="0.25">
      <c r="C4320"/>
      <c r="M4320"/>
    </row>
    <row r="4321" spans="3:13" ht="12.75" customHeight="1" x14ac:dyDescent="0.25">
      <c r="C4321"/>
      <c r="M4321"/>
    </row>
    <row r="4322" spans="3:13" ht="12.75" customHeight="1" x14ac:dyDescent="0.25">
      <c r="C4322"/>
      <c r="M4322"/>
    </row>
    <row r="4323" spans="3:13" ht="12.75" customHeight="1" x14ac:dyDescent="0.25">
      <c r="C4323"/>
      <c r="M4323"/>
    </row>
    <row r="4324" spans="3:13" ht="12.75" customHeight="1" x14ac:dyDescent="0.25">
      <c r="C4324"/>
      <c r="M4324"/>
    </row>
    <row r="4325" spans="3:13" ht="12.75" customHeight="1" x14ac:dyDescent="0.25">
      <c r="C4325"/>
      <c r="M4325"/>
    </row>
    <row r="4326" spans="3:13" ht="12.75" customHeight="1" x14ac:dyDescent="0.25">
      <c r="C4326"/>
      <c r="M4326"/>
    </row>
    <row r="4327" spans="3:13" ht="12.75" customHeight="1" x14ac:dyDescent="0.25">
      <c r="C4327"/>
      <c r="M4327"/>
    </row>
    <row r="4328" spans="3:13" ht="12.75" customHeight="1" x14ac:dyDescent="0.25">
      <c r="C4328"/>
      <c r="M4328"/>
    </row>
    <row r="4329" spans="3:13" ht="12.75" customHeight="1" x14ac:dyDescent="0.25">
      <c r="C4329"/>
      <c r="M4329"/>
    </row>
    <row r="4330" spans="3:13" ht="12.75" customHeight="1" x14ac:dyDescent="0.25">
      <c r="C4330"/>
      <c r="M4330"/>
    </row>
    <row r="4331" spans="3:13" ht="12.75" customHeight="1" x14ac:dyDescent="0.25">
      <c r="C4331"/>
      <c r="M4331"/>
    </row>
    <row r="4332" spans="3:13" ht="12.75" customHeight="1" x14ac:dyDescent="0.25">
      <c r="C4332"/>
      <c r="M4332"/>
    </row>
    <row r="4333" spans="3:13" ht="12.75" customHeight="1" x14ac:dyDescent="0.25">
      <c r="C4333"/>
      <c r="M4333"/>
    </row>
    <row r="4334" spans="3:13" ht="12.75" customHeight="1" x14ac:dyDescent="0.25">
      <c r="C4334"/>
      <c r="M4334"/>
    </row>
    <row r="4335" spans="3:13" ht="12.75" customHeight="1" x14ac:dyDescent="0.25">
      <c r="C4335"/>
      <c r="M4335"/>
    </row>
    <row r="4336" spans="3:13" ht="12.75" customHeight="1" x14ac:dyDescent="0.25">
      <c r="C4336"/>
      <c r="M4336"/>
    </row>
    <row r="4337" spans="3:13" ht="12.75" customHeight="1" x14ac:dyDescent="0.25">
      <c r="C4337"/>
      <c r="M4337"/>
    </row>
    <row r="4338" spans="3:13" ht="12.75" customHeight="1" x14ac:dyDescent="0.25">
      <c r="C4338"/>
      <c r="M4338"/>
    </row>
    <row r="4339" spans="3:13" ht="12.75" customHeight="1" x14ac:dyDescent="0.25">
      <c r="C4339"/>
      <c r="M4339"/>
    </row>
    <row r="4340" spans="3:13" ht="12.75" customHeight="1" x14ac:dyDescent="0.25">
      <c r="C4340"/>
      <c r="M4340"/>
    </row>
    <row r="4341" spans="3:13" ht="12.75" customHeight="1" x14ac:dyDescent="0.25">
      <c r="C4341"/>
      <c r="M4341"/>
    </row>
    <row r="4342" spans="3:13" ht="12.75" customHeight="1" x14ac:dyDescent="0.25">
      <c r="C4342"/>
      <c r="M4342"/>
    </row>
    <row r="4343" spans="3:13" ht="12.75" customHeight="1" x14ac:dyDescent="0.25">
      <c r="C4343"/>
      <c r="M4343"/>
    </row>
    <row r="4344" spans="3:13" ht="12.75" customHeight="1" x14ac:dyDescent="0.25">
      <c r="C4344"/>
      <c r="M4344"/>
    </row>
    <row r="4345" spans="3:13" ht="12.75" customHeight="1" x14ac:dyDescent="0.25">
      <c r="C4345"/>
      <c r="M4345"/>
    </row>
    <row r="4346" spans="3:13" ht="12.75" customHeight="1" x14ac:dyDescent="0.25">
      <c r="C4346"/>
      <c r="M4346"/>
    </row>
    <row r="4347" spans="3:13" ht="12.75" customHeight="1" x14ac:dyDescent="0.25">
      <c r="C4347"/>
      <c r="M4347"/>
    </row>
    <row r="4348" spans="3:13" ht="12.75" customHeight="1" x14ac:dyDescent="0.25">
      <c r="C4348"/>
      <c r="M4348"/>
    </row>
    <row r="4349" spans="3:13" ht="12.75" customHeight="1" x14ac:dyDescent="0.25">
      <c r="C4349"/>
      <c r="M4349"/>
    </row>
    <row r="4350" spans="3:13" ht="12.75" customHeight="1" x14ac:dyDescent="0.25">
      <c r="C4350"/>
      <c r="M4350"/>
    </row>
    <row r="4351" spans="3:13" ht="12.75" customHeight="1" x14ac:dyDescent="0.25">
      <c r="C4351"/>
      <c r="M4351"/>
    </row>
    <row r="4352" spans="3:13" ht="12.75" customHeight="1" x14ac:dyDescent="0.25">
      <c r="C4352"/>
      <c r="M4352"/>
    </row>
    <row r="4353" spans="3:13" ht="12.75" customHeight="1" x14ac:dyDescent="0.25">
      <c r="C4353"/>
      <c r="M4353"/>
    </row>
    <row r="4354" spans="3:13" ht="12.75" customHeight="1" x14ac:dyDescent="0.25">
      <c r="C4354"/>
      <c r="M4354"/>
    </row>
    <row r="4355" spans="3:13" ht="12.75" customHeight="1" x14ac:dyDescent="0.25">
      <c r="C4355"/>
      <c r="M4355"/>
    </row>
    <row r="4356" spans="3:13" ht="12.75" customHeight="1" x14ac:dyDescent="0.25">
      <c r="C4356"/>
      <c r="M4356"/>
    </row>
    <row r="4357" spans="3:13" ht="12.75" customHeight="1" x14ac:dyDescent="0.25">
      <c r="C4357"/>
      <c r="M4357"/>
    </row>
    <row r="4358" spans="3:13" ht="12.75" customHeight="1" x14ac:dyDescent="0.25">
      <c r="C4358"/>
      <c r="M4358"/>
    </row>
    <row r="4359" spans="3:13" ht="12.75" customHeight="1" x14ac:dyDescent="0.25">
      <c r="C4359"/>
      <c r="M4359"/>
    </row>
    <row r="4360" spans="3:13" ht="12.75" customHeight="1" x14ac:dyDescent="0.25">
      <c r="C4360"/>
      <c r="M4360"/>
    </row>
    <row r="4361" spans="3:13" ht="12.75" customHeight="1" x14ac:dyDescent="0.25">
      <c r="C4361"/>
      <c r="M4361"/>
    </row>
    <row r="4362" spans="3:13" ht="12.75" customHeight="1" x14ac:dyDescent="0.25">
      <c r="C4362"/>
      <c r="M4362"/>
    </row>
    <row r="4363" spans="3:13" ht="12.75" customHeight="1" x14ac:dyDescent="0.25">
      <c r="C4363"/>
      <c r="M4363"/>
    </row>
    <row r="4364" spans="3:13" ht="12.75" customHeight="1" x14ac:dyDescent="0.25">
      <c r="C4364"/>
      <c r="M4364"/>
    </row>
    <row r="4365" spans="3:13" ht="12.75" customHeight="1" x14ac:dyDescent="0.25">
      <c r="C4365"/>
      <c r="M4365"/>
    </row>
    <row r="4366" spans="3:13" ht="12.75" customHeight="1" x14ac:dyDescent="0.25">
      <c r="C4366"/>
      <c r="M4366"/>
    </row>
    <row r="4367" spans="3:13" ht="12.75" customHeight="1" x14ac:dyDescent="0.25">
      <c r="C4367"/>
      <c r="M4367"/>
    </row>
    <row r="4368" spans="3:13" ht="12.75" customHeight="1" x14ac:dyDescent="0.25">
      <c r="C4368"/>
      <c r="M4368"/>
    </row>
    <row r="4369" spans="3:13" ht="12.75" customHeight="1" x14ac:dyDescent="0.25">
      <c r="C4369"/>
      <c r="M4369"/>
    </row>
    <row r="4370" spans="3:13" ht="12.75" customHeight="1" x14ac:dyDescent="0.25">
      <c r="C4370"/>
      <c r="M4370"/>
    </row>
    <row r="4371" spans="3:13" ht="12.75" customHeight="1" x14ac:dyDescent="0.25">
      <c r="C4371"/>
      <c r="M4371"/>
    </row>
    <row r="4372" spans="3:13" ht="12.75" customHeight="1" x14ac:dyDescent="0.25">
      <c r="C4372"/>
      <c r="M4372"/>
    </row>
    <row r="4373" spans="3:13" ht="12.75" customHeight="1" x14ac:dyDescent="0.25">
      <c r="C4373"/>
      <c r="M4373"/>
    </row>
    <row r="4374" spans="3:13" ht="12.75" customHeight="1" x14ac:dyDescent="0.25">
      <c r="C4374"/>
      <c r="M4374"/>
    </row>
    <row r="4375" spans="3:13" ht="12.75" customHeight="1" x14ac:dyDescent="0.25">
      <c r="C4375"/>
      <c r="M4375"/>
    </row>
    <row r="4376" spans="3:13" ht="12.75" customHeight="1" x14ac:dyDescent="0.25">
      <c r="C4376"/>
      <c r="M4376"/>
    </row>
    <row r="4377" spans="3:13" ht="12.75" customHeight="1" x14ac:dyDescent="0.25">
      <c r="C4377"/>
      <c r="M4377"/>
    </row>
    <row r="4378" spans="3:13" ht="12.75" customHeight="1" x14ac:dyDescent="0.25">
      <c r="C4378"/>
      <c r="M4378"/>
    </row>
    <row r="4379" spans="3:13" ht="12.75" customHeight="1" x14ac:dyDescent="0.25">
      <c r="C4379"/>
      <c r="M4379"/>
    </row>
    <row r="4380" spans="3:13" ht="12.75" customHeight="1" x14ac:dyDescent="0.25">
      <c r="C4380"/>
      <c r="M4380"/>
    </row>
    <row r="4381" spans="3:13" ht="12.75" customHeight="1" x14ac:dyDescent="0.25">
      <c r="C4381"/>
      <c r="M4381"/>
    </row>
    <row r="4382" spans="3:13" ht="12.75" customHeight="1" x14ac:dyDescent="0.25">
      <c r="C4382"/>
      <c r="M4382"/>
    </row>
    <row r="4383" spans="3:13" ht="12.75" customHeight="1" x14ac:dyDescent="0.25">
      <c r="C4383"/>
      <c r="M4383"/>
    </row>
    <row r="4384" spans="3:13" ht="12.75" customHeight="1" x14ac:dyDescent="0.25">
      <c r="C4384"/>
      <c r="M4384"/>
    </row>
    <row r="4385" spans="3:13" ht="12.75" customHeight="1" x14ac:dyDescent="0.25">
      <c r="C4385"/>
      <c r="M4385"/>
    </row>
    <row r="4386" spans="3:13" ht="12.75" customHeight="1" x14ac:dyDescent="0.25">
      <c r="C4386"/>
      <c r="M4386"/>
    </row>
    <row r="4387" spans="3:13" ht="12.75" customHeight="1" x14ac:dyDescent="0.25">
      <c r="C4387"/>
      <c r="M4387"/>
    </row>
    <row r="4388" spans="3:13" ht="12.75" customHeight="1" x14ac:dyDescent="0.25">
      <c r="C4388"/>
      <c r="M4388"/>
    </row>
    <row r="4389" spans="3:13" ht="12.75" customHeight="1" x14ac:dyDescent="0.25">
      <c r="C4389"/>
      <c r="M4389"/>
    </row>
    <row r="4390" spans="3:13" ht="12.75" customHeight="1" x14ac:dyDescent="0.25">
      <c r="C4390"/>
      <c r="M4390"/>
    </row>
    <row r="4391" spans="3:13" ht="12.75" customHeight="1" x14ac:dyDescent="0.25">
      <c r="C4391"/>
      <c r="M4391"/>
    </row>
    <row r="4392" spans="3:13" ht="12.75" customHeight="1" x14ac:dyDescent="0.25">
      <c r="C4392"/>
      <c r="M4392"/>
    </row>
    <row r="4393" spans="3:13" ht="12.75" customHeight="1" x14ac:dyDescent="0.25">
      <c r="C4393"/>
      <c r="M4393"/>
    </row>
    <row r="4394" spans="3:13" ht="12.75" customHeight="1" x14ac:dyDescent="0.25">
      <c r="C4394"/>
      <c r="M4394"/>
    </row>
    <row r="4395" spans="3:13" ht="12.75" customHeight="1" x14ac:dyDescent="0.25">
      <c r="C4395"/>
      <c r="M4395"/>
    </row>
    <row r="4396" spans="3:13" ht="12.75" customHeight="1" x14ac:dyDescent="0.25">
      <c r="C4396"/>
      <c r="M4396"/>
    </row>
    <row r="4397" spans="3:13" ht="12.75" customHeight="1" x14ac:dyDescent="0.25">
      <c r="C4397"/>
      <c r="M4397"/>
    </row>
    <row r="4398" spans="3:13" ht="12.75" customHeight="1" x14ac:dyDescent="0.25">
      <c r="C4398"/>
      <c r="M4398"/>
    </row>
    <row r="4399" spans="3:13" ht="12.75" customHeight="1" x14ac:dyDescent="0.25">
      <c r="C4399"/>
      <c r="M4399"/>
    </row>
    <row r="4400" spans="3:13" ht="12.75" customHeight="1" x14ac:dyDescent="0.25">
      <c r="C4400"/>
      <c r="M4400"/>
    </row>
    <row r="4401" spans="3:13" ht="12.75" customHeight="1" x14ac:dyDescent="0.25">
      <c r="C4401"/>
      <c r="M4401"/>
    </row>
    <row r="4402" spans="3:13" ht="12.75" customHeight="1" x14ac:dyDescent="0.25">
      <c r="C4402"/>
      <c r="M4402"/>
    </row>
    <row r="4403" spans="3:13" ht="12.75" customHeight="1" x14ac:dyDescent="0.25">
      <c r="C4403"/>
      <c r="M4403"/>
    </row>
    <row r="4404" spans="3:13" ht="12.75" customHeight="1" x14ac:dyDescent="0.25">
      <c r="C4404"/>
      <c r="M4404"/>
    </row>
    <row r="4405" spans="3:13" ht="12.75" customHeight="1" x14ac:dyDescent="0.25">
      <c r="C4405"/>
      <c r="M4405"/>
    </row>
    <row r="4406" spans="3:13" ht="12.75" customHeight="1" x14ac:dyDescent="0.25">
      <c r="C4406"/>
      <c r="M4406"/>
    </row>
    <row r="4416" spans="3:13" ht="12.75" customHeight="1" x14ac:dyDescent="0.25">
      <c r="C4416"/>
      <c r="M4416"/>
    </row>
    <row r="4417" spans="3:13" ht="12.75" customHeight="1" x14ac:dyDescent="0.25">
      <c r="C4417"/>
      <c r="M4417"/>
    </row>
    <row r="4418" spans="3:13" ht="12.75" customHeight="1" x14ac:dyDescent="0.25">
      <c r="C4418"/>
      <c r="M4418"/>
    </row>
    <row r="4419" spans="3:13" ht="12.75" customHeight="1" x14ac:dyDescent="0.25">
      <c r="C4419"/>
      <c r="M4419"/>
    </row>
    <row r="61077" spans="3:13" ht="12.75" customHeight="1" x14ac:dyDescent="0.25">
      <c r="C61077"/>
      <c r="M61077"/>
    </row>
    <row r="61093" spans="3:13" ht="12.75" customHeight="1" x14ac:dyDescent="0.25">
      <c r="C61093"/>
      <c r="M61093"/>
    </row>
    <row r="61109" spans="3:13" ht="12.75" customHeight="1" x14ac:dyDescent="0.25">
      <c r="C61109"/>
      <c r="M61109"/>
    </row>
    <row r="61125" spans="3:13" ht="12.75" customHeight="1" x14ac:dyDescent="0.25">
      <c r="C61125"/>
      <c r="M61125"/>
    </row>
    <row r="61138" spans="3:13" ht="12.75" customHeight="1" x14ac:dyDescent="0.25">
      <c r="C61138"/>
      <c r="M61138"/>
    </row>
    <row r="61139" spans="3:13" ht="12.75" customHeight="1" x14ac:dyDescent="0.25">
      <c r="C61139"/>
      <c r="M61139"/>
    </row>
    <row r="61141" spans="3:13" ht="12.75" customHeight="1" x14ac:dyDescent="0.25">
      <c r="C61141"/>
      <c r="M61141"/>
    </row>
    <row r="61152" spans="3:13" ht="12.75" customHeight="1" x14ac:dyDescent="0.25">
      <c r="C61152"/>
      <c r="M61152"/>
    </row>
    <row r="61153" spans="3:13" ht="12.75" customHeight="1" x14ac:dyDescent="0.25">
      <c r="C61153"/>
      <c r="M61153"/>
    </row>
    <row r="61154" spans="3:13" ht="12.75" customHeight="1" x14ac:dyDescent="0.25">
      <c r="C61154"/>
      <c r="M61154"/>
    </row>
    <row r="61155" spans="3:13" ht="12.75" customHeight="1" x14ac:dyDescent="0.25">
      <c r="C61155"/>
      <c r="M61155"/>
    </row>
    <row r="61157" spans="3:13" ht="12.75" customHeight="1" x14ac:dyDescent="0.25">
      <c r="C61157"/>
      <c r="M61157"/>
    </row>
    <row r="61168" spans="3:13" ht="12.75" customHeight="1" x14ac:dyDescent="0.25">
      <c r="C61168"/>
      <c r="M61168"/>
    </row>
    <row r="61169" spans="3:13" ht="12.75" customHeight="1" x14ac:dyDescent="0.25">
      <c r="C61169"/>
      <c r="M61169"/>
    </row>
    <row r="61170" spans="3:13" ht="12.75" customHeight="1" x14ac:dyDescent="0.25">
      <c r="C61170"/>
      <c r="M61170"/>
    </row>
    <row r="61171" spans="3:13" ht="12.75" customHeight="1" x14ac:dyDescent="0.25">
      <c r="C61171"/>
      <c r="M61171"/>
    </row>
    <row r="61173" spans="3:13" ht="12.75" customHeight="1" x14ac:dyDescent="0.25">
      <c r="C61173"/>
      <c r="M61173"/>
    </row>
    <row r="61184" spans="3:13" ht="12.75" customHeight="1" x14ac:dyDescent="0.25">
      <c r="C61184"/>
      <c r="M61184"/>
    </row>
    <row r="61185" spans="3:13" ht="12.75" customHeight="1" x14ac:dyDescent="0.25">
      <c r="C61185"/>
      <c r="M61185"/>
    </row>
    <row r="61186" spans="3:13" ht="12.75" customHeight="1" x14ac:dyDescent="0.25">
      <c r="C61186"/>
      <c r="M61186"/>
    </row>
    <row r="61187" spans="3:13" ht="12.75" customHeight="1" x14ac:dyDescent="0.25">
      <c r="C61187"/>
      <c r="M61187"/>
    </row>
    <row r="61189" spans="3:13" ht="12.75" customHeight="1" x14ac:dyDescent="0.25">
      <c r="C61189"/>
      <c r="M61189"/>
    </row>
    <row r="61200" spans="3:13" ht="12.75" customHeight="1" x14ac:dyDescent="0.25">
      <c r="C61200"/>
      <c r="M61200"/>
    </row>
    <row r="61201" spans="3:13" ht="12.75" customHeight="1" x14ac:dyDescent="0.25">
      <c r="C61201"/>
      <c r="M61201"/>
    </row>
    <row r="61202" spans="3:13" ht="12.75" customHeight="1" x14ac:dyDescent="0.25">
      <c r="C61202"/>
      <c r="M61202"/>
    </row>
    <row r="61203" spans="3:13" ht="12.75" customHeight="1" x14ac:dyDescent="0.25">
      <c r="C61203"/>
      <c r="M61203"/>
    </row>
    <row r="61205" spans="3:13" ht="12.75" customHeight="1" x14ac:dyDescent="0.25">
      <c r="C61205"/>
      <c r="M61205"/>
    </row>
    <row r="61216" spans="3:13" ht="12.75" customHeight="1" x14ac:dyDescent="0.25">
      <c r="C61216"/>
      <c r="M61216"/>
    </row>
    <row r="61217" spans="3:13" ht="12.75" customHeight="1" x14ac:dyDescent="0.25">
      <c r="C61217"/>
      <c r="M61217"/>
    </row>
    <row r="61218" spans="3:13" ht="12.75" customHeight="1" x14ac:dyDescent="0.25">
      <c r="C61218"/>
      <c r="M61218"/>
    </row>
    <row r="61219" spans="3:13" ht="12.75" customHeight="1" x14ac:dyDescent="0.25">
      <c r="C61219"/>
      <c r="M61219"/>
    </row>
    <row r="61221" spans="3:13" ht="12.75" customHeight="1" x14ac:dyDescent="0.25">
      <c r="C61221"/>
      <c r="M61221"/>
    </row>
    <row r="61232" spans="3:13" ht="12.75" customHeight="1" x14ac:dyDescent="0.25">
      <c r="C61232"/>
      <c r="M61232"/>
    </row>
    <row r="61233" spans="3:13" ht="12.75" customHeight="1" x14ac:dyDescent="0.25">
      <c r="C61233"/>
      <c r="M61233"/>
    </row>
    <row r="61234" spans="3:13" ht="12.75" customHeight="1" x14ac:dyDescent="0.25">
      <c r="C61234"/>
      <c r="M61234"/>
    </row>
    <row r="61235" spans="3:13" ht="12.75" customHeight="1" x14ac:dyDescent="0.25">
      <c r="C61235"/>
      <c r="M61235"/>
    </row>
    <row r="61237" spans="3:13" ht="12.75" customHeight="1" x14ac:dyDescent="0.25">
      <c r="C61237"/>
      <c r="M61237"/>
    </row>
    <row r="61248" spans="3:13" ht="12.75" customHeight="1" x14ac:dyDescent="0.25">
      <c r="C61248"/>
      <c r="M61248"/>
    </row>
    <row r="61249" spans="3:13" ht="12.75" customHeight="1" x14ac:dyDescent="0.25">
      <c r="C61249"/>
      <c r="M61249"/>
    </row>
    <row r="61250" spans="3:13" ht="12.75" customHeight="1" x14ac:dyDescent="0.25">
      <c r="C61250"/>
      <c r="M61250"/>
    </row>
    <row r="61251" spans="3:13" ht="12.75" customHeight="1" x14ac:dyDescent="0.25">
      <c r="C61251"/>
      <c r="M61251"/>
    </row>
    <row r="61253" spans="3:13" ht="12.75" customHeight="1" x14ac:dyDescent="0.25">
      <c r="C61253"/>
      <c r="M61253"/>
    </row>
    <row r="61264" spans="3:13" ht="12.75" customHeight="1" x14ac:dyDescent="0.25">
      <c r="C61264"/>
      <c r="M61264"/>
    </row>
    <row r="61265" spans="3:13" ht="12.75" customHeight="1" x14ac:dyDescent="0.25">
      <c r="C61265"/>
      <c r="M61265"/>
    </row>
    <row r="61266" spans="3:13" ht="12.75" customHeight="1" x14ac:dyDescent="0.25">
      <c r="C61266"/>
      <c r="M61266"/>
    </row>
    <row r="61267" spans="3:13" ht="12.75" customHeight="1" x14ac:dyDescent="0.25">
      <c r="C61267"/>
      <c r="M61267"/>
    </row>
    <row r="61269" spans="3:13" ht="12.75" customHeight="1" x14ac:dyDescent="0.25">
      <c r="C61269"/>
      <c r="M61269"/>
    </row>
    <row r="61277" spans="3:13" ht="12.75" customHeight="1" x14ac:dyDescent="0.25">
      <c r="C61277"/>
      <c r="M61277"/>
    </row>
    <row r="61280" spans="3:13" ht="12.75" customHeight="1" x14ac:dyDescent="0.25">
      <c r="C61280"/>
      <c r="M61280"/>
    </row>
    <row r="61281" spans="3:13" ht="12.75" customHeight="1" x14ac:dyDescent="0.25">
      <c r="C61281"/>
      <c r="M61281"/>
    </row>
    <row r="61282" spans="3:13" ht="12.75" customHeight="1" x14ac:dyDescent="0.25">
      <c r="C61282"/>
      <c r="M61282"/>
    </row>
    <row r="61283" spans="3:13" ht="12.75" customHeight="1" x14ac:dyDescent="0.25">
      <c r="C61283"/>
      <c r="M61283"/>
    </row>
    <row r="61285" spans="3:13" ht="12.75" customHeight="1" x14ac:dyDescent="0.25">
      <c r="C61285"/>
      <c r="M61285"/>
    </row>
    <row r="61293" spans="3:13" ht="12.75" customHeight="1" x14ac:dyDescent="0.25">
      <c r="C61293"/>
      <c r="M61293"/>
    </row>
    <row r="61296" spans="3:13" ht="12.75" customHeight="1" x14ac:dyDescent="0.25">
      <c r="C61296"/>
      <c r="M61296"/>
    </row>
    <row r="61297" spans="3:13" ht="12.75" customHeight="1" x14ac:dyDescent="0.25">
      <c r="C61297"/>
      <c r="M61297"/>
    </row>
    <row r="61298" spans="3:13" ht="12.75" customHeight="1" x14ac:dyDescent="0.25">
      <c r="C61298"/>
      <c r="M61298"/>
    </row>
    <row r="61299" spans="3:13" ht="12.75" customHeight="1" x14ac:dyDescent="0.25">
      <c r="C61299"/>
      <c r="M61299"/>
    </row>
    <row r="61301" spans="3:13" ht="12.75" customHeight="1" x14ac:dyDescent="0.25">
      <c r="C61301"/>
      <c r="M61301"/>
    </row>
    <row r="61309" spans="3:13" ht="12.75" customHeight="1" x14ac:dyDescent="0.25">
      <c r="C61309"/>
      <c r="M61309"/>
    </row>
    <row r="61310" spans="3:13" ht="12.75" customHeight="1" x14ac:dyDescent="0.25">
      <c r="C61310"/>
      <c r="M61310"/>
    </row>
    <row r="61312" spans="3:13" ht="12.75" customHeight="1" x14ac:dyDescent="0.25">
      <c r="C61312"/>
      <c r="M61312"/>
    </row>
    <row r="61313" spans="3:13" ht="12.75" customHeight="1" x14ac:dyDescent="0.25">
      <c r="C61313"/>
      <c r="M61313"/>
    </row>
    <row r="61314" spans="3:13" ht="12.75" customHeight="1" x14ac:dyDescent="0.25">
      <c r="C61314"/>
      <c r="M61314"/>
    </row>
    <row r="61315" spans="3:13" ht="12.75" customHeight="1" x14ac:dyDescent="0.25">
      <c r="C61315"/>
      <c r="M61315"/>
    </row>
    <row r="61317" spans="3:13" ht="12.75" customHeight="1" x14ac:dyDescent="0.25">
      <c r="C61317"/>
      <c r="M61317"/>
    </row>
    <row r="61325" spans="3:13" ht="12.75" customHeight="1" x14ac:dyDescent="0.25">
      <c r="C61325"/>
      <c r="M61325"/>
    </row>
    <row r="61326" spans="3:13" ht="12.75" customHeight="1" x14ac:dyDescent="0.25">
      <c r="C61326"/>
      <c r="M61326"/>
    </row>
    <row r="61327" spans="3:13" ht="12.75" customHeight="1" x14ac:dyDescent="0.25">
      <c r="C61327"/>
      <c r="M61327"/>
    </row>
    <row r="61328" spans="3:13" ht="12.75" customHeight="1" x14ac:dyDescent="0.25">
      <c r="C61328"/>
      <c r="M61328"/>
    </row>
    <row r="61329" spans="3:13" ht="12.75" customHeight="1" x14ac:dyDescent="0.25">
      <c r="C61329"/>
      <c r="M61329"/>
    </row>
    <row r="61330" spans="3:13" ht="12.75" customHeight="1" x14ac:dyDescent="0.25">
      <c r="C61330"/>
      <c r="M61330"/>
    </row>
    <row r="61331" spans="3:13" ht="12.75" customHeight="1" x14ac:dyDescent="0.25">
      <c r="C61331"/>
      <c r="M61331"/>
    </row>
    <row r="61333" spans="3:13" ht="12.75" customHeight="1" x14ac:dyDescent="0.25">
      <c r="C61333"/>
      <c r="M61333"/>
    </row>
    <row r="61341" spans="3:13" ht="12.75" customHeight="1" x14ac:dyDescent="0.25">
      <c r="C61341"/>
      <c r="M61341"/>
    </row>
    <row r="61342" spans="3:13" ht="12.75" customHeight="1" x14ac:dyDescent="0.25">
      <c r="C61342"/>
      <c r="M61342"/>
    </row>
    <row r="61343" spans="3:13" ht="12.75" customHeight="1" x14ac:dyDescent="0.25">
      <c r="C61343"/>
      <c r="M61343"/>
    </row>
    <row r="61344" spans="3:13" ht="12.75" customHeight="1" x14ac:dyDescent="0.25">
      <c r="C61344"/>
      <c r="M61344"/>
    </row>
    <row r="61345" spans="3:13" ht="12.75" customHeight="1" x14ac:dyDescent="0.25">
      <c r="C61345"/>
      <c r="M61345"/>
    </row>
    <row r="61346" spans="3:13" ht="12.75" customHeight="1" x14ac:dyDescent="0.25">
      <c r="C61346"/>
      <c r="M61346"/>
    </row>
    <row r="61347" spans="3:13" ht="12.75" customHeight="1" x14ac:dyDescent="0.25">
      <c r="C61347"/>
      <c r="M61347"/>
    </row>
    <row r="61349" spans="3:13" ht="12.75" customHeight="1" x14ac:dyDescent="0.25">
      <c r="C61349"/>
      <c r="M61349"/>
    </row>
    <row r="61355" spans="3:13" ht="12.75" customHeight="1" x14ac:dyDescent="0.25">
      <c r="C61355"/>
      <c r="M61355"/>
    </row>
    <row r="61356" spans="3:13" ht="12.75" customHeight="1" x14ac:dyDescent="0.25">
      <c r="C61356"/>
      <c r="M61356"/>
    </row>
    <row r="61357" spans="3:13" ht="12.75" customHeight="1" x14ac:dyDescent="0.25">
      <c r="C61357"/>
      <c r="M61357"/>
    </row>
    <row r="61358" spans="3:13" ht="12.75" customHeight="1" x14ac:dyDescent="0.25">
      <c r="C61358"/>
      <c r="M61358"/>
    </row>
    <row r="61359" spans="3:13" ht="12.75" customHeight="1" x14ac:dyDescent="0.25">
      <c r="C61359"/>
      <c r="M61359"/>
    </row>
    <row r="61360" spans="3:13" ht="12.75" customHeight="1" x14ac:dyDescent="0.25">
      <c r="C61360"/>
      <c r="M61360"/>
    </row>
    <row r="61361" spans="3:13" ht="12.75" customHeight="1" x14ac:dyDescent="0.25">
      <c r="C61361"/>
      <c r="M61361"/>
    </row>
    <row r="61362" spans="3:13" ht="12.75" customHeight="1" x14ac:dyDescent="0.25">
      <c r="C61362"/>
      <c r="M61362"/>
    </row>
    <row r="61363" spans="3:13" ht="12.75" customHeight="1" x14ac:dyDescent="0.25">
      <c r="C61363"/>
      <c r="M61363"/>
    </row>
    <row r="61364" spans="3:13" ht="12.75" customHeight="1" x14ac:dyDescent="0.25">
      <c r="C61364"/>
      <c r="M61364"/>
    </row>
    <row r="61365" spans="3:13" ht="12.75" customHeight="1" x14ac:dyDescent="0.25">
      <c r="C61365"/>
      <c r="M61365"/>
    </row>
    <row r="61366" spans="3:13" ht="12.75" customHeight="1" x14ac:dyDescent="0.25">
      <c r="C61366"/>
      <c r="M61366"/>
    </row>
    <row r="61371" spans="3:13" ht="12.75" customHeight="1" x14ac:dyDescent="0.25">
      <c r="C61371"/>
      <c r="M61371"/>
    </row>
    <row r="61372" spans="3:13" ht="12.75" customHeight="1" x14ac:dyDescent="0.25">
      <c r="C61372"/>
      <c r="M61372"/>
    </row>
    <row r="61373" spans="3:13" ht="12.75" customHeight="1" x14ac:dyDescent="0.25">
      <c r="C61373"/>
      <c r="M61373"/>
    </row>
    <row r="61374" spans="3:13" ht="12.75" customHeight="1" x14ac:dyDescent="0.25">
      <c r="C61374"/>
      <c r="M61374"/>
    </row>
    <row r="61375" spans="3:13" ht="12.75" customHeight="1" x14ac:dyDescent="0.25">
      <c r="C61375"/>
      <c r="M61375"/>
    </row>
    <row r="61376" spans="3:13" ht="12.75" customHeight="1" x14ac:dyDescent="0.25">
      <c r="C61376"/>
      <c r="M61376"/>
    </row>
    <row r="61377" spans="3:13" ht="12.75" customHeight="1" x14ac:dyDescent="0.25">
      <c r="C61377"/>
      <c r="M61377"/>
    </row>
    <row r="61378" spans="3:13" ht="12.75" customHeight="1" x14ac:dyDescent="0.25">
      <c r="C61378"/>
      <c r="M61378"/>
    </row>
    <row r="61379" spans="3:13" ht="12.75" customHeight="1" x14ac:dyDescent="0.25">
      <c r="C61379"/>
      <c r="M61379"/>
    </row>
    <row r="61380" spans="3:13" ht="12.75" customHeight="1" x14ac:dyDescent="0.25">
      <c r="C61380"/>
      <c r="M61380"/>
    </row>
    <row r="61381" spans="3:13" ht="12.75" customHeight="1" x14ac:dyDescent="0.25">
      <c r="C61381"/>
      <c r="M61381"/>
    </row>
    <row r="61382" spans="3:13" ht="12.75" customHeight="1" x14ac:dyDescent="0.25">
      <c r="C61382"/>
      <c r="M61382"/>
    </row>
    <row r="61387" spans="3:13" ht="12.75" customHeight="1" x14ac:dyDescent="0.25">
      <c r="C61387"/>
      <c r="M61387"/>
    </row>
    <row r="61388" spans="3:13" ht="12.75" customHeight="1" x14ac:dyDescent="0.25">
      <c r="C61388"/>
      <c r="M61388"/>
    </row>
    <row r="61389" spans="3:13" ht="12.75" customHeight="1" x14ac:dyDescent="0.25">
      <c r="C61389"/>
      <c r="M61389"/>
    </row>
    <row r="61390" spans="3:13" ht="12.75" customHeight="1" x14ac:dyDescent="0.25">
      <c r="C61390"/>
      <c r="M61390"/>
    </row>
    <row r="61391" spans="3:13" ht="12.75" customHeight="1" x14ac:dyDescent="0.25">
      <c r="C61391"/>
      <c r="M61391"/>
    </row>
    <row r="61392" spans="3:13" ht="12.75" customHeight="1" x14ac:dyDescent="0.25">
      <c r="C61392"/>
      <c r="M61392"/>
    </row>
    <row r="61393" spans="3:13" ht="12.75" customHeight="1" x14ac:dyDescent="0.25">
      <c r="C61393"/>
      <c r="M61393"/>
    </row>
    <row r="61394" spans="3:13" ht="12.75" customHeight="1" x14ac:dyDescent="0.25">
      <c r="C61394"/>
      <c r="M61394"/>
    </row>
    <row r="61395" spans="3:13" ht="12.75" customHeight="1" x14ac:dyDescent="0.25">
      <c r="C61395"/>
      <c r="M61395"/>
    </row>
    <row r="61396" spans="3:13" ht="12.75" customHeight="1" x14ac:dyDescent="0.25">
      <c r="C61396"/>
      <c r="M61396"/>
    </row>
    <row r="61397" spans="3:13" ht="12.75" customHeight="1" x14ac:dyDescent="0.25">
      <c r="C61397"/>
      <c r="M61397"/>
    </row>
    <row r="61398" spans="3:13" ht="12.75" customHeight="1" x14ac:dyDescent="0.25">
      <c r="C61398"/>
      <c r="M61398"/>
    </row>
    <row r="61403" spans="3:13" ht="12.75" customHeight="1" x14ac:dyDescent="0.25">
      <c r="C61403"/>
      <c r="M61403"/>
    </row>
    <row r="61404" spans="3:13" ht="12.75" customHeight="1" x14ac:dyDescent="0.25">
      <c r="C61404"/>
      <c r="M61404"/>
    </row>
    <row r="61405" spans="3:13" ht="12.75" customHeight="1" x14ac:dyDescent="0.25">
      <c r="C61405"/>
      <c r="M61405"/>
    </row>
    <row r="61406" spans="3:13" ht="12.75" customHeight="1" x14ac:dyDescent="0.25">
      <c r="C61406"/>
      <c r="M61406"/>
    </row>
    <row r="61407" spans="3:13" ht="12.75" customHeight="1" x14ac:dyDescent="0.25">
      <c r="C61407"/>
      <c r="M61407"/>
    </row>
    <row r="61408" spans="3:13" ht="12.75" customHeight="1" x14ac:dyDescent="0.25">
      <c r="C61408"/>
      <c r="M61408"/>
    </row>
    <row r="61409" spans="3:13" ht="12.75" customHeight="1" x14ac:dyDescent="0.25">
      <c r="C61409"/>
      <c r="M61409"/>
    </row>
    <row r="61410" spans="3:13" ht="12.75" customHeight="1" x14ac:dyDescent="0.25">
      <c r="C61410"/>
      <c r="M61410"/>
    </row>
    <row r="61411" spans="3:13" ht="12.75" customHeight="1" x14ac:dyDescent="0.25">
      <c r="C61411"/>
      <c r="M61411"/>
    </row>
    <row r="61412" spans="3:13" ht="12.75" customHeight="1" x14ac:dyDescent="0.25">
      <c r="C61412"/>
      <c r="M61412"/>
    </row>
    <row r="61413" spans="3:13" ht="12.75" customHeight="1" x14ac:dyDescent="0.25">
      <c r="C61413"/>
      <c r="M61413"/>
    </row>
    <row r="61414" spans="3:13" ht="12.75" customHeight="1" x14ac:dyDescent="0.25">
      <c r="C61414"/>
      <c r="M61414"/>
    </row>
    <row r="61418" spans="3:13" ht="12.75" customHeight="1" x14ac:dyDescent="0.25">
      <c r="C61418"/>
      <c r="M61418"/>
    </row>
    <row r="61419" spans="3:13" ht="12.75" customHeight="1" x14ac:dyDescent="0.25">
      <c r="C61419"/>
      <c r="M61419"/>
    </row>
    <row r="61420" spans="3:13" ht="12.75" customHeight="1" x14ac:dyDescent="0.25">
      <c r="C61420"/>
      <c r="M61420"/>
    </row>
    <row r="61421" spans="3:13" ht="12.75" customHeight="1" x14ac:dyDescent="0.25">
      <c r="C61421"/>
      <c r="M61421"/>
    </row>
    <row r="61422" spans="3:13" ht="12.75" customHeight="1" x14ac:dyDescent="0.25">
      <c r="C61422"/>
      <c r="M61422"/>
    </row>
    <row r="61423" spans="3:13" ht="12.75" customHeight="1" x14ac:dyDescent="0.25">
      <c r="C61423"/>
      <c r="M61423"/>
    </row>
    <row r="61424" spans="3:13" ht="12.75" customHeight="1" x14ac:dyDescent="0.25">
      <c r="C61424"/>
      <c r="M61424"/>
    </row>
    <row r="61425" spans="3:13" ht="12.75" customHeight="1" x14ac:dyDescent="0.25">
      <c r="C61425"/>
      <c r="M61425"/>
    </row>
    <row r="61426" spans="3:13" ht="12.75" customHeight="1" x14ac:dyDescent="0.25">
      <c r="C61426"/>
      <c r="M61426"/>
    </row>
    <row r="61427" spans="3:13" ht="12.75" customHeight="1" x14ac:dyDescent="0.25">
      <c r="C61427"/>
      <c r="M61427"/>
    </row>
    <row r="61428" spans="3:13" ht="12.75" customHeight="1" x14ac:dyDescent="0.25">
      <c r="C61428"/>
      <c r="M61428"/>
    </row>
    <row r="61429" spans="3:13" ht="12.75" customHeight="1" x14ac:dyDescent="0.25">
      <c r="C61429"/>
      <c r="M61429"/>
    </row>
    <row r="61430" spans="3:13" ht="12.75" customHeight="1" x14ac:dyDescent="0.25">
      <c r="C61430"/>
      <c r="M61430"/>
    </row>
    <row r="61434" spans="3:13" ht="12.75" customHeight="1" x14ac:dyDescent="0.25">
      <c r="C61434"/>
      <c r="M61434"/>
    </row>
    <row r="61435" spans="3:13" ht="12.75" customHeight="1" x14ac:dyDescent="0.25">
      <c r="C61435"/>
      <c r="M61435"/>
    </row>
    <row r="61436" spans="3:13" ht="12.75" customHeight="1" x14ac:dyDescent="0.25">
      <c r="C61436"/>
      <c r="M61436"/>
    </row>
    <row r="61437" spans="3:13" ht="12.75" customHeight="1" x14ac:dyDescent="0.25">
      <c r="C61437"/>
      <c r="M61437"/>
    </row>
    <row r="61438" spans="3:13" ht="12.75" customHeight="1" x14ac:dyDescent="0.25">
      <c r="C61438"/>
      <c r="M61438"/>
    </row>
    <row r="61439" spans="3:13" ht="12.75" customHeight="1" x14ac:dyDescent="0.25">
      <c r="C61439"/>
      <c r="M61439"/>
    </row>
    <row r="61440" spans="3:13" ht="12.75" customHeight="1" x14ac:dyDescent="0.25">
      <c r="C61440"/>
      <c r="M61440"/>
    </row>
    <row r="61441" spans="3:13" ht="12.75" customHeight="1" x14ac:dyDescent="0.25">
      <c r="C61441"/>
      <c r="M61441"/>
    </row>
    <row r="61442" spans="3:13" ht="12.75" customHeight="1" x14ac:dyDescent="0.25">
      <c r="C61442"/>
      <c r="M61442"/>
    </row>
    <row r="61443" spans="3:13" ht="12.75" customHeight="1" x14ac:dyDescent="0.25">
      <c r="C61443"/>
      <c r="M61443"/>
    </row>
    <row r="61444" spans="3:13" ht="12.75" customHeight="1" x14ac:dyDescent="0.25">
      <c r="C61444"/>
      <c r="M61444"/>
    </row>
    <row r="61445" spans="3:13" ht="12.75" customHeight="1" x14ac:dyDescent="0.25">
      <c r="C61445"/>
      <c r="M61445"/>
    </row>
    <row r="61446" spans="3:13" ht="12.75" customHeight="1" x14ac:dyDescent="0.25">
      <c r="C61446"/>
      <c r="M61446"/>
    </row>
    <row r="61450" spans="3:13" ht="12.75" customHeight="1" x14ac:dyDescent="0.25">
      <c r="C61450"/>
      <c r="M61450"/>
    </row>
    <row r="61451" spans="3:13" ht="12.75" customHeight="1" x14ac:dyDescent="0.25">
      <c r="C61451"/>
      <c r="M61451"/>
    </row>
    <row r="61452" spans="3:13" ht="12.75" customHeight="1" x14ac:dyDescent="0.25">
      <c r="C61452"/>
      <c r="M61452"/>
    </row>
    <row r="61453" spans="3:13" ht="12.75" customHeight="1" x14ac:dyDescent="0.25">
      <c r="C61453"/>
      <c r="M61453"/>
    </row>
    <row r="61454" spans="3:13" ht="12.75" customHeight="1" x14ac:dyDescent="0.25">
      <c r="C61454"/>
      <c r="M61454"/>
    </row>
    <row r="61455" spans="3:13" ht="12.75" customHeight="1" x14ac:dyDescent="0.25">
      <c r="C61455"/>
      <c r="M61455"/>
    </row>
    <row r="61456" spans="3:13" ht="12.75" customHeight="1" x14ac:dyDescent="0.25">
      <c r="C61456"/>
      <c r="M61456"/>
    </row>
    <row r="61457" spans="3:13" ht="12.75" customHeight="1" x14ac:dyDescent="0.25">
      <c r="C61457"/>
      <c r="M61457"/>
    </row>
    <row r="61458" spans="3:13" ht="12.75" customHeight="1" x14ac:dyDescent="0.25">
      <c r="C61458"/>
      <c r="M61458"/>
    </row>
    <row r="61459" spans="3:13" ht="12.75" customHeight="1" x14ac:dyDescent="0.25">
      <c r="C61459"/>
      <c r="M61459"/>
    </row>
    <row r="61460" spans="3:13" ht="12.75" customHeight="1" x14ac:dyDescent="0.25">
      <c r="C61460"/>
      <c r="M61460"/>
    </row>
    <row r="61461" spans="3:13" ht="12.75" customHeight="1" x14ac:dyDescent="0.25">
      <c r="C61461"/>
      <c r="M61461"/>
    </row>
    <row r="61462" spans="3:13" ht="12.75" customHeight="1" x14ac:dyDescent="0.25">
      <c r="C61462"/>
      <c r="M61462"/>
    </row>
    <row r="61466" spans="3:13" ht="12.75" customHeight="1" x14ac:dyDescent="0.25">
      <c r="C61466"/>
      <c r="M61466"/>
    </row>
    <row r="61467" spans="3:13" ht="12.75" customHeight="1" x14ac:dyDescent="0.25">
      <c r="C61467"/>
      <c r="M61467"/>
    </row>
    <row r="61468" spans="3:13" ht="12.75" customHeight="1" x14ac:dyDescent="0.25">
      <c r="C61468"/>
      <c r="M61468"/>
    </row>
    <row r="61469" spans="3:13" ht="12.75" customHeight="1" x14ac:dyDescent="0.25">
      <c r="C61469"/>
      <c r="M61469"/>
    </row>
    <row r="61470" spans="3:13" ht="12.75" customHeight="1" x14ac:dyDescent="0.25">
      <c r="C61470"/>
      <c r="M61470"/>
    </row>
    <row r="61471" spans="3:13" ht="12.75" customHeight="1" x14ac:dyDescent="0.25">
      <c r="C61471"/>
      <c r="M61471"/>
    </row>
    <row r="61472" spans="3:13" ht="12.75" customHeight="1" x14ac:dyDescent="0.25">
      <c r="C61472"/>
      <c r="M61472"/>
    </row>
    <row r="61473" spans="3:13" ht="12.75" customHeight="1" x14ac:dyDescent="0.25">
      <c r="C61473"/>
      <c r="M61473"/>
    </row>
    <row r="61474" spans="3:13" ht="12.75" customHeight="1" x14ac:dyDescent="0.25">
      <c r="C61474"/>
      <c r="M61474"/>
    </row>
    <row r="61475" spans="3:13" ht="12.75" customHeight="1" x14ac:dyDescent="0.25">
      <c r="C61475"/>
      <c r="M61475"/>
    </row>
    <row r="61476" spans="3:13" ht="12.75" customHeight="1" x14ac:dyDescent="0.25">
      <c r="C61476"/>
      <c r="M61476"/>
    </row>
    <row r="61477" spans="3:13" ht="12.75" customHeight="1" x14ac:dyDescent="0.25">
      <c r="C61477"/>
      <c r="M61477"/>
    </row>
    <row r="61478" spans="3:13" ht="12.75" customHeight="1" x14ac:dyDescent="0.25">
      <c r="C61478"/>
      <c r="M61478"/>
    </row>
    <row r="61482" spans="3:13" ht="12.75" customHeight="1" x14ac:dyDescent="0.25">
      <c r="C61482"/>
      <c r="M61482"/>
    </row>
    <row r="61483" spans="3:13" ht="12.75" customHeight="1" x14ac:dyDescent="0.25">
      <c r="C61483"/>
      <c r="M61483"/>
    </row>
    <row r="61484" spans="3:13" ht="12.75" customHeight="1" x14ac:dyDescent="0.25">
      <c r="C61484"/>
      <c r="M61484"/>
    </row>
    <row r="61485" spans="3:13" ht="12.75" customHeight="1" x14ac:dyDescent="0.25">
      <c r="C61485"/>
      <c r="M61485"/>
    </row>
    <row r="61486" spans="3:13" ht="12.75" customHeight="1" x14ac:dyDescent="0.25">
      <c r="C61486"/>
      <c r="M61486"/>
    </row>
    <row r="61487" spans="3:13" ht="12.75" customHeight="1" x14ac:dyDescent="0.25">
      <c r="C61487"/>
      <c r="M61487"/>
    </row>
    <row r="61488" spans="3:13" ht="12.75" customHeight="1" x14ac:dyDescent="0.25">
      <c r="C61488"/>
      <c r="M61488"/>
    </row>
    <row r="61489" spans="3:13" ht="12.75" customHeight="1" x14ac:dyDescent="0.25">
      <c r="C61489"/>
      <c r="M61489"/>
    </row>
    <row r="61490" spans="3:13" ht="12.75" customHeight="1" x14ac:dyDescent="0.25">
      <c r="C61490"/>
      <c r="M61490"/>
    </row>
    <row r="61491" spans="3:13" ht="12.75" customHeight="1" x14ac:dyDescent="0.25">
      <c r="C61491"/>
      <c r="M61491"/>
    </row>
    <row r="61492" spans="3:13" ht="12.75" customHeight="1" x14ac:dyDescent="0.25">
      <c r="C61492"/>
      <c r="M61492"/>
    </row>
    <row r="61493" spans="3:13" ht="12.75" customHeight="1" x14ac:dyDescent="0.25">
      <c r="C61493"/>
      <c r="M61493"/>
    </row>
    <row r="61494" spans="3:13" ht="12.75" customHeight="1" x14ac:dyDescent="0.25">
      <c r="C61494"/>
      <c r="M61494"/>
    </row>
    <row r="61498" spans="3:13" ht="12.75" customHeight="1" x14ac:dyDescent="0.25">
      <c r="C61498"/>
      <c r="M61498"/>
    </row>
    <row r="61499" spans="3:13" ht="12.75" customHeight="1" x14ac:dyDescent="0.25">
      <c r="C61499"/>
      <c r="M61499"/>
    </row>
    <row r="61500" spans="3:13" ht="12.75" customHeight="1" x14ac:dyDescent="0.25">
      <c r="C61500"/>
      <c r="M61500"/>
    </row>
    <row r="61501" spans="3:13" ht="12.75" customHeight="1" x14ac:dyDescent="0.25">
      <c r="C61501"/>
      <c r="M61501"/>
    </row>
    <row r="61502" spans="3:13" ht="12.75" customHeight="1" x14ac:dyDescent="0.25">
      <c r="C61502"/>
      <c r="M61502"/>
    </row>
    <row r="61503" spans="3:13" ht="12.75" customHeight="1" x14ac:dyDescent="0.25">
      <c r="C61503"/>
      <c r="M61503"/>
    </row>
    <row r="61504" spans="3:13" ht="12.75" customHeight="1" x14ac:dyDescent="0.25">
      <c r="C61504"/>
      <c r="M61504"/>
    </row>
    <row r="61505" spans="3:13" ht="12.75" customHeight="1" x14ac:dyDescent="0.25">
      <c r="C61505"/>
      <c r="M61505"/>
    </row>
    <row r="61506" spans="3:13" ht="12.75" customHeight="1" x14ac:dyDescent="0.25">
      <c r="C61506"/>
      <c r="M61506"/>
    </row>
    <row r="61507" spans="3:13" ht="12.75" customHeight="1" x14ac:dyDescent="0.25">
      <c r="C61507"/>
      <c r="M61507"/>
    </row>
    <row r="61508" spans="3:13" ht="12.75" customHeight="1" x14ac:dyDescent="0.25">
      <c r="C61508"/>
      <c r="M61508"/>
    </row>
    <row r="61509" spans="3:13" ht="12.75" customHeight="1" x14ac:dyDescent="0.25">
      <c r="C61509"/>
      <c r="M61509"/>
    </row>
    <row r="61510" spans="3:13" ht="12.75" customHeight="1" x14ac:dyDescent="0.25">
      <c r="C61510"/>
      <c r="M61510"/>
    </row>
    <row r="61514" spans="3:13" ht="12.75" customHeight="1" x14ac:dyDescent="0.25">
      <c r="C61514"/>
      <c r="M61514"/>
    </row>
    <row r="61515" spans="3:13" ht="12.75" customHeight="1" x14ac:dyDescent="0.25">
      <c r="C61515"/>
      <c r="M61515"/>
    </row>
    <row r="61516" spans="3:13" ht="12.75" customHeight="1" x14ac:dyDescent="0.25">
      <c r="C61516"/>
      <c r="M61516"/>
    </row>
    <row r="61517" spans="3:13" ht="12.75" customHeight="1" x14ac:dyDescent="0.25">
      <c r="C61517"/>
      <c r="M61517"/>
    </row>
    <row r="61518" spans="3:13" ht="12.75" customHeight="1" x14ac:dyDescent="0.25">
      <c r="C61518"/>
      <c r="M61518"/>
    </row>
    <row r="61519" spans="3:13" ht="12.75" customHeight="1" x14ac:dyDescent="0.25">
      <c r="C61519"/>
      <c r="M61519"/>
    </row>
    <row r="61520" spans="3:13" ht="12.75" customHeight="1" x14ac:dyDescent="0.25">
      <c r="C61520"/>
      <c r="M61520"/>
    </row>
    <row r="61521" spans="3:13" ht="12.75" customHeight="1" x14ac:dyDescent="0.25">
      <c r="C61521"/>
      <c r="M61521"/>
    </row>
    <row r="61522" spans="3:13" ht="12.75" customHeight="1" x14ac:dyDescent="0.25">
      <c r="C61522"/>
      <c r="M61522"/>
    </row>
    <row r="61523" spans="3:13" ht="12.75" customHeight="1" x14ac:dyDescent="0.25">
      <c r="C61523"/>
      <c r="M61523"/>
    </row>
    <row r="61524" spans="3:13" ht="12.75" customHeight="1" x14ac:dyDescent="0.25">
      <c r="C61524"/>
      <c r="M61524"/>
    </row>
    <row r="61525" spans="3:13" ht="12.75" customHeight="1" x14ac:dyDescent="0.25">
      <c r="C61525"/>
      <c r="M61525"/>
    </row>
    <row r="61526" spans="3:13" ht="12.75" customHeight="1" x14ac:dyDescent="0.25">
      <c r="C61526"/>
      <c r="M61526"/>
    </row>
    <row r="61530" spans="3:13" ht="12.75" customHeight="1" x14ac:dyDescent="0.25">
      <c r="C61530"/>
      <c r="M61530"/>
    </row>
    <row r="61531" spans="3:13" ht="12.75" customHeight="1" x14ac:dyDescent="0.25">
      <c r="C61531"/>
      <c r="M61531"/>
    </row>
    <row r="61532" spans="3:13" ht="12.75" customHeight="1" x14ac:dyDescent="0.25">
      <c r="C61532"/>
      <c r="M61532"/>
    </row>
    <row r="61533" spans="3:13" ht="12.75" customHeight="1" x14ac:dyDescent="0.25">
      <c r="C61533"/>
      <c r="M61533"/>
    </row>
    <row r="61534" spans="3:13" ht="12.75" customHeight="1" x14ac:dyDescent="0.25">
      <c r="C61534"/>
      <c r="M61534"/>
    </row>
    <row r="61535" spans="3:13" ht="12.75" customHeight="1" x14ac:dyDescent="0.25">
      <c r="C61535"/>
      <c r="M61535"/>
    </row>
    <row r="61536" spans="3:13" ht="12.75" customHeight="1" x14ac:dyDescent="0.25">
      <c r="C61536"/>
      <c r="M61536"/>
    </row>
    <row r="61537" spans="3:13" ht="12.75" customHeight="1" x14ac:dyDescent="0.25">
      <c r="C61537"/>
      <c r="M61537"/>
    </row>
    <row r="61538" spans="3:13" ht="12.75" customHeight="1" x14ac:dyDescent="0.25">
      <c r="C61538"/>
      <c r="M61538"/>
    </row>
    <row r="61539" spans="3:13" ht="12.75" customHeight="1" x14ac:dyDescent="0.25">
      <c r="C61539"/>
      <c r="M61539"/>
    </row>
    <row r="61540" spans="3:13" ht="12.75" customHeight="1" x14ac:dyDescent="0.25">
      <c r="C61540"/>
      <c r="M61540"/>
    </row>
    <row r="61541" spans="3:13" ht="12.75" customHeight="1" x14ac:dyDescent="0.25">
      <c r="C61541"/>
      <c r="M61541"/>
    </row>
    <row r="61542" spans="3:13" ht="12.75" customHeight="1" x14ac:dyDescent="0.25">
      <c r="C61542"/>
      <c r="M61542"/>
    </row>
    <row r="61543" spans="3:13" ht="12.75" customHeight="1" x14ac:dyDescent="0.25">
      <c r="C61543"/>
      <c r="M61543"/>
    </row>
    <row r="61546" spans="3:13" ht="12.75" customHeight="1" x14ac:dyDescent="0.25">
      <c r="C61546"/>
      <c r="M61546"/>
    </row>
    <row r="61547" spans="3:13" ht="12.75" customHeight="1" x14ac:dyDescent="0.25">
      <c r="C61547"/>
      <c r="M61547"/>
    </row>
    <row r="61548" spans="3:13" ht="12.75" customHeight="1" x14ac:dyDescent="0.25">
      <c r="C61548"/>
      <c r="M61548"/>
    </row>
    <row r="61549" spans="3:13" ht="12.75" customHeight="1" x14ac:dyDescent="0.25">
      <c r="C61549"/>
      <c r="M61549"/>
    </row>
    <row r="61550" spans="3:13" ht="12.75" customHeight="1" x14ac:dyDescent="0.25">
      <c r="C61550"/>
      <c r="M61550"/>
    </row>
    <row r="61551" spans="3:13" ht="12.75" customHeight="1" x14ac:dyDescent="0.25">
      <c r="C61551"/>
      <c r="M61551"/>
    </row>
    <row r="61552" spans="3:13" ht="12.75" customHeight="1" x14ac:dyDescent="0.25">
      <c r="C61552"/>
      <c r="M61552"/>
    </row>
    <row r="61553" spans="3:13" ht="12.75" customHeight="1" x14ac:dyDescent="0.25">
      <c r="C61553"/>
      <c r="M61553"/>
    </row>
    <row r="61554" spans="3:13" ht="12.75" customHeight="1" x14ac:dyDescent="0.25">
      <c r="C61554"/>
      <c r="M61554"/>
    </row>
    <row r="61555" spans="3:13" ht="12.75" customHeight="1" x14ac:dyDescent="0.25">
      <c r="C61555"/>
      <c r="M61555"/>
    </row>
    <row r="61556" spans="3:13" ht="12.75" customHeight="1" x14ac:dyDescent="0.25">
      <c r="C61556"/>
      <c r="M61556"/>
    </row>
    <row r="61557" spans="3:13" ht="12.75" customHeight="1" x14ac:dyDescent="0.25">
      <c r="C61557"/>
      <c r="M61557"/>
    </row>
    <row r="61558" spans="3:13" ht="12.75" customHeight="1" x14ac:dyDescent="0.25">
      <c r="C61558"/>
      <c r="M61558"/>
    </row>
    <row r="61559" spans="3:13" ht="12.75" customHeight="1" x14ac:dyDescent="0.25">
      <c r="C61559"/>
      <c r="M61559"/>
    </row>
    <row r="61562" spans="3:13" ht="12.75" customHeight="1" x14ac:dyDescent="0.25">
      <c r="C61562"/>
      <c r="M61562"/>
    </row>
    <row r="61563" spans="3:13" ht="12.75" customHeight="1" x14ac:dyDescent="0.25">
      <c r="C61563"/>
      <c r="M61563"/>
    </row>
    <row r="61564" spans="3:13" ht="12.75" customHeight="1" x14ac:dyDescent="0.25">
      <c r="C61564"/>
      <c r="M61564"/>
    </row>
    <row r="61565" spans="3:13" ht="12.75" customHeight="1" x14ac:dyDescent="0.25">
      <c r="C61565"/>
      <c r="M61565"/>
    </row>
    <row r="61566" spans="3:13" ht="12.75" customHeight="1" x14ac:dyDescent="0.25">
      <c r="C61566"/>
      <c r="M61566"/>
    </row>
    <row r="61567" spans="3:13" ht="12.75" customHeight="1" x14ac:dyDescent="0.25">
      <c r="C61567"/>
      <c r="M61567"/>
    </row>
    <row r="61568" spans="3:13" ht="12.75" customHeight="1" x14ac:dyDescent="0.25">
      <c r="C61568"/>
      <c r="M61568"/>
    </row>
    <row r="61569" spans="3:13" ht="12.75" customHeight="1" x14ac:dyDescent="0.25">
      <c r="C61569"/>
      <c r="M61569"/>
    </row>
    <row r="61570" spans="3:13" ht="12.75" customHeight="1" x14ac:dyDescent="0.25">
      <c r="C61570"/>
      <c r="M61570"/>
    </row>
    <row r="61571" spans="3:13" ht="12.75" customHeight="1" x14ac:dyDescent="0.25">
      <c r="C61571"/>
      <c r="M61571"/>
    </row>
    <row r="61572" spans="3:13" ht="12.75" customHeight="1" x14ac:dyDescent="0.25">
      <c r="C61572"/>
      <c r="M61572"/>
    </row>
    <row r="61573" spans="3:13" ht="12.75" customHeight="1" x14ac:dyDescent="0.25">
      <c r="C61573"/>
      <c r="M61573"/>
    </row>
    <row r="61574" spans="3:13" ht="12.75" customHeight="1" x14ac:dyDescent="0.25">
      <c r="C61574"/>
      <c r="M61574"/>
    </row>
    <row r="61575" spans="3:13" ht="12.75" customHeight="1" x14ac:dyDescent="0.25">
      <c r="C61575"/>
      <c r="M61575"/>
    </row>
    <row r="61576" spans="3:13" ht="12.75" customHeight="1" x14ac:dyDescent="0.25">
      <c r="C61576"/>
      <c r="M61576"/>
    </row>
    <row r="61578" spans="3:13" ht="12.75" customHeight="1" x14ac:dyDescent="0.25">
      <c r="C61578"/>
      <c r="M61578"/>
    </row>
    <row r="61579" spans="3:13" ht="12.75" customHeight="1" x14ac:dyDescent="0.25">
      <c r="C61579"/>
      <c r="M61579"/>
    </row>
    <row r="61580" spans="3:13" ht="12.75" customHeight="1" x14ac:dyDescent="0.25">
      <c r="C61580"/>
      <c r="M61580"/>
    </row>
    <row r="61581" spans="3:13" ht="12.75" customHeight="1" x14ac:dyDescent="0.25">
      <c r="C61581"/>
      <c r="M61581"/>
    </row>
    <row r="61582" spans="3:13" ht="12.75" customHeight="1" x14ac:dyDescent="0.25">
      <c r="C61582"/>
      <c r="M61582"/>
    </row>
    <row r="61583" spans="3:13" ht="12.75" customHeight="1" x14ac:dyDescent="0.25">
      <c r="C61583"/>
      <c r="M61583"/>
    </row>
    <row r="61584" spans="3:13" ht="12.75" customHeight="1" x14ac:dyDescent="0.25">
      <c r="C61584"/>
      <c r="M61584"/>
    </row>
    <row r="61585" spans="3:13" ht="12.75" customHeight="1" x14ac:dyDescent="0.25">
      <c r="C61585"/>
      <c r="M61585"/>
    </row>
    <row r="61586" spans="3:13" ht="12.75" customHeight="1" x14ac:dyDescent="0.25">
      <c r="C61586"/>
      <c r="M61586"/>
    </row>
    <row r="61587" spans="3:13" ht="12.75" customHeight="1" x14ac:dyDescent="0.25">
      <c r="C61587"/>
      <c r="M61587"/>
    </row>
    <row r="61588" spans="3:13" ht="12.75" customHeight="1" x14ac:dyDescent="0.25">
      <c r="C61588"/>
      <c r="M61588"/>
    </row>
    <row r="61589" spans="3:13" ht="12.75" customHeight="1" x14ac:dyDescent="0.25">
      <c r="C61589"/>
      <c r="M61589"/>
    </row>
    <row r="61590" spans="3:13" ht="12.75" customHeight="1" x14ac:dyDescent="0.25">
      <c r="C61590"/>
      <c r="M61590"/>
    </row>
    <row r="61591" spans="3:13" ht="12.75" customHeight="1" x14ac:dyDescent="0.25">
      <c r="C61591"/>
      <c r="M61591"/>
    </row>
    <row r="61592" spans="3:13" ht="12.75" customHeight="1" x14ac:dyDescent="0.25">
      <c r="C61592"/>
      <c r="M61592"/>
    </row>
    <row r="61593" spans="3:13" ht="12.75" customHeight="1" x14ac:dyDescent="0.25">
      <c r="C61593"/>
      <c r="M61593"/>
    </row>
    <row r="61594" spans="3:13" ht="12.75" customHeight="1" x14ac:dyDescent="0.25">
      <c r="C61594"/>
      <c r="M61594"/>
    </row>
    <row r="61595" spans="3:13" ht="12.75" customHeight="1" x14ac:dyDescent="0.25">
      <c r="C61595"/>
      <c r="M61595"/>
    </row>
    <row r="61596" spans="3:13" ht="12.75" customHeight="1" x14ac:dyDescent="0.25">
      <c r="C61596"/>
      <c r="M61596"/>
    </row>
    <row r="61597" spans="3:13" ht="12.75" customHeight="1" x14ac:dyDescent="0.25">
      <c r="C61597"/>
      <c r="M61597"/>
    </row>
    <row r="61598" spans="3:13" ht="12.75" customHeight="1" x14ac:dyDescent="0.25">
      <c r="C61598"/>
      <c r="M61598"/>
    </row>
    <row r="61599" spans="3:13" ht="12.75" customHeight="1" x14ac:dyDescent="0.25">
      <c r="C61599"/>
      <c r="M61599"/>
    </row>
    <row r="61600" spans="3:13" ht="12.75" customHeight="1" x14ac:dyDescent="0.25">
      <c r="C61600"/>
      <c r="M61600"/>
    </row>
    <row r="61601" spans="3:13" ht="12.75" customHeight="1" x14ac:dyDescent="0.25">
      <c r="C61601"/>
      <c r="M61601"/>
    </row>
    <row r="61602" spans="3:13" ht="12.75" customHeight="1" x14ac:dyDescent="0.25">
      <c r="C61602"/>
      <c r="M61602"/>
    </row>
    <row r="61603" spans="3:13" ht="12.75" customHeight="1" x14ac:dyDescent="0.25">
      <c r="C61603"/>
      <c r="M61603"/>
    </row>
    <row r="61604" spans="3:13" ht="12.75" customHeight="1" x14ac:dyDescent="0.25">
      <c r="C61604"/>
      <c r="M61604"/>
    </row>
    <row r="61605" spans="3:13" ht="12.75" customHeight="1" x14ac:dyDescent="0.25">
      <c r="C61605"/>
      <c r="M61605"/>
    </row>
    <row r="61606" spans="3:13" ht="12.75" customHeight="1" x14ac:dyDescent="0.25">
      <c r="C61606"/>
      <c r="M61606"/>
    </row>
    <row r="61607" spans="3:13" ht="12.75" customHeight="1" x14ac:dyDescent="0.25">
      <c r="C61607"/>
      <c r="M61607"/>
    </row>
    <row r="61608" spans="3:13" ht="12.75" customHeight="1" x14ac:dyDescent="0.25">
      <c r="C61608"/>
      <c r="M61608"/>
    </row>
    <row r="61609" spans="3:13" ht="12.75" customHeight="1" x14ac:dyDescent="0.25">
      <c r="C61609"/>
      <c r="M61609"/>
    </row>
    <row r="61610" spans="3:13" ht="12.75" customHeight="1" x14ac:dyDescent="0.25">
      <c r="C61610"/>
      <c r="M61610"/>
    </row>
    <row r="61611" spans="3:13" ht="12.75" customHeight="1" x14ac:dyDescent="0.25">
      <c r="C61611"/>
      <c r="M61611"/>
    </row>
    <row r="61612" spans="3:13" ht="12.75" customHeight="1" x14ac:dyDescent="0.25">
      <c r="C61612"/>
      <c r="M61612"/>
    </row>
    <row r="61613" spans="3:13" ht="12.75" customHeight="1" x14ac:dyDescent="0.25">
      <c r="C61613"/>
      <c r="M61613"/>
    </row>
    <row r="61614" spans="3:13" ht="12.75" customHeight="1" x14ac:dyDescent="0.25">
      <c r="C61614"/>
      <c r="M61614"/>
    </row>
    <row r="61615" spans="3:13" ht="12.75" customHeight="1" x14ac:dyDescent="0.25">
      <c r="C61615"/>
      <c r="M61615"/>
    </row>
    <row r="61616" spans="3:13" ht="12.75" customHeight="1" x14ac:dyDescent="0.25">
      <c r="C61616"/>
      <c r="M61616"/>
    </row>
    <row r="61617" spans="3:13" ht="12.75" customHeight="1" x14ac:dyDescent="0.25">
      <c r="C61617"/>
      <c r="M61617"/>
    </row>
    <row r="61618" spans="3:13" ht="12.75" customHeight="1" x14ac:dyDescent="0.25">
      <c r="C61618"/>
      <c r="M61618"/>
    </row>
    <row r="61619" spans="3:13" ht="12.75" customHeight="1" x14ac:dyDescent="0.25">
      <c r="C61619"/>
      <c r="M61619"/>
    </row>
    <row r="61620" spans="3:13" ht="12.75" customHeight="1" x14ac:dyDescent="0.25">
      <c r="C61620"/>
      <c r="M61620"/>
    </row>
    <row r="61621" spans="3:13" ht="12.75" customHeight="1" x14ac:dyDescent="0.25">
      <c r="C61621"/>
      <c r="M61621"/>
    </row>
    <row r="61622" spans="3:13" ht="12.75" customHeight="1" x14ac:dyDescent="0.25">
      <c r="C61622"/>
      <c r="M61622"/>
    </row>
    <row r="61623" spans="3:13" ht="12.75" customHeight="1" x14ac:dyDescent="0.25">
      <c r="C61623"/>
      <c r="M61623"/>
    </row>
    <row r="61624" spans="3:13" ht="12.75" customHeight="1" x14ac:dyDescent="0.25">
      <c r="C61624"/>
      <c r="M61624"/>
    </row>
    <row r="61625" spans="3:13" ht="12.75" customHeight="1" x14ac:dyDescent="0.25">
      <c r="C61625"/>
      <c r="M61625"/>
    </row>
    <row r="61626" spans="3:13" ht="12.75" customHeight="1" x14ac:dyDescent="0.25">
      <c r="C61626"/>
      <c r="M61626"/>
    </row>
    <row r="61627" spans="3:13" ht="12.75" customHeight="1" x14ac:dyDescent="0.25">
      <c r="C61627"/>
      <c r="M61627"/>
    </row>
    <row r="61628" spans="3:13" ht="12.75" customHeight="1" x14ac:dyDescent="0.25">
      <c r="C61628"/>
      <c r="M61628"/>
    </row>
    <row r="61629" spans="3:13" ht="12.75" customHeight="1" x14ac:dyDescent="0.25">
      <c r="C61629"/>
      <c r="M61629"/>
    </row>
    <row r="61630" spans="3:13" ht="12.75" customHeight="1" x14ac:dyDescent="0.25">
      <c r="C61630"/>
      <c r="M61630"/>
    </row>
    <row r="61631" spans="3:13" ht="12.75" customHeight="1" x14ac:dyDescent="0.25">
      <c r="C61631"/>
      <c r="M61631"/>
    </row>
    <row r="61632" spans="3:13" ht="12.75" customHeight="1" x14ac:dyDescent="0.25">
      <c r="C61632"/>
      <c r="M61632"/>
    </row>
    <row r="61633" spans="3:13" ht="12.75" customHeight="1" x14ac:dyDescent="0.25">
      <c r="C61633"/>
      <c r="M61633"/>
    </row>
    <row r="61634" spans="3:13" ht="12.75" customHeight="1" x14ac:dyDescent="0.25">
      <c r="C61634"/>
      <c r="M61634"/>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39" spans="3:13" ht="12.75" customHeight="1" x14ac:dyDescent="0.25">
      <c r="C61639"/>
      <c r="M61639"/>
    </row>
    <row r="61640" spans="3:13" ht="12.75" customHeight="1" x14ac:dyDescent="0.25">
      <c r="C61640"/>
      <c r="M61640"/>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5" spans="3:13" ht="12.75" customHeight="1" x14ac:dyDescent="0.25">
      <c r="C61645"/>
      <c r="M61645"/>
    </row>
    <row r="61646" spans="3:13" ht="12.75" customHeight="1" x14ac:dyDescent="0.25">
      <c r="C61646"/>
      <c r="M61646"/>
    </row>
    <row r="61647" spans="3:13" ht="12.75" customHeight="1" x14ac:dyDescent="0.25">
      <c r="C61647"/>
      <c r="M61647"/>
    </row>
    <row r="61648" spans="3:13" ht="12.75" customHeight="1" x14ac:dyDescent="0.25">
      <c r="C61648"/>
      <c r="M61648"/>
    </row>
    <row r="61649" spans="3:13" ht="12.75" customHeight="1" x14ac:dyDescent="0.25">
      <c r="C61649"/>
      <c r="M61649"/>
    </row>
    <row r="61650" spans="3:13" ht="12.75" customHeight="1" x14ac:dyDescent="0.25">
      <c r="C61650"/>
      <c r="M61650"/>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5" spans="3:13" ht="12.75" customHeight="1" x14ac:dyDescent="0.25">
      <c r="C61655"/>
      <c r="M61655"/>
    </row>
    <row r="61656" spans="3:13" ht="12.75" customHeight="1" x14ac:dyDescent="0.25">
      <c r="C61656"/>
      <c r="M61656"/>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1" spans="3:13" ht="12.75" customHeight="1" x14ac:dyDescent="0.25">
      <c r="C61661"/>
      <c r="M61661"/>
    </row>
    <row r="61662" spans="3:13" ht="12.75" customHeight="1" x14ac:dyDescent="0.25">
      <c r="C61662"/>
      <c r="M61662"/>
    </row>
    <row r="61663" spans="3:13" ht="12.75" customHeight="1" x14ac:dyDescent="0.25">
      <c r="C61663"/>
      <c r="M61663"/>
    </row>
    <row r="61664" spans="3:13" ht="12.75" customHeight="1" x14ac:dyDescent="0.25">
      <c r="C61664"/>
      <c r="M61664"/>
    </row>
    <row r="61665" spans="3:13" ht="12.75" customHeight="1" x14ac:dyDescent="0.25">
      <c r="C61665"/>
      <c r="M61665"/>
    </row>
    <row r="61666" spans="3:13" ht="12.75" customHeight="1" x14ac:dyDescent="0.25">
      <c r="C61666"/>
      <c r="M61666"/>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2" spans="3:13" ht="12.75" customHeight="1" x14ac:dyDescent="0.25">
      <c r="C61672"/>
      <c r="M61672"/>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8" spans="3:13" ht="12.75" customHeight="1" x14ac:dyDescent="0.25">
      <c r="C61678"/>
      <c r="M61678"/>
    </row>
    <row r="61679" spans="3:13" ht="12.75" customHeight="1" x14ac:dyDescent="0.25">
      <c r="C61679"/>
      <c r="M61679"/>
    </row>
    <row r="61680" spans="3:13" ht="12.75" customHeight="1" x14ac:dyDescent="0.25">
      <c r="C61680"/>
      <c r="M61680"/>
    </row>
    <row r="61681" spans="3:13" ht="12.75" customHeight="1" x14ac:dyDescent="0.25">
      <c r="C61681"/>
      <c r="M61681"/>
    </row>
    <row r="61682" spans="3:13" ht="12.75" customHeight="1" x14ac:dyDescent="0.25">
      <c r="C61682"/>
      <c r="M61682"/>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7" spans="3:13" ht="12.75" customHeight="1" x14ac:dyDescent="0.25">
      <c r="C61697"/>
      <c r="M61697"/>
    </row>
    <row r="61698" spans="3:13" ht="12.75" customHeight="1" x14ac:dyDescent="0.25">
      <c r="C61698"/>
      <c r="M61698"/>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12.75" customHeight="1" x14ac:dyDescent="0.25">
      <c r="C61713"/>
      <c r="M61713"/>
    </row>
    <row r="61714" spans="3:13" ht="12.75" customHeight="1" x14ac:dyDescent="0.25">
      <c r="C61714"/>
      <c r="M61714"/>
    </row>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0" spans="3:13" ht="12.75" customHeight="1" x14ac:dyDescent="0.25">
      <c r="C61730"/>
      <c r="M61730"/>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row r="65294" spans="3:13" ht="12.75" customHeight="1" x14ac:dyDescent="0.25">
      <c r="C65294"/>
      <c r="M65294"/>
    </row>
    <row r="65295" spans="3:13" ht="12.75" customHeight="1" x14ac:dyDescent="0.25">
      <c r="C65295"/>
      <c r="M65295"/>
    </row>
    <row r="65296" spans="3:13" ht="12.75" customHeight="1" x14ac:dyDescent="0.25">
      <c r="C65296"/>
      <c r="M65296"/>
    </row>
    <row r="65297" spans="3:13" ht="12.75" customHeight="1" x14ac:dyDescent="0.25">
      <c r="C65297"/>
      <c r="M65297"/>
    </row>
    <row r="65298" spans="3:13" ht="12.75" customHeight="1" x14ac:dyDescent="0.25">
      <c r="C65298"/>
      <c r="M65298"/>
    </row>
    <row r="65299" spans="3:13" ht="12.75" customHeight="1" x14ac:dyDescent="0.25">
      <c r="C65299"/>
      <c r="M65299"/>
    </row>
    <row r="65300" spans="3:13" ht="12.75" customHeight="1" x14ac:dyDescent="0.25">
      <c r="C65300"/>
      <c r="M65300"/>
    </row>
    <row r="65301" spans="3:13" ht="12.75" customHeight="1" x14ac:dyDescent="0.25">
      <c r="C65301"/>
      <c r="M65301"/>
    </row>
    <row r="65302" spans="3:13" ht="12.75" customHeight="1" x14ac:dyDescent="0.25">
      <c r="C65302"/>
      <c r="M65302"/>
    </row>
    <row r="65303" spans="3:13" ht="12.75" customHeight="1" x14ac:dyDescent="0.25">
      <c r="C65303"/>
      <c r="M65303"/>
    </row>
    <row r="65304" spans="3:13" ht="12.75" customHeight="1" x14ac:dyDescent="0.25">
      <c r="C65304"/>
      <c r="M65304"/>
    </row>
    <row r="65305" spans="3:13" ht="12.75" customHeight="1" x14ac:dyDescent="0.25">
      <c r="C65305"/>
      <c r="M65305"/>
    </row>
    <row r="65306" spans="3:13" ht="12.75" customHeight="1" x14ac:dyDescent="0.25">
      <c r="C65306"/>
      <c r="M65306"/>
    </row>
    <row r="65307" spans="3:13" ht="12.75" customHeight="1" x14ac:dyDescent="0.25">
      <c r="C65307"/>
      <c r="M65307"/>
    </row>
    <row r="65308" spans="3:13" ht="12.75" customHeight="1" x14ac:dyDescent="0.25">
      <c r="C65308"/>
      <c r="M65308"/>
    </row>
    <row r="65309" spans="3:13" ht="12.75" customHeight="1" x14ac:dyDescent="0.25">
      <c r="C65309"/>
      <c r="M65309"/>
    </row>
    <row r="65310" spans="3:13" ht="12.75" customHeight="1" x14ac:dyDescent="0.25">
      <c r="C65310"/>
      <c r="M65310"/>
    </row>
    <row r="65311" spans="3:13" ht="12.75" customHeight="1" x14ac:dyDescent="0.25">
      <c r="C65311"/>
      <c r="M65311"/>
    </row>
    <row r="65312" spans="3:13" ht="12.75" customHeight="1" x14ac:dyDescent="0.25">
      <c r="C65312"/>
      <c r="M65312"/>
    </row>
    <row r="65313" spans="3:13" ht="12.75" customHeight="1" x14ac:dyDescent="0.25">
      <c r="C65313"/>
      <c r="M65313"/>
    </row>
    <row r="65314" spans="3:13" ht="12.75" customHeight="1" x14ac:dyDescent="0.25">
      <c r="C65314"/>
      <c r="M65314"/>
    </row>
    <row r="65315" spans="3:13" ht="12.75" customHeight="1" x14ac:dyDescent="0.25">
      <c r="C65315"/>
      <c r="M65315"/>
    </row>
    <row r="65316" spans="3:13" ht="12.75" customHeight="1" x14ac:dyDescent="0.25">
      <c r="C65316"/>
      <c r="M65316"/>
    </row>
    <row r="65317" spans="3:13" ht="12.75" customHeight="1" x14ac:dyDescent="0.25">
      <c r="C65317"/>
      <c r="M65317"/>
    </row>
    <row r="65318" spans="3:13" ht="12.75" customHeight="1" x14ac:dyDescent="0.25">
      <c r="C65318"/>
      <c r="M65318"/>
    </row>
    <row r="65319" spans="3:13" ht="12.75" customHeight="1" x14ac:dyDescent="0.25">
      <c r="C65319"/>
      <c r="M65319"/>
    </row>
    <row r="65320" spans="3:13" ht="12.75" customHeight="1" x14ac:dyDescent="0.25">
      <c r="C65320"/>
      <c r="M65320"/>
    </row>
    <row r="65321" spans="3:13" ht="12.75" customHeight="1" x14ac:dyDescent="0.25">
      <c r="C65321"/>
      <c r="M65321"/>
    </row>
    <row r="65322" spans="3:13" ht="12.75" customHeight="1" x14ac:dyDescent="0.25">
      <c r="C65322"/>
      <c r="M65322"/>
    </row>
    <row r="65323" spans="3:13" ht="12.75" customHeight="1" x14ac:dyDescent="0.25">
      <c r="C65323"/>
      <c r="M65323"/>
    </row>
    <row r="65324" spans="3:13" ht="12.75" customHeight="1" x14ac:dyDescent="0.25">
      <c r="C65324"/>
      <c r="M65324"/>
    </row>
    <row r="65325" spans="3:13" ht="12.75" customHeight="1" x14ac:dyDescent="0.25">
      <c r="C65325"/>
      <c r="M65325"/>
    </row>
    <row r="65326" spans="3:13" ht="12.75" customHeight="1" x14ac:dyDescent="0.25">
      <c r="C65326"/>
      <c r="M65326"/>
    </row>
    <row r="65327" spans="3:13" ht="12.75" customHeight="1" x14ac:dyDescent="0.25">
      <c r="C65327"/>
      <c r="M65327"/>
    </row>
    <row r="65328" spans="3:13" ht="12.75" customHeight="1" x14ac:dyDescent="0.25">
      <c r="C65328"/>
      <c r="M65328"/>
    </row>
    <row r="65329" spans="3:13" ht="12.75" customHeight="1" x14ac:dyDescent="0.25">
      <c r="C65329"/>
      <c r="M65329"/>
    </row>
    <row r="65330" spans="3:13" ht="12.75" customHeight="1" x14ac:dyDescent="0.25">
      <c r="C65330"/>
      <c r="M65330"/>
    </row>
    <row r="65331" spans="3:13" ht="12.75" customHeight="1" x14ac:dyDescent="0.25">
      <c r="C65331"/>
      <c r="M65331"/>
    </row>
    <row r="65332" spans="3:13" ht="12.75" customHeight="1" x14ac:dyDescent="0.25">
      <c r="C65332"/>
      <c r="M65332"/>
    </row>
    <row r="65333" spans="3:13" ht="12.75" customHeight="1" x14ac:dyDescent="0.25">
      <c r="C65333"/>
      <c r="M65333"/>
    </row>
    <row r="65334" spans="3:13" ht="12.75" customHeight="1" x14ac:dyDescent="0.25">
      <c r="C65334"/>
      <c r="M65334"/>
    </row>
    <row r="65335" spans="3:13" ht="12.75" customHeight="1" x14ac:dyDescent="0.25">
      <c r="C65335"/>
      <c r="M65335"/>
    </row>
    <row r="65336" spans="3:13" ht="12.75" customHeight="1" x14ac:dyDescent="0.25">
      <c r="C65336"/>
      <c r="M65336"/>
    </row>
    <row r="65337" spans="3:13" ht="12.75" customHeight="1" x14ac:dyDescent="0.25">
      <c r="C65337"/>
      <c r="M65337"/>
    </row>
    <row r="65338" spans="3:13" ht="12.75" customHeight="1" x14ac:dyDescent="0.25">
      <c r="C65338"/>
      <c r="M65338"/>
    </row>
    <row r="65339" spans="3:13" ht="12.75" customHeight="1" x14ac:dyDescent="0.25">
      <c r="C65339"/>
      <c r="M65339"/>
    </row>
    <row r="65340" spans="3:13" ht="12.75" customHeight="1" x14ac:dyDescent="0.25">
      <c r="C65340"/>
      <c r="M65340"/>
    </row>
    <row r="65341" spans="3:13" ht="12.75" customHeight="1" x14ac:dyDescent="0.25">
      <c r="C65341"/>
      <c r="M65341"/>
    </row>
    <row r="65342" spans="3:13" ht="12.75" customHeight="1" x14ac:dyDescent="0.25">
      <c r="C65342"/>
      <c r="M65342"/>
    </row>
    <row r="65343" spans="3:13" ht="12.75" customHeight="1" x14ac:dyDescent="0.25">
      <c r="C65343"/>
      <c r="M65343"/>
    </row>
    <row r="65344" spans="3:13" ht="12.75" customHeight="1" x14ac:dyDescent="0.25">
      <c r="C65344"/>
      <c r="M65344"/>
    </row>
    <row r="65345" spans="3:13" ht="12.75" customHeight="1" x14ac:dyDescent="0.25">
      <c r="C65345"/>
      <c r="M65345"/>
    </row>
    <row r="65346" spans="3:13" ht="12.75" customHeight="1" x14ac:dyDescent="0.25">
      <c r="C65346"/>
      <c r="M65346"/>
    </row>
    <row r="65347" spans="3:13" ht="12.75" customHeight="1" x14ac:dyDescent="0.25">
      <c r="C65347"/>
      <c r="M65347"/>
    </row>
    <row r="65348" spans="3:13" ht="12.75" customHeight="1" x14ac:dyDescent="0.25">
      <c r="C65348"/>
      <c r="M65348"/>
    </row>
    <row r="65349" spans="3:13" ht="12.75" customHeight="1" x14ac:dyDescent="0.25">
      <c r="C65349"/>
      <c r="M65349"/>
    </row>
    <row r="65350" spans="3:13" ht="12.75" customHeight="1" x14ac:dyDescent="0.25">
      <c r="C65350"/>
      <c r="M65350"/>
    </row>
    <row r="65351" spans="3:13" ht="12.75" customHeight="1" x14ac:dyDescent="0.25">
      <c r="C65351"/>
      <c r="M65351"/>
    </row>
    <row r="65352" spans="3:13" ht="12.75" customHeight="1" x14ac:dyDescent="0.25">
      <c r="C65352"/>
      <c r="M65352"/>
    </row>
    <row r="65353" spans="3:13" ht="12.75" customHeight="1" x14ac:dyDescent="0.25">
      <c r="C65353"/>
      <c r="M65353"/>
    </row>
    <row r="65354" spans="3:13" ht="12.75" customHeight="1" x14ac:dyDescent="0.25">
      <c r="C65354"/>
      <c r="M65354"/>
    </row>
    <row r="65355" spans="3:13" ht="12.75" customHeight="1" x14ac:dyDescent="0.25">
      <c r="C65355"/>
      <c r="M65355"/>
    </row>
    <row r="65356" spans="3:13" ht="12.75" customHeight="1" x14ac:dyDescent="0.25">
      <c r="C65356"/>
      <c r="M65356"/>
    </row>
    <row r="65357" spans="3:13" ht="12.75" customHeight="1" x14ac:dyDescent="0.25">
      <c r="C65357"/>
      <c r="M65357"/>
    </row>
    <row r="65358" spans="3:13" ht="12.75" customHeight="1" x14ac:dyDescent="0.25">
      <c r="C65358"/>
      <c r="M65358"/>
    </row>
    <row r="65359" spans="3:13" ht="12.75" customHeight="1" x14ac:dyDescent="0.25">
      <c r="C65359"/>
      <c r="M65359"/>
    </row>
    <row r="65360" spans="3:13" ht="12.75" customHeight="1" x14ac:dyDescent="0.25">
      <c r="C65360"/>
      <c r="M65360"/>
    </row>
    <row r="65361" spans="3:13" ht="12.75" customHeight="1" x14ac:dyDescent="0.25">
      <c r="C65361"/>
      <c r="M65361"/>
    </row>
    <row r="65362" spans="3:13" ht="12.75" customHeight="1" x14ac:dyDescent="0.25">
      <c r="C65362"/>
      <c r="M65362"/>
    </row>
    <row r="65363" spans="3:13" ht="12.75" customHeight="1" x14ac:dyDescent="0.25">
      <c r="C65363"/>
      <c r="M65363"/>
    </row>
    <row r="65364" spans="3:13" ht="12.75" customHeight="1" x14ac:dyDescent="0.25">
      <c r="C65364"/>
      <c r="M65364"/>
    </row>
    <row r="65365" spans="3:13" ht="12.75" customHeight="1" x14ac:dyDescent="0.25">
      <c r="C65365"/>
      <c r="M65365"/>
    </row>
    <row r="65366" spans="3:13" ht="12.75" customHeight="1" x14ac:dyDescent="0.25">
      <c r="C65366"/>
      <c r="M65366"/>
    </row>
    <row r="65367" spans="3:13" ht="12.75" customHeight="1" x14ac:dyDescent="0.25">
      <c r="C65367"/>
      <c r="M65367"/>
    </row>
    <row r="65368" spans="3:13" ht="12.75" customHeight="1" x14ac:dyDescent="0.25">
      <c r="C65368"/>
      <c r="M65368"/>
    </row>
    <row r="65369" spans="3:13" ht="12.75" customHeight="1" x14ac:dyDescent="0.25">
      <c r="C65369"/>
      <c r="M65369"/>
    </row>
    <row r="65370" spans="3:13" ht="12.75" customHeight="1" x14ac:dyDescent="0.25">
      <c r="C65370"/>
      <c r="M65370"/>
    </row>
    <row r="65371" spans="3:13" ht="12.75" customHeight="1" x14ac:dyDescent="0.25">
      <c r="C65371"/>
      <c r="M65371"/>
    </row>
    <row r="65372" spans="3:13" ht="12.75" customHeight="1" x14ac:dyDescent="0.25">
      <c r="C65372"/>
      <c r="M65372"/>
    </row>
    <row r="65373" spans="3:13" ht="12.75" customHeight="1" x14ac:dyDescent="0.25">
      <c r="C65373"/>
      <c r="M65373"/>
    </row>
    <row r="65374" spans="3:13" ht="12.75" customHeight="1" x14ac:dyDescent="0.25">
      <c r="C65374"/>
      <c r="M65374"/>
    </row>
    <row r="65375" spans="3:13" ht="12.75" customHeight="1" x14ac:dyDescent="0.25">
      <c r="C65375"/>
      <c r="M65375"/>
    </row>
    <row r="65376" spans="3:13" ht="12.75" customHeight="1" x14ac:dyDescent="0.25">
      <c r="C65376"/>
      <c r="M65376"/>
    </row>
    <row r="65377" spans="3:13" ht="12.75" customHeight="1" x14ac:dyDescent="0.25">
      <c r="C65377"/>
      <c r="M65377"/>
    </row>
    <row r="65378" spans="3:13" ht="12.75" customHeight="1" x14ac:dyDescent="0.25">
      <c r="C65378"/>
      <c r="M65378"/>
    </row>
    <row r="65379" spans="3:13" ht="12.75" customHeight="1" x14ac:dyDescent="0.25">
      <c r="C65379"/>
      <c r="M65379"/>
    </row>
    <row r="65380" spans="3:13" ht="12.75" customHeight="1" x14ac:dyDescent="0.25">
      <c r="C65380"/>
      <c r="M65380"/>
    </row>
    <row r="65381" spans="3:13" ht="12.75" customHeight="1" x14ac:dyDescent="0.25">
      <c r="C65381"/>
      <c r="M65381"/>
    </row>
    <row r="65382" spans="3:13" ht="12.75" customHeight="1" x14ac:dyDescent="0.25">
      <c r="C65382"/>
      <c r="M65382"/>
    </row>
    <row r="65383" spans="3:13" ht="12.75" customHeight="1" x14ac:dyDescent="0.25">
      <c r="C65383"/>
      <c r="M65383"/>
    </row>
    <row r="65384" spans="3:13" ht="12.75" customHeight="1" x14ac:dyDescent="0.25">
      <c r="C65384"/>
      <c r="M65384"/>
    </row>
    <row r="65385" spans="3:13" ht="12.75" customHeight="1" x14ac:dyDescent="0.25">
      <c r="C65385"/>
      <c r="M65385"/>
    </row>
    <row r="65386" spans="3:13" ht="12.75" customHeight="1" x14ac:dyDescent="0.25">
      <c r="C65386"/>
      <c r="M65386"/>
    </row>
    <row r="65387" spans="3:13" ht="12.75" customHeight="1" x14ac:dyDescent="0.25">
      <c r="C65387"/>
      <c r="M65387"/>
    </row>
    <row r="65388" spans="3:13" ht="12.75" customHeight="1" x14ac:dyDescent="0.25">
      <c r="C65388"/>
      <c r="M65388"/>
    </row>
    <row r="65389" spans="3:13" ht="12.75" customHeight="1" x14ac:dyDescent="0.25">
      <c r="C65389"/>
      <c r="M65389"/>
    </row>
    <row r="65390" spans="3:13" ht="12.75" customHeight="1" x14ac:dyDescent="0.25">
      <c r="C65390"/>
      <c r="M65390"/>
    </row>
    <row r="65391" spans="3:13" ht="12.75" customHeight="1" x14ac:dyDescent="0.25">
      <c r="C65391"/>
      <c r="M65391"/>
    </row>
    <row r="65392" spans="3:13" ht="12.75" customHeight="1" x14ac:dyDescent="0.25">
      <c r="C65392"/>
      <c r="M65392"/>
    </row>
    <row r="65393" spans="3:13" ht="12.75" customHeight="1" x14ac:dyDescent="0.25">
      <c r="C65393"/>
      <c r="M65393"/>
    </row>
    <row r="65394" spans="3:13" ht="12.75" customHeight="1" x14ac:dyDescent="0.25">
      <c r="C65394"/>
      <c r="M65394"/>
    </row>
    <row r="65395" spans="3:13" ht="12.75" customHeight="1" x14ac:dyDescent="0.25">
      <c r="C65395"/>
      <c r="M65395"/>
    </row>
    <row r="65396" spans="3:13" ht="12.75" customHeight="1" x14ac:dyDescent="0.25">
      <c r="C65396"/>
      <c r="M65396"/>
    </row>
    <row r="65397" spans="3:13" ht="12.75" customHeight="1" x14ac:dyDescent="0.25">
      <c r="C65397"/>
      <c r="M65397"/>
    </row>
    <row r="65398" spans="3:13" ht="12.75" customHeight="1" x14ac:dyDescent="0.25">
      <c r="C65398"/>
      <c r="M65398"/>
    </row>
    <row r="65399" spans="3:13" ht="12.75" customHeight="1" x14ac:dyDescent="0.25">
      <c r="C65399"/>
      <c r="M65399"/>
    </row>
    <row r="65400" spans="3:13" ht="12.75" customHeight="1" x14ac:dyDescent="0.25">
      <c r="C65400"/>
      <c r="M65400"/>
    </row>
    <row r="65401" spans="3:13" ht="12.75" customHeight="1" x14ac:dyDescent="0.25">
      <c r="C65401"/>
      <c r="M65401"/>
    </row>
    <row r="65402" spans="3:13" ht="12.75" customHeight="1" x14ac:dyDescent="0.25">
      <c r="C65402"/>
      <c r="M65402"/>
    </row>
    <row r="65403" spans="3:13" ht="12.75" customHeight="1" x14ac:dyDescent="0.25">
      <c r="C65403"/>
      <c r="M65403"/>
    </row>
    <row r="65404" spans="3:13" ht="12.75" customHeight="1" x14ac:dyDescent="0.25">
      <c r="C65404"/>
      <c r="M65404"/>
    </row>
    <row r="65405" spans="3:13" ht="12.75" customHeight="1" x14ac:dyDescent="0.25">
      <c r="C65405"/>
      <c r="M65405"/>
    </row>
    <row r="65406" spans="3:13" ht="12.75" customHeight="1" x14ac:dyDescent="0.25">
      <c r="C65406"/>
      <c r="M65406"/>
    </row>
    <row r="65407" spans="3:13" ht="12.75" customHeight="1" x14ac:dyDescent="0.25">
      <c r="C65407"/>
      <c r="M65407"/>
    </row>
    <row r="65408" spans="3:13" ht="12.75" customHeight="1" x14ac:dyDescent="0.25">
      <c r="C65408"/>
      <c r="M65408"/>
    </row>
    <row r="65409" spans="3:13" ht="12.75" customHeight="1" x14ac:dyDescent="0.25">
      <c r="C65409"/>
      <c r="M65409"/>
    </row>
    <row r="65410" spans="3:13" ht="12.75" customHeight="1" x14ac:dyDescent="0.25">
      <c r="C65410"/>
      <c r="M65410"/>
    </row>
    <row r="65411" spans="3:13" ht="12.75" customHeight="1" x14ac:dyDescent="0.25">
      <c r="C65411"/>
      <c r="M65411"/>
    </row>
    <row r="65412" spans="3:13" ht="12.75" customHeight="1" x14ac:dyDescent="0.25">
      <c r="C65412"/>
      <c r="M65412"/>
    </row>
    <row r="65413" spans="3:13" ht="12.75" customHeight="1" x14ac:dyDescent="0.25">
      <c r="C65413"/>
      <c r="M65413"/>
    </row>
    <row r="65414" spans="3:13" ht="12.75" customHeight="1" x14ac:dyDescent="0.25">
      <c r="C65414"/>
      <c r="M65414"/>
    </row>
    <row r="65415" spans="3:13" ht="12.75" customHeight="1" x14ac:dyDescent="0.25">
      <c r="C65415"/>
      <c r="M65415"/>
    </row>
    <row r="65416" spans="3:13" ht="12.75" customHeight="1" x14ac:dyDescent="0.25">
      <c r="C65416"/>
      <c r="M65416"/>
    </row>
    <row r="65417" spans="3:13" ht="12.75" customHeight="1" x14ac:dyDescent="0.25">
      <c r="C65417"/>
      <c r="M65417"/>
    </row>
    <row r="65418" spans="3:13" ht="12.75" customHeight="1" x14ac:dyDescent="0.25">
      <c r="C65418"/>
      <c r="M65418"/>
    </row>
    <row r="65419" spans="3:13" ht="12.75" customHeight="1" x14ac:dyDescent="0.25">
      <c r="C65419"/>
      <c r="M65419"/>
    </row>
    <row r="65420" spans="3:13" ht="12.75" customHeight="1" x14ac:dyDescent="0.25">
      <c r="C65420"/>
      <c r="M65420"/>
    </row>
    <row r="65421" spans="3:13" ht="12.75" customHeight="1" x14ac:dyDescent="0.25">
      <c r="C65421"/>
      <c r="M65421"/>
    </row>
    <row r="65422" spans="3:13" ht="12.75" customHeight="1" x14ac:dyDescent="0.25">
      <c r="C65422"/>
      <c r="M65422"/>
    </row>
    <row r="65423" spans="3:13" ht="12.75" customHeight="1" x14ac:dyDescent="0.25">
      <c r="C65423"/>
      <c r="M65423"/>
    </row>
    <row r="65424" spans="3:13" ht="12.75" customHeight="1" x14ac:dyDescent="0.25">
      <c r="C65424"/>
      <c r="M65424"/>
    </row>
    <row r="65425" spans="3:13" ht="12.75" customHeight="1" x14ac:dyDescent="0.25">
      <c r="C65425"/>
      <c r="M65425"/>
    </row>
    <row r="65426" spans="3:13" ht="12.75" customHeight="1" x14ac:dyDescent="0.25">
      <c r="C65426"/>
      <c r="M65426"/>
    </row>
    <row r="65427" spans="3:13" ht="12.75" customHeight="1" x14ac:dyDescent="0.25">
      <c r="C65427"/>
      <c r="M65427"/>
    </row>
    <row r="65428" spans="3:13" ht="12.75" customHeight="1" x14ac:dyDescent="0.25">
      <c r="C65428"/>
      <c r="M65428"/>
    </row>
    <row r="65429" spans="3:13" ht="12.75" customHeight="1" x14ac:dyDescent="0.25">
      <c r="C65429"/>
      <c r="M65429"/>
    </row>
    <row r="65430" spans="3:13" ht="12.75" customHeight="1" x14ac:dyDescent="0.25">
      <c r="C65430"/>
      <c r="M65430"/>
    </row>
    <row r="65431" spans="3:13" ht="12.75" customHeight="1" x14ac:dyDescent="0.25">
      <c r="C65431"/>
      <c r="M65431"/>
    </row>
    <row r="65432" spans="3:13" ht="12.75" customHeight="1" x14ac:dyDescent="0.25">
      <c r="C65432"/>
      <c r="M65432"/>
    </row>
    <row r="65433" spans="3:13" ht="12.75" customHeight="1" x14ac:dyDescent="0.25">
      <c r="C65433"/>
      <c r="M65433"/>
    </row>
  </sheetData>
  <sheetProtection algorithmName="SHA-512" hashValue="4bvArVqwP8YLo6Lvsb4AHlQjfnEOzthQbEkU25HXL32oKV5XWkN297IuXKQpzS9CIBi61oDXqhI2a4N02QzIvQ==" saltValue="EQCpHV6XH3wsxKmAFk7FmA==" spinCount="100000" sheet="1" objects="1" scenarios="1" autoFilter="0"/>
  <autoFilter ref="C15:C165" xr:uid="{00000000-0009-0000-0000-000005000000}"/>
  <mergeCells count="21">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 ref="AG6:AH6"/>
    <mergeCell ref="AG7:AH7"/>
    <mergeCell ref="AA9:AB9"/>
    <mergeCell ref="AC9:AH9"/>
    <mergeCell ref="AA10:AB10"/>
    <mergeCell ref="AC10:AH10"/>
  </mergeCells>
  <phoneticPr fontId="38" type="noConversion"/>
  <conditionalFormatting sqref="D14:I14 D33:I46 D58:I164 D21:I22">
    <cfRule type="expression" dxfId="329" priority="12076" stopIfTrue="1">
      <formula>$B14=1</formula>
    </cfRule>
    <cfRule type="expression" dxfId="328" priority="12077" stopIfTrue="1">
      <formula>OR($B14=0,$B14=2,$B14=3,$B14=4)</formula>
    </cfRule>
  </conditionalFormatting>
  <conditionalFormatting sqref="M12:N165">
    <cfRule type="expression" dxfId="327" priority="12078" stopIfTrue="1">
      <formula>ACOMPANHAMENTO="BM"</formula>
    </cfRule>
    <cfRule type="expression" dxfId="326" priority="12079" stopIfTrue="1">
      <formula>OR($B12=0,$B12=2,$B12=3,$B12=4)</formula>
    </cfRule>
    <cfRule type="expression" dxfId="325" priority="12080" stopIfTrue="1">
      <formula>$B12=1</formula>
    </cfRule>
  </conditionalFormatting>
  <conditionalFormatting sqref="K12:K165">
    <cfRule type="expression" dxfId="324" priority="12081" stopIfTrue="1">
      <formula>OR(ACOMPANHAMENTO="BM",$A$12&lt;&gt;"Manual")</formula>
    </cfRule>
    <cfRule type="expression" dxfId="323" priority="12082" stopIfTrue="1">
      <formula>$B12=1</formula>
    </cfRule>
    <cfRule type="expression" dxfId="322" priority="12083" stopIfTrue="1">
      <formula>OR($B12=2,$B12=3,$B12=4,$B12=0)</formula>
    </cfRule>
  </conditionalFormatting>
  <conditionalFormatting sqref="O12:AI165">
    <cfRule type="expression" dxfId="321" priority="5667" stopIfTrue="1">
      <formula>ACOMPANHAMENTO="BM"</formula>
    </cfRule>
    <cfRule type="expression" dxfId="320" priority="12085" stopIfTrue="1">
      <formula>AND(O$12&lt;&gt;".",OR($B12=0,$B12=2,$B12=3,$B12=4,AND(O$12="",$B12&lt;&gt;"Empty"),OFFSET(O$1,0,-1)=0))</formula>
    </cfRule>
    <cfRule type="expression" dxfId="319" priority="12086" stopIfTrue="1">
      <formula>AND($B12=1,O$1=1)</formula>
    </cfRule>
  </conditionalFormatting>
  <conditionalFormatting sqref="Q15:AH15">
    <cfRule type="expression" dxfId="318" priority="12084">
      <formula>Q$11="▼"</formula>
    </cfRule>
  </conditionalFormatting>
  <conditionalFormatting sqref="O15">
    <cfRule type="expression" dxfId="317" priority="5666">
      <formula>O$11="▼"</formula>
    </cfRule>
  </conditionalFormatting>
  <conditionalFormatting sqref="N14 N33:N46 N58:N164 N21:N22">
    <cfRule type="expression" dxfId="316" priority="2701">
      <formula>$J14="►"</formula>
    </cfRule>
  </conditionalFormatting>
  <conditionalFormatting sqref="N12">
    <cfRule type="cellIs" dxfId="315" priority="2699" operator="notEqual">
      <formula>"FRENTES DE OBRA:"</formula>
    </cfRule>
  </conditionalFormatting>
  <conditionalFormatting sqref="Q14:AI14 Q33:AI46 Q58:AI163">
    <cfRule type="expression" dxfId="314" priority="484">
      <formula>Q14&lt;&gt;ROUND(Q14,2)</formula>
    </cfRule>
  </conditionalFormatting>
  <conditionalFormatting sqref="H14 H33:H46 H58:H164 H21:H22">
    <cfRule type="expression" dxfId="313" priority="207">
      <formula>$J14="►S"</formula>
    </cfRule>
  </conditionalFormatting>
  <conditionalFormatting sqref="D16:I19 D23:I27">
    <cfRule type="expression" dxfId="312" priority="184" stopIfTrue="1">
      <formula>$B16=1</formula>
    </cfRule>
    <cfRule type="expression" dxfId="311" priority="185" stopIfTrue="1">
      <formula>OR($B16=0,$B16=2,$B16=3,$B16=4)</formula>
    </cfRule>
  </conditionalFormatting>
  <conditionalFormatting sqref="N16:N19 N23:N27">
    <cfRule type="expression" dxfId="310" priority="183">
      <formula>$J16="►"</formula>
    </cfRule>
  </conditionalFormatting>
  <conditionalFormatting sqref="Q16:AI19 Q23:AI27">
    <cfRule type="expression" dxfId="309" priority="182">
      <formula>Q16&lt;&gt;ROUND(Q16,2)</formula>
    </cfRule>
  </conditionalFormatting>
  <conditionalFormatting sqref="H16:H19 H23:H27">
    <cfRule type="expression" dxfId="308" priority="181">
      <formula>$J16="►S"</formula>
    </cfRule>
  </conditionalFormatting>
  <conditionalFormatting sqref="D28:I30">
    <cfRule type="expression" dxfId="307" priority="179" stopIfTrue="1">
      <formula>$B28=1</formula>
    </cfRule>
    <cfRule type="expression" dxfId="306" priority="180" stopIfTrue="1">
      <formula>OR($B28=0,$B28=2,$B28=3,$B28=4)</formula>
    </cfRule>
  </conditionalFormatting>
  <conditionalFormatting sqref="N28:N30">
    <cfRule type="expression" dxfId="305" priority="178">
      <formula>$J28="►"</formula>
    </cfRule>
  </conditionalFormatting>
  <conditionalFormatting sqref="Q28:AI30">
    <cfRule type="expression" dxfId="304" priority="177">
      <formula>Q28&lt;&gt;ROUND(Q28,2)</formula>
    </cfRule>
  </conditionalFormatting>
  <conditionalFormatting sqref="H28:H30">
    <cfRule type="expression" dxfId="303" priority="176">
      <formula>$J28="►S"</formula>
    </cfRule>
  </conditionalFormatting>
  <conditionalFormatting sqref="Q164:AI164">
    <cfRule type="expression" dxfId="302" priority="157">
      <formula>Q164&lt;&gt;ROUND(Q164,2)</formula>
    </cfRule>
  </conditionalFormatting>
  <conditionalFormatting sqref="Q21:AI22">
    <cfRule type="expression" dxfId="301" priority="42">
      <formula>Q21&lt;&gt;ROUND(Q21,2)</formula>
    </cfRule>
  </conditionalFormatting>
  <conditionalFormatting sqref="D20:I20">
    <cfRule type="expression" dxfId="300" priority="39" stopIfTrue="1">
      <formula>$B20=1</formula>
    </cfRule>
    <cfRule type="expression" dxfId="299" priority="40" stopIfTrue="1">
      <formula>OR($B20=0,$B20=2,$B20=3,$B20=4)</formula>
    </cfRule>
  </conditionalFormatting>
  <conditionalFormatting sqref="N20">
    <cfRule type="expression" dxfId="298" priority="38">
      <formula>$J20="►"</formula>
    </cfRule>
  </conditionalFormatting>
  <conditionalFormatting sqref="Q20:AI20">
    <cfRule type="expression" dxfId="297" priority="37">
      <formula>Q20&lt;&gt;ROUND(Q20,2)</formula>
    </cfRule>
  </conditionalFormatting>
  <conditionalFormatting sqref="H20">
    <cfRule type="expression" dxfId="296" priority="36">
      <formula>$J20="►S"</formula>
    </cfRule>
  </conditionalFormatting>
  <conditionalFormatting sqref="D31:I32">
    <cfRule type="expression" dxfId="295" priority="34" stopIfTrue="1">
      <formula>$B31=1</formula>
    </cfRule>
    <cfRule type="expression" dxfId="294" priority="35" stopIfTrue="1">
      <formula>OR($B31=0,$B31=2,$B31=3,$B31=4)</formula>
    </cfRule>
  </conditionalFormatting>
  <conditionalFormatting sqref="N31:N32">
    <cfRule type="expression" dxfId="293" priority="33">
      <formula>$J31="►"</formula>
    </cfRule>
  </conditionalFormatting>
  <conditionalFormatting sqref="Q31:AI32">
    <cfRule type="expression" dxfId="292" priority="32">
      <formula>Q31&lt;&gt;ROUND(Q31,2)</formula>
    </cfRule>
  </conditionalFormatting>
  <conditionalFormatting sqref="H31:H32">
    <cfRule type="expression" dxfId="291" priority="31">
      <formula>$J31="►S"</formula>
    </cfRule>
  </conditionalFormatting>
  <conditionalFormatting sqref="D47:I48">
    <cfRule type="expression" dxfId="290" priority="19" stopIfTrue="1">
      <formula>$B47=1</formula>
    </cfRule>
    <cfRule type="expression" dxfId="289" priority="20" stopIfTrue="1">
      <formula>OR($B47=0,$B47=2,$B47=3,$B47=4)</formula>
    </cfRule>
  </conditionalFormatting>
  <conditionalFormatting sqref="N47:N48">
    <cfRule type="expression" dxfId="288" priority="18">
      <formula>$J47="►"</formula>
    </cfRule>
  </conditionalFormatting>
  <conditionalFormatting sqref="Q47:AI48">
    <cfRule type="expression" dxfId="287" priority="17">
      <formula>Q47&lt;&gt;ROUND(Q47,2)</formula>
    </cfRule>
  </conditionalFormatting>
  <conditionalFormatting sqref="H47:H48">
    <cfRule type="expression" dxfId="286" priority="16">
      <formula>$J47="►S"</formula>
    </cfRule>
  </conditionalFormatting>
  <conditionalFormatting sqref="D49:I57">
    <cfRule type="expression" dxfId="285" priority="14" stopIfTrue="1">
      <formula>$B49=1</formula>
    </cfRule>
    <cfRule type="expression" dxfId="284" priority="15" stopIfTrue="1">
      <formula>OR($B49=0,$B49=2,$B49=3,$B49=4)</formula>
    </cfRule>
  </conditionalFormatting>
  <conditionalFormatting sqref="N49:N57">
    <cfRule type="expression" dxfId="283" priority="13">
      <formula>$J49="►"</formula>
    </cfRule>
  </conditionalFormatting>
  <conditionalFormatting sqref="Q49:AI57">
    <cfRule type="expression" dxfId="282" priority="12">
      <formula>Q49&lt;&gt;ROUND(Q49,2)</formula>
    </cfRule>
  </conditionalFormatting>
  <conditionalFormatting sqref="H49:H57">
    <cfRule type="expression" dxfId="281" priority="11">
      <formula>$J49="►S"</formula>
    </cfRule>
  </conditionalFormatting>
  <dataValidations count="4">
    <dataValidation type="decimal" operator="greaterThan" allowBlank="1" showErrorMessage="1" error="Apenas números decimais maiores que zero." sqref="O14 Q14:AH14 O16:O164 Q16:AH164"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164"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164"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&amp;LPMv3.13&amp;R&amp;P / &amp;N</oddFooter>
  </headerFooter>
  <colBreaks count="1" manualBreakCount="1">
    <brk id="3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85" zoomScaleNormal="85"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3.2" x14ac:dyDescent="0.25"/>
  <cols>
    <col min="1" max="1" width="3.5546875" customWidth="1"/>
    <col min="2" max="2" width="8.109375" customWidth="1"/>
    <col min="3" max="3" width="36.88671875" customWidth="1"/>
    <col min="4" max="4" width="0.88671875" customWidth="1"/>
    <col min="5" max="6" width="9.109375" hidden="1" customWidth="1"/>
    <col min="7" max="31" width="5.5546875" customWidth="1"/>
    <col min="32" max="32" width="5.5546875" hidden="1" customWidth="1"/>
  </cols>
  <sheetData>
    <row r="1" spans="1:31" hidden="1" x14ac:dyDescent="0.25">
      <c r="A1" s="7" t="e">
        <f ca="1">IF(AUTOEVENTO="Manual",IF(EVENTOS!$F1&gt;0,"F",""),IF(AND(B1&gt;0,B1&lt;=MAX(CÁLCULO!$M$15:$M$165)),"F",""))</f>
        <v>#REF!</v>
      </c>
      <c r="B1" s="247" t="e">
        <f ca="1">OFFSET(B1,-1,0)+1</f>
        <v>#REF!</v>
      </c>
      <c r="C1" s="514" t="e">
        <f ca="1">IF(AUTOEVENTO="Manual",IF($B1&gt;0,OFFSET(EVENTOS!$D$15,$B1-$B$15,0),0),IF(B1&lt;=MAX(CÁLCULO!$M$15:$M$165),VLOOKUP($B1,CÁLCULO!$M$15:$N$165,2,FALSE),0))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5">
      <c r="G2" s="82" t="s">
        <v>777</v>
      </c>
      <c r="AC2" s="760" t="s">
        <v>757</v>
      </c>
      <c r="AD2" s="761"/>
      <c r="AE2" s="762"/>
    </row>
    <row r="3" spans="1:31" ht="12.75" customHeight="1" x14ac:dyDescent="0.3">
      <c r="G3" s="82"/>
      <c r="AD3" s="483"/>
      <c r="AE3" s="483"/>
    </row>
    <row r="4" spans="1:31" ht="12.75" customHeight="1" x14ac:dyDescent="0.3">
      <c r="B4" s="701" t="s">
        <v>652</v>
      </c>
      <c r="C4" s="701"/>
      <c r="D4" s="701"/>
      <c r="G4" s="712" t="s">
        <v>650</v>
      </c>
      <c r="H4" s="712"/>
      <c r="I4" s="712"/>
      <c r="J4" s="712" t="s">
        <v>707</v>
      </c>
      <c r="K4" s="712"/>
      <c r="L4" s="712"/>
      <c r="M4" s="208" t="s">
        <v>758</v>
      </c>
      <c r="N4" s="212"/>
      <c r="P4" s="186"/>
      <c r="Q4" s="186"/>
      <c r="R4" s="186"/>
      <c r="U4" s="484"/>
      <c r="V4" s="186"/>
      <c r="W4" s="186"/>
      <c r="X4" s="186"/>
      <c r="Y4" s="186"/>
      <c r="AD4" s="483"/>
      <c r="AE4" s="485"/>
    </row>
    <row r="5" spans="1:31" ht="12.75" customHeight="1" x14ac:dyDescent="0.25">
      <c r="B5" s="704" t="str">
        <f>Import.Proponente</f>
        <v>MUNICÍPIO DE SARANDI</v>
      </c>
      <c r="C5" s="704"/>
      <c r="D5" s="704"/>
      <c r="G5" s="717">
        <f>Import.CR</f>
        <v>0</v>
      </c>
      <c r="H5" s="717"/>
      <c r="I5" s="717"/>
      <c r="J5" s="717">
        <f>Import.SICONV</f>
        <v>0</v>
      </c>
      <c r="K5" s="717"/>
      <c r="L5" s="717"/>
      <c r="M5" s="726" t="str">
        <f>Import.Apelido</f>
        <v>PAVIMENTAÇÃO ASFÁLTICA EM DIVERSOS TRECHOS NO MUNICÍPIO DE SARANDI</v>
      </c>
      <c r="N5" s="727"/>
      <c r="O5" s="727"/>
      <c r="P5" s="727"/>
      <c r="Q5" s="727"/>
      <c r="R5" s="727"/>
      <c r="S5" s="727"/>
      <c r="T5" s="727"/>
      <c r="U5" s="727"/>
      <c r="V5" s="727"/>
      <c r="W5" s="727"/>
      <c r="X5" s="727"/>
      <c r="Y5" s="727"/>
      <c r="Z5" s="727"/>
      <c r="AA5" s="727"/>
      <c r="AB5" s="727"/>
      <c r="AC5" s="727"/>
      <c r="AD5" s="727"/>
      <c r="AE5" s="763"/>
    </row>
    <row r="6" spans="1:31" ht="14.25" customHeight="1" x14ac:dyDescent="0.25">
      <c r="B6" s="249" t="str" cm="1">
        <f t="array" aca="1" ref="B6" ca="1">IF(ACOMPANHAMENTO="BM","NO ACOMPANHAMENTO POR BM, UTILIZE A ABA CRONO",
  IF(MAX($B$14:$B$65)&lt;MAX(CÁLCULO!$M$15:$M$165),"ERRO: NÚMERO DE EVENTOS INSUFICIENTE, CLIQUE EM ATUALIZAR LINHAS",
  IF(ROUND(OFFSET(CRONO!$AG$105,0,-1),2)&lt;&gt;CRONO!$R$96,"ERRO: CRONOGRAMA NÃO FECHA 100%","")))</f>
        <v/>
      </c>
    </row>
    <row r="7" spans="1:31" ht="15" customHeight="1" thickBot="1" x14ac:dyDescent="0.3">
      <c r="B7" s="522" t="str" cm="1">
        <f t="array" ref="B7">IF(AdmLocal="Automática","","1. Selecione o Título do Evento da Administração Local:")</f>
        <v>1. Selecione o Título do Evento da Administração Local:</v>
      </c>
    </row>
    <row r="8" spans="1:31" ht="13.8" thickBot="1" x14ac:dyDescent="0.3">
      <c r="A8" s="548" t="e">
        <f>MID(Import.EventoAdmLocal,1,SEARCH(".",Import.EventoAdmLocal)-1)</f>
        <v>#VALUE!</v>
      </c>
      <c r="B8" s="733"/>
      <c r="C8" s="734"/>
      <c r="D8" s="571" t="str">
        <f>IF($B$7="","",IF(AND($B$15=0,$B$8=""),"◄ Não foi indicado o Evento de Administração Local",IF(ISERROR(MATCH(Import.EventoAdmLocal,$F$15:$F$65,0)),"◄ Selecione um Título de Evento válido para a Administração Local","")))</f>
        <v>◄ Não foi indicado o Evento de Administração Local</v>
      </c>
    </row>
    <row r="9" spans="1:31" ht="3.9" customHeight="1" x14ac:dyDescent="0.25">
      <c r="A9" s="548"/>
    </row>
    <row r="10" spans="1:31" ht="15" customHeight="1" x14ac:dyDescent="0.25">
      <c r="A10" s="548" t="e">
        <f>MATCH(VALUE(A8),CÁLCULO!$M$15:$M$165,0)-2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89" t="s">
        <v>655</v>
      </c>
      <c r="C11" s="251"/>
      <c r="E11" s="252" t="str">
        <f ca="1">IF(E$12&gt;CÁLCULO.FrentesPreenchidas,"",OFFSET(CÁLCULO!$P$12,0,E$12))</f>
        <v>SERVIÇOS INICIAIS</v>
      </c>
      <c r="G11" s="252" t="str">
        <f ca="1">IF(G$12&gt;CÁLCULO.FrentesPreenchidas,"",OFFSET(CÁLCULO!$P$12,0,G$12))</f>
        <v>SERVIÇOS INICIAIS</v>
      </c>
      <c r="H11" s="252" t="str">
        <f ca="1">IF(H$12&gt;CÁLCULO.FrentesPreenchidas,"",OFFSET(CÁLCULO!$P$12,0,H$12))</f>
        <v>ADM LOCAL</v>
      </c>
      <c r="I11" s="252" t="str">
        <f ca="1">IF(I$12&gt;CÁLCULO.FrentesPreenchidas,"",OFFSET(CÁLCULO!$P$12,0,I$12))</f>
        <v>TRECHO 2</v>
      </c>
      <c r="J11" s="252" t="str">
        <f ca="1">IF(J$12&gt;CÁLCULO.FrentesPreenchidas,"",OFFSET(CÁLCULO!$P$12,0,J$12))</f>
        <v xml:space="preserve">TRECHO 3 </v>
      </c>
      <c r="K11" s="252" t="str">
        <f ca="1">IF(K$12&gt;CÁLCULO.FrentesPreenchidas,"",OFFSET(CÁLCULO!$P$12,0,K$12))</f>
        <v xml:space="preserve">TRECHO 4 </v>
      </c>
      <c r="L11" s="252" t="str">
        <f ca="1">IF(L$12&gt;CÁLCULO.FrentesPreenchidas,"",OFFSET(CÁLCULO!$P$12,0,L$12))</f>
        <v>TRECHO 5</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5">
      <c r="A12" s="490" t="s">
        <v>660</v>
      </c>
      <c r="B12" s="757" t="s">
        <v>760</v>
      </c>
      <c r="C12" s="757"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5">
      <c r="A13" t="s">
        <v>655</v>
      </c>
      <c r="B13" s="757"/>
      <c r="C13" s="757"/>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5">
      <c r="A14" s="7" t="s">
        <v>536</v>
      </c>
    </row>
    <row r="15" spans="1:31" x14ac:dyDescent="0.25">
      <c r="A15" s="7" t="str">
        <f ca="1">IF(AUTOEVENTO="Manual",IF(EVENTOS!$F15&gt;0,"F",""),IF(AND(B15&gt;0,B15&lt;=MAX(CÁLCULO!$M$15:$M$165)),"F",""))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5">
      <c r="A16" s="7" t="str">
        <f ca="1">IF(AUTOEVENTO="Manual",IF(EVENTOS!$F16&gt;0,"F",""),IF(AND(B16&gt;0,B16&lt;=MAX(CÁLCULO!$M$15:$M$165)),"F",""))</f>
        <v>F</v>
      </c>
      <c r="B16" s="247">
        <f t="shared" ref="B16:B64" ca="1" si="1">OFFSET(B16,-1,0)+1</f>
        <v>1</v>
      </c>
      <c r="C16" s="514" t="str">
        <f ca="1">IF(AUTOEVENTO="Manual",IF($B16&gt;0,OFFSET(EVENTOS!$D$15,$B16-$B$15,0),0),IF(B16&lt;=MAX(CÁLCULO!$M$15:$M$165),VLOOKUP($B16,CÁLCULO!$M$15:$N$165,2,FALSE),0))</f>
        <v>SERVIÇOS INICIAIS</v>
      </c>
      <c r="D16" s="554"/>
      <c r="E16" s="248"/>
      <c r="F16" t="str">
        <f t="shared" ref="F16:F64" ca="1" si="2">IF($C16=0,"",CONCATENATE($B16,". ",$C16))</f>
        <v>1. SERVIÇOS INICIAIS</v>
      </c>
      <c r="G16" s="553">
        <v>1</v>
      </c>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5">
      <c r="A17" s="7" t="str">
        <f ca="1">IF(AUTOEVENTO="Manual",IF(EVENTOS!$F17&gt;0,"F",""),IF(AND(B17&gt;0,B17&lt;=MAX(CÁLCULO!$M$15:$M$165)),"F",""))</f>
        <v>F</v>
      </c>
      <c r="B17" s="247">
        <f t="shared" ca="1" si="1"/>
        <v>2</v>
      </c>
      <c r="C17" s="514" t="str">
        <f ca="1">IF(AUTOEVENTO="Manual",IF($B17&gt;0,OFFSET(EVENTOS!$D$15,$B17-$B$15,0),0),IF(B17&lt;=MAX(CÁLCULO!$M$15:$M$165),VLOOKUP($B17,CÁLCULO!$M$15:$N$165,2,FALSE),0))</f>
        <v>ADMINISTRAÇÃO LOCAL DA OBRA</v>
      </c>
      <c r="D17" s="554"/>
      <c r="E17" s="248"/>
      <c r="F17" t="str">
        <f t="shared" ca="1" si="2"/>
        <v>2. ADMINISTRAÇÃO LOCAL DA OBRA</v>
      </c>
      <c r="G17" s="553"/>
      <c r="H17" s="553">
        <v>1</v>
      </c>
      <c r="I17" s="553">
        <v>2</v>
      </c>
      <c r="J17" s="553">
        <v>3</v>
      </c>
      <c r="K17" s="553">
        <v>5</v>
      </c>
      <c r="L17" s="553">
        <v>6</v>
      </c>
      <c r="M17" s="553"/>
      <c r="N17" s="553"/>
      <c r="O17" s="553">
        <v>2</v>
      </c>
      <c r="P17" s="553"/>
      <c r="Q17" s="553">
        <v>3</v>
      </c>
      <c r="R17" s="553">
        <v>4</v>
      </c>
      <c r="S17" s="553"/>
      <c r="T17" s="553"/>
      <c r="U17" s="553"/>
      <c r="V17" s="553"/>
      <c r="W17" s="553"/>
      <c r="X17" s="553"/>
      <c r="Y17" s="553"/>
      <c r="Z17" s="553"/>
      <c r="AA17" s="553"/>
      <c r="AB17" s="553"/>
      <c r="AC17" s="553"/>
      <c r="AD17" s="553"/>
      <c r="AE17" s="553"/>
    </row>
    <row r="18" spans="1:31" x14ac:dyDescent="0.25">
      <c r="A18" s="7" t="str">
        <f ca="1">IF(AUTOEVENTO="Manual",IF(EVENTOS!$F18&gt;0,"F",""),IF(AND(B18&gt;0,B18&lt;=MAX(CÁLCULO!$M$15:$M$165)),"F",""))</f>
        <v>F</v>
      </c>
      <c r="B18" s="247">
        <f t="shared" ca="1" si="1"/>
        <v>3</v>
      </c>
      <c r="C18" s="514" t="str">
        <f ca="1">IF(AUTOEVENTO="Manual",IF($B18&gt;0,OFFSET(EVENTOS!$D$15,$B18-$B$15,0),0),IF(B18&lt;=MAX(CÁLCULO!$M$15:$M$165),VLOOKUP($B18,CÁLCULO!$M$15:$N$165,2,FALSE),0))</f>
        <v>DRENAGEM</v>
      </c>
      <c r="D18" s="554"/>
      <c r="E18" s="248"/>
      <c r="F18" t="str">
        <f t="shared" ca="1" si="2"/>
        <v>3. DRENAGEM</v>
      </c>
      <c r="G18" s="553"/>
      <c r="H18" s="553"/>
      <c r="I18" s="553">
        <v>1</v>
      </c>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5">
      <c r="A19" s="7" t="str">
        <f ca="1">IF(AUTOEVENTO="Manual",IF(EVENTOS!$F19&gt;0,"F",""),IF(AND(B19&gt;0,B19&lt;=MAX(CÁLCULO!$M$15:$M$165)),"F",""))</f>
        <v>F</v>
      </c>
      <c r="B19" s="247">
        <f t="shared" ca="1" si="1"/>
        <v>4</v>
      </c>
      <c r="C19" s="514" t="str">
        <f ca="1">IF(AUTOEVENTO="Manual",IF($B19&gt;0,OFFSET(EVENTOS!$D$15,$B19-$B$15,0),0),IF(B19&lt;=MAX(CÁLCULO!$M$15:$M$165),VLOOKUP($B19,CÁLCULO!$M$15:$N$165,2,FALSE),0))</f>
        <v>CAMADA DE REPERFILAMENTO</v>
      </c>
      <c r="D19" s="554"/>
      <c r="E19" s="248"/>
      <c r="F19" t="str">
        <f t="shared" ca="1" si="2"/>
        <v>4. CAMADA DE REPERFILAMENTO</v>
      </c>
      <c r="G19" s="553"/>
      <c r="H19" s="553"/>
      <c r="I19" s="553">
        <v>1</v>
      </c>
      <c r="J19" s="553">
        <v>3</v>
      </c>
      <c r="K19" s="553">
        <v>3</v>
      </c>
      <c r="L19" s="553">
        <v>3</v>
      </c>
      <c r="M19" s="553">
        <v>2</v>
      </c>
      <c r="N19" s="553">
        <v>2</v>
      </c>
      <c r="O19" s="553">
        <v>2</v>
      </c>
      <c r="P19" s="553">
        <v>1</v>
      </c>
      <c r="Q19" s="553">
        <v>1</v>
      </c>
      <c r="R19" s="553"/>
      <c r="S19" s="553"/>
      <c r="T19" s="553"/>
      <c r="U19" s="553"/>
      <c r="V19" s="553"/>
      <c r="W19" s="553"/>
      <c r="X19" s="553"/>
      <c r="Y19" s="553"/>
      <c r="Z19" s="553"/>
      <c r="AA19" s="553"/>
      <c r="AB19" s="553"/>
      <c r="AC19" s="553"/>
      <c r="AD19" s="553"/>
      <c r="AE19" s="553"/>
    </row>
    <row r="20" spans="1:31" x14ac:dyDescent="0.25">
      <c r="A20" s="7" t="str">
        <f ca="1">IF(AUTOEVENTO="Manual",IF(EVENTOS!$F20&gt;0,"F",""),IF(AND(B20&gt;0,B20&lt;=MAX(CÁLCULO!$M$15:$M$165)),"F",""))</f>
        <v>F</v>
      </c>
      <c r="B20" s="247">
        <f t="shared" ca="1" si="1"/>
        <v>5</v>
      </c>
      <c r="C20" s="514" t="str">
        <f ca="1">IF(AUTOEVENTO="Manual",IF($B20&gt;0,OFFSET(EVENTOS!$D$15,$B20-$B$15,0),0),IF(B20&lt;=MAX(CÁLCULO!$M$15:$M$165),VLOOKUP($B20,CÁLCULO!$M$15:$N$165,2,FALSE),0))</f>
        <v xml:space="preserve">FAIXAS ELEVADAS </v>
      </c>
      <c r="D20" s="554"/>
      <c r="E20" s="248"/>
      <c r="F20" t="str">
        <f t="shared" ca="1" si="2"/>
        <v xml:space="preserve">5. FAIXAS ELEVADAS </v>
      </c>
      <c r="G20" s="553"/>
      <c r="H20" s="553"/>
      <c r="I20" s="553">
        <v>2</v>
      </c>
      <c r="J20" s="553"/>
      <c r="K20" s="553"/>
      <c r="L20" s="553"/>
      <c r="M20" s="553"/>
      <c r="N20" s="553"/>
      <c r="O20" s="553"/>
      <c r="P20" s="553"/>
      <c r="Q20" s="553"/>
      <c r="R20" s="553">
        <v>4</v>
      </c>
      <c r="S20" s="553"/>
      <c r="T20" s="553"/>
      <c r="U20" s="553"/>
      <c r="V20" s="553"/>
      <c r="W20" s="553"/>
      <c r="X20" s="553"/>
      <c r="Y20" s="553"/>
      <c r="Z20" s="553"/>
      <c r="AA20" s="553"/>
      <c r="AB20" s="553"/>
      <c r="AC20" s="553"/>
      <c r="AD20" s="553"/>
      <c r="AE20" s="553"/>
    </row>
    <row r="21" spans="1:31" x14ac:dyDescent="0.25">
      <c r="A21" s="7" t="str">
        <f ca="1">IF(AUTOEVENTO="Manual",IF(EVENTOS!$F21&gt;0,"F",""),IF(AND(B21&gt;0,B21&lt;=MAX(CÁLCULO!$M$15:$M$165)),"F",""))</f>
        <v>F</v>
      </c>
      <c r="B21" s="247">
        <f t="shared" ca="1" si="1"/>
        <v>6</v>
      </c>
      <c r="C21" s="514" t="str">
        <f ca="1">IF(AUTOEVENTO="Manual",IF($B21&gt;0,OFFSET(EVENTOS!$D$15,$B21-$B$15,0),0),IF(B21&lt;=MAX(CÁLCULO!$M$15:$M$165),VLOOKUP($B21,CÁLCULO!$M$15:$N$165,2,FALSE),0))</f>
        <v>SINALIZAÇÃO</v>
      </c>
      <c r="D21" s="554"/>
      <c r="E21" s="248"/>
      <c r="F21" t="str">
        <f t="shared" ca="1" si="2"/>
        <v>6. SINALIZAÇÃO</v>
      </c>
      <c r="G21" s="553"/>
      <c r="H21" s="553"/>
      <c r="I21" s="553">
        <v>2</v>
      </c>
      <c r="J21" s="553"/>
      <c r="K21" s="553"/>
      <c r="L21" s="553"/>
      <c r="M21" s="553"/>
      <c r="N21" s="553"/>
      <c r="O21" s="553"/>
      <c r="P21" s="553"/>
      <c r="Q21" s="553"/>
      <c r="R21" s="553"/>
      <c r="S21" s="553">
        <v>3</v>
      </c>
      <c r="T21" s="553"/>
      <c r="U21" s="553"/>
      <c r="V21" s="553"/>
      <c r="W21" s="553"/>
      <c r="X21" s="553"/>
      <c r="Y21" s="553"/>
      <c r="Z21" s="553"/>
      <c r="AA21" s="553"/>
      <c r="AB21" s="553"/>
      <c r="AC21" s="553"/>
      <c r="AD21" s="553"/>
      <c r="AE21" s="553"/>
    </row>
    <row r="22" spans="1:31" x14ac:dyDescent="0.25">
      <c r="A22" s="7" t="str">
        <f ca="1">IF(AUTOEVENTO="Manual",IF(EVENTOS!$F22&gt;0,"F",""),IF(AND(B22&gt;0,B22&lt;=MAX(CÁLCULO!$M$15:$M$165)),"F",""))</f>
        <v>F</v>
      </c>
      <c r="B22" s="247">
        <f t="shared" ca="1" si="1"/>
        <v>7</v>
      </c>
      <c r="C22" s="514" t="str">
        <f ca="1">IF(AUTOEVENTO="Manual",IF($B22&gt;0,OFFSET(EVENTOS!$D$15,$B22-$B$15,0),0),IF(B22&lt;=MAX(CÁLCULO!$M$15:$M$165),VLOOKUP($B22,CÁLCULO!$M$15:$N$165,2,FALSE),0))</f>
        <v xml:space="preserve">ENSAIOS </v>
      </c>
      <c r="D22" s="554"/>
      <c r="E22" s="248"/>
      <c r="F22" t="str">
        <f t="shared" ca="1" si="2"/>
        <v xml:space="preserve">7. ENSAIOS </v>
      </c>
      <c r="G22" s="553"/>
      <c r="H22" s="553"/>
      <c r="I22" s="553">
        <v>1</v>
      </c>
      <c r="J22" s="553"/>
      <c r="K22" s="553"/>
      <c r="L22" s="553"/>
      <c r="M22" s="553"/>
      <c r="N22" s="553"/>
      <c r="O22" s="553"/>
      <c r="P22" s="553"/>
      <c r="Q22" s="553"/>
      <c r="R22" s="553"/>
      <c r="S22" s="553"/>
      <c r="T22" s="553">
        <v>3</v>
      </c>
      <c r="U22" s="553"/>
      <c r="V22" s="553"/>
      <c r="W22" s="553"/>
      <c r="X22" s="553"/>
      <c r="Y22" s="553"/>
      <c r="Z22" s="553"/>
      <c r="AA22" s="553"/>
      <c r="AB22" s="553"/>
      <c r="AC22" s="553"/>
      <c r="AD22" s="553"/>
      <c r="AE22" s="553"/>
    </row>
    <row r="23" spans="1:31" x14ac:dyDescent="0.25">
      <c r="A23" s="7" t="str">
        <f ca="1">IF(AUTOEVENTO="Manual",IF(EVENTOS!$F23&gt;0,"F",""),IF(AND(B23&gt;0,B23&lt;=MAX(CÁLCULO!$M$15:$M$165)),"F",""))</f>
        <v>F</v>
      </c>
      <c r="B23" s="247">
        <f t="shared" ca="1" si="1"/>
        <v>8</v>
      </c>
      <c r="C23" s="514" t="str">
        <f ca="1">IF(AUTOEVENTO="Manual",IF($B23&gt;0,OFFSET(EVENTOS!$D$15,$B23-$B$15,0),0),IF(B23&lt;=MAX(CÁLCULO!$M$15:$M$165),VLOOKUP($B23,CÁLCULO!$M$15:$N$165,2,FALSE),0))</f>
        <v>SERVIÇOS INICIAIS</v>
      </c>
      <c r="D23" s="554"/>
      <c r="E23" s="248"/>
      <c r="F23" t="str">
        <f t="shared" ca="1" si="2"/>
        <v>8. SERVIÇOS INICIAIS</v>
      </c>
      <c r="G23" s="553"/>
      <c r="H23" s="553"/>
      <c r="I23" s="553"/>
      <c r="J23" s="553">
        <v>1</v>
      </c>
      <c r="K23" s="553"/>
      <c r="L23" s="553"/>
      <c r="M23" s="553"/>
      <c r="N23" s="553"/>
      <c r="O23" s="553"/>
      <c r="P23" s="553"/>
      <c r="Q23" s="553"/>
      <c r="R23" s="553"/>
      <c r="S23" s="553"/>
      <c r="T23" s="553"/>
      <c r="U23" s="553">
        <v>1</v>
      </c>
      <c r="V23" s="553"/>
      <c r="W23" s="553"/>
      <c r="X23" s="553"/>
      <c r="Y23" s="553"/>
      <c r="Z23" s="553"/>
      <c r="AA23" s="553"/>
      <c r="AB23" s="553"/>
      <c r="AC23" s="553"/>
      <c r="AD23" s="553"/>
      <c r="AE23" s="553"/>
    </row>
    <row r="24" spans="1:31" x14ac:dyDescent="0.25">
      <c r="A24" s="7" t="str">
        <f ca="1">IF(AUTOEVENTO="Manual",IF(EVENTOS!$F24&gt;0,"F",""),IF(AND(B24&gt;0,B24&lt;=MAX(CÁLCULO!$M$15:$M$165)),"F",""))</f>
        <v>F</v>
      </c>
      <c r="B24" s="247">
        <f t="shared" ca="1" si="1"/>
        <v>9</v>
      </c>
      <c r="C24" s="514" t="str">
        <f ca="1">IF(AUTOEVENTO="Manual",IF($B24&gt;0,OFFSET(EVENTOS!$D$15,$B24-$B$15,0),0),IF(B24&lt;=MAX(CÁLCULO!$M$15:$M$165),VLOOKUP($B24,CÁLCULO!$M$15:$N$165,2,FALSE),0))</f>
        <v>DRENAGEM</v>
      </c>
      <c r="D24" s="554"/>
      <c r="E24" s="248"/>
      <c r="F24" t="str">
        <f t="shared" ca="1" si="2"/>
        <v>9. DRENAGEM</v>
      </c>
      <c r="G24" s="553"/>
      <c r="H24" s="553"/>
      <c r="I24" s="553"/>
      <c r="J24" s="553">
        <v>1</v>
      </c>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5">
      <c r="A25" s="7" t="str">
        <f ca="1">IF(AUTOEVENTO="Manual",IF(EVENTOS!$F25&gt;0,"F",""),IF(AND(B25&gt;0,B25&lt;=MAX(CÁLCULO!$M$15:$M$165)),"F",""))</f>
        <v>F</v>
      </c>
      <c r="B25" s="247">
        <f t="shared" ca="1" si="1"/>
        <v>10</v>
      </c>
      <c r="C25" s="514" t="str">
        <f ca="1">IF(AUTOEVENTO="Manual",IF($B25&gt;0,OFFSET(EVENTOS!$D$15,$B25-$B$15,0),0),IF(B25&lt;=MAX(CÁLCULO!$M$15:$M$165),VLOOKUP($B25,CÁLCULO!$M$15:$N$165,2,FALSE),0))</f>
        <v>CAMADA DE REPERFILAMENTO</v>
      </c>
      <c r="D25" s="554"/>
      <c r="E25" s="248"/>
      <c r="F25" t="str">
        <f t="shared" ca="1" si="2"/>
        <v>10. CAMADA DE REPERFILAMENTO</v>
      </c>
      <c r="G25" s="553"/>
      <c r="H25" s="553"/>
      <c r="I25" s="553"/>
      <c r="J25" s="553">
        <v>1</v>
      </c>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5">
      <c r="A26" s="7" t="str">
        <f ca="1">IF(AUTOEVENTO="Manual",IF(EVENTOS!$F26&gt;0,"F",""),IF(AND(B26&gt;0,B26&lt;=MAX(CÁLCULO!$M$15:$M$165)),"F",""))</f>
        <v>F</v>
      </c>
      <c r="B26" s="247">
        <f t="shared" ca="1" si="1"/>
        <v>11</v>
      </c>
      <c r="C26" s="514" t="str">
        <f ca="1">IF(AUTOEVENTO="Manual",IF($B26&gt;0,OFFSET(EVENTOS!$D$15,$B26-$B$15,0),0),IF(B26&lt;=MAX(CÁLCULO!$M$15:$M$165),VLOOKUP($B26,CÁLCULO!$M$15:$N$165,2,FALSE),0))</f>
        <v>LOMBADAS TIPO A (3,70m de comprimento x 0,10m altura)</v>
      </c>
      <c r="D26" s="554"/>
      <c r="E26" s="248"/>
      <c r="F26" t="str">
        <f t="shared" ca="1" si="2"/>
        <v>11. LOMBADAS TIPO A (3,70m de comprimento x 0,10m altura)</v>
      </c>
      <c r="G26" s="553"/>
      <c r="H26" s="553"/>
      <c r="I26" s="553"/>
      <c r="J26" s="553">
        <v>2</v>
      </c>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5">
      <c r="A27" s="7" t="str">
        <f ca="1">IF(AUTOEVENTO="Manual",IF(EVENTOS!$F27&gt;0,"F",""),IF(AND(B27&gt;0,B27&lt;=MAX(CÁLCULO!$M$15:$M$165)),"F",""))</f>
        <v>F</v>
      </c>
      <c r="B27" s="247">
        <f t="shared" ca="1" si="1"/>
        <v>12</v>
      </c>
      <c r="C27" s="514" t="str">
        <f ca="1">IF(AUTOEVENTO="Manual",IF($B27&gt;0,OFFSET(EVENTOS!$D$15,$B27-$B$15,0),0),IF(B27&lt;=MAX(CÁLCULO!$M$15:$M$165),VLOOKUP($B27,CÁLCULO!$M$15:$N$165,2,FALSE),0))</f>
        <v>SINALIZAÇÃO</v>
      </c>
      <c r="D27" s="554"/>
      <c r="E27" s="248"/>
      <c r="F27" t="str">
        <f t="shared" ca="1" si="2"/>
        <v>12. SINALIZAÇÃO</v>
      </c>
      <c r="G27" s="553"/>
      <c r="H27" s="553"/>
      <c r="I27" s="553"/>
      <c r="J27" s="553">
        <v>2</v>
      </c>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5">
      <c r="A28" s="7" t="str">
        <f ca="1">IF(AUTOEVENTO="Manual",IF(EVENTOS!$F28&gt;0,"F",""),IF(AND(B28&gt;0,B28&lt;=MAX(CÁLCULO!$M$15:$M$165)),"F",""))</f>
        <v>F</v>
      </c>
      <c r="B28" s="247">
        <f t="shared" ca="1" si="1"/>
        <v>13</v>
      </c>
      <c r="C28" s="514" t="str">
        <f ca="1">IF(AUTOEVENTO="Manual",IF($B28&gt;0,OFFSET(EVENTOS!$D$15,$B28-$B$15,0),0),IF(B28&lt;=MAX(CÁLCULO!$M$15:$M$165),VLOOKUP($B28,CÁLCULO!$M$15:$N$165,2,FALSE),0))</f>
        <v>ENSAIOS</v>
      </c>
      <c r="D28" s="554"/>
      <c r="E28" s="248"/>
      <c r="F28" t="str">
        <f t="shared" ca="1" si="2"/>
        <v>13. ENSAIOS</v>
      </c>
      <c r="G28" s="553"/>
      <c r="H28" s="553"/>
      <c r="I28" s="553"/>
      <c r="J28" s="553">
        <v>1</v>
      </c>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5">
      <c r="A29" s="7" t="str">
        <f ca="1">IF(AUTOEVENTO="Manual",IF(EVENTOS!$F29&gt;0,"F",""),IF(AND(B29&gt;0,B29&lt;=MAX(CÁLCULO!$M$15:$M$165)),"F",""))</f>
        <v>F</v>
      </c>
      <c r="B29" s="247">
        <f t="shared" ca="1" si="1"/>
        <v>14</v>
      </c>
      <c r="C29" s="514" t="str">
        <f ca="1">IF(AUTOEVENTO="Manual",IF($B29&gt;0,OFFSET(EVENTOS!$D$15,$B29-$B$15,0),0),IF(B29&lt;=MAX(CÁLCULO!$M$15:$M$165),VLOOKUP($B29,CÁLCULO!$M$15:$N$165,2,FALSE),0))</f>
        <v>DRENAGEM</v>
      </c>
      <c r="D29" s="554"/>
      <c r="E29" s="248"/>
      <c r="F29" t="str">
        <f t="shared" ca="1" si="2"/>
        <v>14. DRENAGEM</v>
      </c>
      <c r="G29" s="553"/>
      <c r="H29" s="553"/>
      <c r="I29" s="553"/>
      <c r="J29" s="553"/>
      <c r="K29" s="553">
        <v>3</v>
      </c>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5">
      <c r="A30" s="7" t="str">
        <f ca="1">IF(AUTOEVENTO="Manual",IF(EVENTOS!$F30&gt;0,"F",""),IF(AND(B30&gt;0,B30&lt;=MAX(CÁLCULO!$M$15:$M$165)),"F",""))</f>
        <v>F</v>
      </c>
      <c r="B30" s="247">
        <f t="shared" ca="1" si="1"/>
        <v>15</v>
      </c>
      <c r="C30" s="514" t="str">
        <f ca="1">IF(AUTOEVENTO="Manual",IF($B30&gt;0,OFFSET(EVENTOS!$D$15,$B30-$B$15,0),0),IF(B30&lt;=MAX(CÁLCULO!$M$15:$M$165),VLOOKUP($B30,CÁLCULO!$M$15:$N$165,2,FALSE),0))</f>
        <v>PAVIMENTAÇÃO</v>
      </c>
      <c r="D30" s="554"/>
      <c r="E30" s="248"/>
      <c r="F30" t="str">
        <f t="shared" ca="1" si="2"/>
        <v>15. PAVIMENTAÇÃO</v>
      </c>
      <c r="G30" s="553"/>
      <c r="H30" s="553"/>
      <c r="I30" s="553"/>
      <c r="J30" s="553"/>
      <c r="K30" s="553">
        <v>4</v>
      </c>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5">
      <c r="A31" s="7" t="str">
        <f ca="1">IF(AUTOEVENTO="Manual",IF(EVENTOS!$F31&gt;0,"F",""),IF(AND(B31&gt;0,B31&lt;=MAX(CÁLCULO!$M$15:$M$165)),"F",""))</f>
        <v>F</v>
      </c>
      <c r="B31" s="247">
        <f t="shared" ca="1" si="1"/>
        <v>16</v>
      </c>
      <c r="C31" s="514" t="str">
        <f ca="1">IF(AUTOEVENTO="Manual",IF($B31&gt;0,OFFSET(EVENTOS!$D$15,$B31-$B$15,0),0),IF(B31&lt;=MAX(CÁLCULO!$M$15:$M$165),VLOOKUP($B31,CÁLCULO!$M$15:$N$165,2,FALSE),0))</f>
        <v>LOMBADAS TIPO A (3,70m de comprimento x 0,10m altura)</v>
      </c>
      <c r="D31" s="554"/>
      <c r="E31" s="248"/>
      <c r="F31" t="str">
        <f t="shared" ca="1" si="2"/>
        <v>16. LOMBADAS TIPO A (3,70m de comprimento x 0,10m altura)</v>
      </c>
      <c r="G31" s="553"/>
      <c r="H31" s="553"/>
      <c r="I31" s="553"/>
      <c r="J31" s="553"/>
      <c r="K31" s="553">
        <v>3</v>
      </c>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5">
      <c r="A32" s="7" t="str">
        <f ca="1">IF(AUTOEVENTO="Manual",IF(EVENTOS!$F32&gt;0,"F",""),IF(AND(B32&gt;0,B32&lt;=MAX(CÁLCULO!$M$15:$M$165)),"F",""))</f>
        <v>F</v>
      </c>
      <c r="B32" s="247">
        <f t="shared" ca="1" si="1"/>
        <v>17</v>
      </c>
      <c r="C32" s="514" t="str">
        <f ca="1">IF(AUTOEVENTO="Manual",IF($B32&gt;0,OFFSET(EVENTOS!$D$15,$B32-$B$15,0),0),IF(B32&lt;=MAX(CÁLCULO!$M$15:$M$165),VLOOKUP($B32,CÁLCULO!$M$15:$N$165,2,FALSE),0))</f>
        <v>SINALIZAÇAO</v>
      </c>
      <c r="D32" s="554"/>
      <c r="E32" s="248"/>
      <c r="F32" t="str">
        <f t="shared" ca="1" si="2"/>
        <v>17. SINALIZAÇAO</v>
      </c>
      <c r="G32" s="553"/>
      <c r="H32" s="553"/>
      <c r="I32" s="553"/>
      <c r="J32" s="553"/>
      <c r="K32" s="553">
        <v>4</v>
      </c>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5">
      <c r="A33" s="7" t="str">
        <f ca="1">IF(AUTOEVENTO="Manual",IF(EVENTOS!$F33&gt;0,"F",""),IF(AND(B33&gt;0,B33&lt;=MAX(CÁLCULO!$M$15:$M$165)),"F",""))</f>
        <v>F</v>
      </c>
      <c r="B33" s="247">
        <f t="shared" ca="1" si="1"/>
        <v>18</v>
      </c>
      <c r="C33" s="514" t="str">
        <f ca="1">IF(AUTOEVENTO="Manual",IF($B33&gt;0,OFFSET(EVENTOS!$D$15,$B33-$B$15,0),0),IF(B33&lt;=MAX(CÁLCULO!$M$15:$M$165),VLOOKUP($B33,CÁLCULO!$M$15:$N$165,2,FALSE),0))</f>
        <v>ENSAIOS</v>
      </c>
      <c r="D33" s="554"/>
      <c r="E33" s="248"/>
      <c r="F33" t="str">
        <f t="shared" ca="1" si="2"/>
        <v>18. ENSAIOS</v>
      </c>
      <c r="G33" s="553"/>
      <c r="H33" s="553"/>
      <c r="I33" s="553"/>
      <c r="J33" s="553"/>
      <c r="K33" s="553">
        <v>3</v>
      </c>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5">
      <c r="A34" s="7" t="str">
        <f ca="1">IF(AUTOEVENTO="Manual",IF(EVENTOS!$F34&gt;0,"F",""),IF(AND(B34&gt;0,B34&lt;=MAX(CÁLCULO!$M$15:$M$165)),"F",""))</f>
        <v>F</v>
      </c>
      <c r="B34" s="247">
        <f t="shared" ca="1" si="1"/>
        <v>19</v>
      </c>
      <c r="C34" s="514" t="str">
        <f ca="1">IF(AUTOEVENTO="Manual",IF($B34&gt;0,OFFSET(EVENTOS!$D$15,$B34-$B$15,0),0),IF(B34&lt;=MAX(CÁLCULO!$M$15:$M$165),VLOOKUP($B34,CÁLCULO!$M$15:$N$165,2,FALSE),0))</f>
        <v>DRENAGEM</v>
      </c>
      <c r="D34" s="554"/>
      <c r="E34" s="248"/>
      <c r="F34" t="str">
        <f t="shared" ca="1" si="2"/>
        <v>19. DRENAGEM</v>
      </c>
      <c r="G34" s="553"/>
      <c r="H34" s="553"/>
      <c r="I34" s="553"/>
      <c r="J34" s="553"/>
      <c r="K34" s="553"/>
      <c r="L34" s="553">
        <v>5</v>
      </c>
      <c r="M34" s="553"/>
      <c r="N34" s="553"/>
      <c r="O34" s="553"/>
      <c r="P34" s="553"/>
      <c r="Q34" s="553"/>
      <c r="R34" s="553"/>
      <c r="S34" s="553"/>
      <c r="T34" s="553"/>
      <c r="U34" s="553"/>
      <c r="V34" s="553"/>
      <c r="W34" s="553"/>
      <c r="X34" s="553"/>
      <c r="Y34" s="553"/>
      <c r="Z34" s="553"/>
      <c r="AA34" s="553"/>
      <c r="AB34" s="553"/>
      <c r="AC34" s="553"/>
      <c r="AD34" s="553"/>
      <c r="AE34" s="553"/>
    </row>
    <row r="35" spans="1:31" x14ac:dyDescent="0.25">
      <c r="A35" s="7" t="str">
        <f ca="1">IF(AUTOEVENTO="Manual",IF(EVENTOS!$F35&gt;0,"F",""),IF(AND(B35&gt;0,B35&lt;=MAX(CÁLCULO!$M$15:$M$165)),"F",""))</f>
        <v>F</v>
      </c>
      <c r="B35" s="247">
        <f t="shared" ca="1" si="1"/>
        <v>20</v>
      </c>
      <c r="C35" s="514" t="str">
        <f ca="1">IF(AUTOEVENTO="Manual",IF($B35&gt;0,OFFSET(EVENTOS!$D$15,$B35-$B$15,0),0),IF(B35&lt;=MAX(CÁLCULO!$M$15:$M$165),VLOOKUP($B35,CÁLCULO!$M$15:$N$165,2,FALSE),0))</f>
        <v>PAVIMENTAÇÃO</v>
      </c>
      <c r="D35" s="554"/>
      <c r="E35" s="248"/>
      <c r="F35" t="str">
        <f t="shared" ca="1" si="2"/>
        <v>20. PAVIMENTAÇÃO</v>
      </c>
      <c r="G35" s="553"/>
      <c r="H35" s="553"/>
      <c r="I35" s="553"/>
      <c r="J35" s="553"/>
      <c r="K35" s="553"/>
      <c r="L35" s="553">
        <v>6</v>
      </c>
      <c r="M35" s="553"/>
      <c r="N35" s="553"/>
      <c r="O35" s="553"/>
      <c r="P35" s="553"/>
      <c r="Q35" s="553"/>
      <c r="R35" s="553"/>
      <c r="S35" s="553"/>
      <c r="T35" s="553"/>
      <c r="U35" s="553"/>
      <c r="V35" s="553"/>
      <c r="W35" s="553"/>
      <c r="X35" s="553"/>
      <c r="Y35" s="553"/>
      <c r="Z35" s="553"/>
      <c r="AA35" s="553"/>
      <c r="AB35" s="553"/>
      <c r="AC35" s="553"/>
      <c r="AD35" s="553"/>
      <c r="AE35" s="553"/>
    </row>
    <row r="36" spans="1:31" x14ac:dyDescent="0.25">
      <c r="A36" s="7" t="str">
        <f ca="1">IF(AUTOEVENTO="Manual",IF(EVENTOS!$F36&gt;0,"F",""),IF(AND(B36&gt;0,B36&lt;=MAX(CÁLCULO!$M$15:$M$165)),"F",""))</f>
        <v>F</v>
      </c>
      <c r="B36" s="247">
        <f t="shared" ca="1" si="1"/>
        <v>21</v>
      </c>
      <c r="C36" s="514" t="str">
        <f ca="1">IF(AUTOEVENTO="Manual",IF($B36&gt;0,OFFSET(EVENTOS!$D$15,$B36-$B$15,0),0),IF(B36&lt;=MAX(CÁLCULO!$M$15:$M$165),VLOOKUP($B36,CÁLCULO!$M$15:$N$165,2,FALSE),0))</f>
        <v>SINALIZAÇÃO</v>
      </c>
      <c r="D36" s="554"/>
      <c r="E36" s="248"/>
      <c r="F36" t="str">
        <f t="shared" ca="1" si="2"/>
        <v>21. SINALIZAÇÃO</v>
      </c>
      <c r="G36" s="553"/>
      <c r="H36" s="553"/>
      <c r="I36" s="553"/>
      <c r="J36" s="553"/>
      <c r="K36" s="553"/>
      <c r="L36" s="553">
        <v>6</v>
      </c>
      <c r="M36" s="553"/>
      <c r="N36" s="553"/>
      <c r="O36" s="553"/>
      <c r="P36" s="553"/>
      <c r="Q36" s="553"/>
      <c r="R36" s="553"/>
      <c r="S36" s="553"/>
      <c r="T36" s="553"/>
      <c r="U36" s="553"/>
      <c r="V36" s="553"/>
      <c r="W36" s="553"/>
      <c r="X36" s="553"/>
      <c r="Y36" s="553"/>
      <c r="Z36" s="553"/>
      <c r="AA36" s="553"/>
      <c r="AB36" s="553"/>
      <c r="AC36" s="553"/>
      <c r="AD36" s="553"/>
      <c r="AE36" s="553"/>
    </row>
    <row r="37" spans="1:31" x14ac:dyDescent="0.25">
      <c r="A37" s="7" t="str">
        <f ca="1">IF(AUTOEVENTO="Manual",IF(EVENTOS!$F37&gt;0,"F",""),IF(AND(B37&gt;0,B37&lt;=MAX(CÁLCULO!$M$15:$M$165)),"F",""))</f>
        <v>F</v>
      </c>
      <c r="B37" s="247">
        <f t="shared" ca="1" si="1"/>
        <v>22</v>
      </c>
      <c r="C37" s="514" t="str">
        <f ca="1">IF(AUTOEVENTO="Manual",IF($B37&gt;0,OFFSET(EVENTOS!$D$15,$B37-$B$15,0),0),IF(B37&lt;=MAX(CÁLCULO!$M$15:$M$165),VLOOKUP($B37,CÁLCULO!$M$15:$N$165,2,FALSE),0))</f>
        <v xml:space="preserve">ENSAIOS </v>
      </c>
      <c r="D37" s="554"/>
      <c r="E37" s="248"/>
      <c r="F37" t="str">
        <f t="shared" ca="1" si="2"/>
        <v xml:space="preserve">22. ENSAIOS </v>
      </c>
      <c r="G37" s="553"/>
      <c r="H37" s="553"/>
      <c r="I37" s="553"/>
      <c r="J37" s="553"/>
      <c r="K37" s="553"/>
      <c r="L37" s="553">
        <v>5</v>
      </c>
      <c r="M37" s="553"/>
      <c r="N37" s="553"/>
      <c r="O37" s="553"/>
      <c r="P37" s="553"/>
      <c r="Q37" s="553"/>
      <c r="R37" s="553"/>
      <c r="S37" s="553"/>
      <c r="T37" s="553"/>
      <c r="U37" s="553"/>
      <c r="V37" s="553"/>
      <c r="W37" s="553"/>
      <c r="X37" s="553"/>
      <c r="Y37" s="553"/>
      <c r="Z37" s="553"/>
      <c r="AA37" s="553"/>
      <c r="AB37" s="553"/>
      <c r="AC37" s="553"/>
      <c r="AD37" s="553"/>
      <c r="AE37" s="553"/>
    </row>
    <row r="38" spans="1:31" x14ac:dyDescent="0.25">
      <c r="A38" s="7" t="str">
        <f ca="1">IF(AUTOEVENTO="Manual",IF(EVENTOS!$F38&gt;0,"F",""),IF(AND(B38&gt;0,B38&lt;=MAX(CÁLCULO!$M$15:$M$165)),"F",""))</f>
        <v>F</v>
      </c>
      <c r="B38" s="247">
        <f t="shared" ca="1" si="1"/>
        <v>23</v>
      </c>
      <c r="C38" s="514" t="str">
        <f ca="1">IF(AUTOEVENTO="Manual",IF($B38&gt;0,OFFSET(EVENTOS!$D$15,$B38-$B$15,0),0),IF(B38&lt;=MAX(CÁLCULO!$M$15:$M$165),VLOOKUP($B38,CÁLCULO!$M$15:$N$165,2,FALSE),0))</f>
        <v xml:space="preserve">DESMOBILIZAÇÃO </v>
      </c>
      <c r="D38" s="554"/>
      <c r="E38" s="248"/>
      <c r="F38" t="str">
        <f t="shared" ca="1" si="2"/>
        <v xml:space="preserve">23. DESMOBILIZAÇÃO </v>
      </c>
      <c r="G38" s="553"/>
      <c r="H38" s="553"/>
      <c r="I38" s="553"/>
      <c r="J38" s="553"/>
      <c r="K38" s="553"/>
      <c r="L38" s="553">
        <v>6</v>
      </c>
      <c r="M38" s="553"/>
      <c r="N38" s="553"/>
      <c r="O38" s="553"/>
      <c r="P38" s="553"/>
      <c r="Q38" s="553"/>
      <c r="R38" s="553"/>
      <c r="S38" s="553"/>
      <c r="T38" s="553"/>
      <c r="U38" s="553"/>
      <c r="V38" s="553"/>
      <c r="W38" s="553"/>
      <c r="X38" s="553"/>
      <c r="Y38" s="553"/>
      <c r="Z38" s="553"/>
      <c r="AA38" s="553"/>
      <c r="AB38" s="553"/>
      <c r="AC38" s="553"/>
      <c r="AD38" s="553"/>
      <c r="AE38" s="553"/>
    </row>
    <row r="39" spans="1:31" x14ac:dyDescent="0.25">
      <c r="A39" s="7" t="str">
        <f ca="1">IF(AUTOEVENTO="Manual",IF(EVENTOS!$F39&gt;0,"F",""),IF(AND(B39&gt;0,B39&lt;=MAX(CÁLCULO!$M$15:$M$165)),"F",""))</f>
        <v/>
      </c>
      <c r="B39" s="247">
        <f t="shared" ca="1" si="1"/>
        <v>24</v>
      </c>
      <c r="C39" s="514">
        <f ca="1">IF(AUTOEVENTO="Manual",IF($B39&gt;0,OFFSET(EVENTOS!$D$15,$B39-$B$15,0),0),IF(B39&lt;=MAX(CÁLCULO!$M$15:$M$165),VLOOKUP($B39,CÁLCULO!$M$15:$N$165,2,FALSE),0))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5">
      <c r="A40" s="7" t="str">
        <f ca="1">IF(AUTOEVENTO="Manual",IF(EVENTOS!$F40&gt;0,"F",""),IF(AND(B40&gt;0,B40&lt;=MAX(CÁLCULO!$M$15:$M$165)),"F",""))</f>
        <v/>
      </c>
      <c r="B40" s="247">
        <f t="shared" ca="1" si="1"/>
        <v>25</v>
      </c>
      <c r="C40" s="514">
        <f ca="1">IF(AUTOEVENTO="Manual",IF($B40&gt;0,OFFSET(EVENTOS!$D$15,$B40-$B$15,0),0),IF(B40&lt;=MAX(CÁLCULO!$M$15:$M$165),VLOOKUP($B40,CÁLCULO!$M$15:$N$165,2,FALSE),0))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5">
      <c r="A41" s="7" t="str">
        <f ca="1">IF(AUTOEVENTO="Manual",IF(EVENTOS!$F41&gt;0,"F",""),IF(AND(B41&gt;0,B41&lt;=MAX(CÁLCULO!$M$15:$M$165)),"F",""))</f>
        <v/>
      </c>
      <c r="B41" s="247">
        <f t="shared" ca="1" si="1"/>
        <v>26</v>
      </c>
      <c r="C41" s="514">
        <f ca="1">IF(AUTOEVENTO="Manual",IF($B41&gt;0,OFFSET(EVENTOS!$D$15,$B41-$B$15,0),0),IF(B41&lt;=MAX(CÁLCULO!$M$15:$M$165),VLOOKUP($B41,CÁLCULO!$M$15:$N$165,2,FALSE),0))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5">
      <c r="A42" s="7" t="str">
        <f ca="1">IF(AUTOEVENTO="Manual",IF(EVENTOS!$F42&gt;0,"F",""),IF(AND(B42&gt;0,B42&lt;=MAX(CÁLCULO!$M$15:$M$165)),"F",""))</f>
        <v/>
      </c>
      <c r="B42" s="247">
        <f t="shared" ca="1" si="1"/>
        <v>27</v>
      </c>
      <c r="C42" s="514">
        <f ca="1">IF(AUTOEVENTO="Manual",IF($B42&gt;0,OFFSET(EVENTOS!$D$15,$B42-$B$15,0),0),IF(B42&lt;=MAX(CÁLCULO!$M$15:$M$165),VLOOKUP($B42,CÁLCULO!$M$15:$N$165,2,FALSE),0))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5">
      <c r="A43" s="7" t="str">
        <f ca="1">IF(AUTOEVENTO="Manual",IF(EVENTOS!$F43&gt;0,"F",""),IF(AND(B43&gt;0,B43&lt;=MAX(CÁLCULO!$M$15:$M$165)),"F",""))</f>
        <v/>
      </c>
      <c r="B43" s="247">
        <f t="shared" ca="1" si="1"/>
        <v>28</v>
      </c>
      <c r="C43" s="514">
        <f ca="1">IF(AUTOEVENTO="Manual",IF($B43&gt;0,OFFSET(EVENTOS!$D$15,$B43-$B$15,0),0),IF(B43&lt;=MAX(CÁLCULO!$M$15:$M$165),VLOOKUP($B43,CÁLCULO!$M$15:$N$165,2,FALSE),0))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5">
      <c r="A44" s="7" t="str">
        <f ca="1">IF(AUTOEVENTO="Manual",IF(EVENTOS!$F44&gt;0,"F",""),IF(AND(B44&gt;0,B44&lt;=MAX(CÁLCULO!$M$15:$M$165)),"F",""))</f>
        <v/>
      </c>
      <c r="B44" s="247">
        <f t="shared" ca="1" si="1"/>
        <v>29</v>
      </c>
      <c r="C44" s="514">
        <f ca="1">IF(AUTOEVENTO="Manual",IF($B44&gt;0,OFFSET(EVENTOS!$D$15,$B44-$B$15,0),0),IF(B44&lt;=MAX(CÁLCULO!$M$15:$M$165),VLOOKUP($B44,CÁLCULO!$M$15:$N$165,2,FALSE),0))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5">
      <c r="A45" s="7" t="str">
        <f ca="1">IF(AUTOEVENTO="Manual",IF(EVENTOS!$F45&gt;0,"F",""),IF(AND(B45&gt;0,B45&lt;=MAX(CÁLCULO!$M$15:$M$165)),"F",""))</f>
        <v/>
      </c>
      <c r="B45" s="247">
        <f t="shared" ca="1" si="1"/>
        <v>30</v>
      </c>
      <c r="C45" s="514">
        <f ca="1">IF(AUTOEVENTO="Manual",IF($B45&gt;0,OFFSET(EVENTOS!$D$15,$B45-$B$15,0),0),IF(B45&lt;=MAX(CÁLCULO!$M$15:$M$165),VLOOKUP($B45,CÁLCULO!$M$15:$N$165,2,FALSE),0))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5">
      <c r="A46" s="7" t="str">
        <f ca="1">IF(AUTOEVENTO="Manual",IF(EVENTOS!$F46&gt;0,"F",""),IF(AND(B46&gt;0,B46&lt;=MAX(CÁLCULO!$M$15:$M$165)),"F",""))</f>
        <v/>
      </c>
      <c r="B46" s="247">
        <f t="shared" ca="1" si="1"/>
        <v>31</v>
      </c>
      <c r="C46" s="514">
        <f ca="1">IF(AUTOEVENTO="Manual",IF($B46&gt;0,OFFSET(EVENTOS!$D$15,$B46-$B$15,0),0),IF(B46&lt;=MAX(CÁLCULO!$M$15:$M$165),VLOOKUP($B46,CÁLCULO!$M$15:$N$165,2,FALSE),0))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5">
      <c r="A47" s="7" t="str">
        <f ca="1">IF(AUTOEVENTO="Manual",IF(EVENTOS!$F47&gt;0,"F",""),IF(AND(B47&gt;0,B47&lt;=MAX(CÁLCULO!$M$15:$M$165)),"F",""))</f>
        <v/>
      </c>
      <c r="B47" s="247">
        <f t="shared" ca="1" si="1"/>
        <v>32</v>
      </c>
      <c r="C47" s="514">
        <f ca="1">IF(AUTOEVENTO="Manual",IF($B47&gt;0,OFFSET(EVENTOS!$D$15,$B47-$B$15,0),0),IF(B47&lt;=MAX(CÁLCULO!$M$15:$M$165),VLOOKUP($B47,CÁLCULO!$M$15:$N$165,2,FALSE),0))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5">
      <c r="A48" s="7" t="str">
        <f ca="1">IF(AUTOEVENTO="Manual",IF(EVENTOS!$F48&gt;0,"F",""),IF(AND(B48&gt;0,B48&lt;=MAX(CÁLCULO!$M$15:$M$165)),"F",""))</f>
        <v/>
      </c>
      <c r="B48" s="247">
        <f t="shared" ca="1" si="1"/>
        <v>33</v>
      </c>
      <c r="C48" s="514">
        <f ca="1">IF(AUTOEVENTO="Manual",IF($B48&gt;0,OFFSET(EVENTOS!$D$15,$B48-$B$15,0),0),IF(B48&lt;=MAX(CÁLCULO!$M$15:$M$165),VLOOKUP($B48,CÁLCULO!$M$15:$N$165,2,FALSE),0))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5">
      <c r="A49" s="7" t="str">
        <f ca="1">IF(AUTOEVENTO="Manual",IF(EVENTOS!$F49&gt;0,"F",""),IF(AND(B49&gt;0,B49&lt;=MAX(CÁLCULO!$M$15:$M$165)),"F",""))</f>
        <v/>
      </c>
      <c r="B49" s="247">
        <f t="shared" ca="1" si="1"/>
        <v>34</v>
      </c>
      <c r="C49" s="514">
        <f ca="1">IF(AUTOEVENTO="Manual",IF($B49&gt;0,OFFSET(EVENTOS!$D$15,$B49-$B$15,0),0),IF(B49&lt;=MAX(CÁLCULO!$M$15:$M$165),VLOOKUP($B49,CÁLCULO!$M$15:$N$165,2,FALSE),0))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5">
      <c r="A50" s="7" t="str">
        <f ca="1">IF(AUTOEVENTO="Manual",IF(EVENTOS!$F50&gt;0,"F",""),IF(AND(B50&gt;0,B50&lt;=MAX(CÁLCULO!$M$15:$M$165)),"F",""))</f>
        <v/>
      </c>
      <c r="B50" s="247">
        <f t="shared" ca="1" si="1"/>
        <v>35</v>
      </c>
      <c r="C50" s="514">
        <f ca="1">IF(AUTOEVENTO="Manual",IF($B50&gt;0,OFFSET(EVENTOS!$D$15,$B50-$B$15,0),0),IF(B50&lt;=MAX(CÁLCULO!$M$15:$M$165),VLOOKUP($B50,CÁLCULO!$M$15:$N$165,2,FALSE),0))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5">
      <c r="A51" s="7" t="str">
        <f ca="1">IF(AUTOEVENTO="Manual",IF(EVENTOS!$F51&gt;0,"F",""),IF(AND(B51&gt;0,B51&lt;=MAX(CÁLCULO!$M$15:$M$165)),"F",""))</f>
        <v/>
      </c>
      <c r="B51" s="247">
        <f t="shared" ca="1" si="1"/>
        <v>36</v>
      </c>
      <c r="C51" s="514">
        <f ca="1">IF(AUTOEVENTO="Manual",IF($B51&gt;0,OFFSET(EVENTOS!$D$15,$B51-$B$15,0),0),IF(B51&lt;=MAX(CÁLCULO!$M$15:$M$165),VLOOKUP($B51,CÁLCULO!$M$15:$N$165,2,FALSE),0))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5">
      <c r="A52" s="7" t="str">
        <f ca="1">IF(AUTOEVENTO="Manual",IF(EVENTOS!$F52&gt;0,"F",""),IF(AND(B52&gt;0,B52&lt;=MAX(CÁLCULO!$M$15:$M$165)),"F",""))</f>
        <v/>
      </c>
      <c r="B52" s="247">
        <f t="shared" ca="1" si="1"/>
        <v>37</v>
      </c>
      <c r="C52" s="514">
        <f ca="1">IF(AUTOEVENTO="Manual",IF($B52&gt;0,OFFSET(EVENTOS!$D$15,$B52-$B$15,0),0),IF(B52&lt;=MAX(CÁLCULO!$M$15:$M$165),VLOOKUP($B52,CÁLCULO!$M$15:$N$165,2,FALSE),0))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5">
      <c r="A53" s="7" t="str">
        <f ca="1">IF(AUTOEVENTO="Manual",IF(EVENTOS!$F53&gt;0,"F",""),IF(AND(B53&gt;0,B53&lt;=MAX(CÁLCULO!$M$15:$M$165)),"F",""))</f>
        <v/>
      </c>
      <c r="B53" s="247">
        <f t="shared" ca="1" si="1"/>
        <v>38</v>
      </c>
      <c r="C53" s="514">
        <f ca="1">IF(AUTOEVENTO="Manual",IF($B53&gt;0,OFFSET(EVENTOS!$D$15,$B53-$B$15,0),0),IF(B53&lt;=MAX(CÁLCULO!$M$15:$M$165),VLOOKUP($B53,CÁLCULO!$M$15:$N$165,2,FALSE),0))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5">
      <c r="A54" s="7" t="str">
        <f ca="1">IF(AUTOEVENTO="Manual",IF(EVENTOS!$F54&gt;0,"F",""),IF(AND(B54&gt;0,B54&lt;=MAX(CÁLCULO!$M$15:$M$165)),"F",""))</f>
        <v/>
      </c>
      <c r="B54" s="247">
        <f t="shared" ca="1" si="1"/>
        <v>39</v>
      </c>
      <c r="C54" s="514">
        <f ca="1">IF(AUTOEVENTO="Manual",IF($B54&gt;0,OFFSET(EVENTOS!$D$15,$B54-$B$15,0),0),IF(B54&lt;=MAX(CÁLCULO!$M$15:$M$165),VLOOKUP($B54,CÁLCULO!$M$15:$N$165,2,FALSE),0))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5">
      <c r="A55" s="7" t="str">
        <f ca="1">IF(AUTOEVENTO="Manual",IF(EVENTOS!$F55&gt;0,"F",""),IF(AND(B55&gt;0,B55&lt;=MAX(CÁLCULO!$M$15:$M$165)),"F",""))</f>
        <v/>
      </c>
      <c r="B55" s="247">
        <f t="shared" ca="1" si="1"/>
        <v>40</v>
      </c>
      <c r="C55" s="514">
        <f ca="1">IF(AUTOEVENTO="Manual",IF($B55&gt;0,OFFSET(EVENTOS!$D$15,$B55-$B$15,0),0),IF(B55&lt;=MAX(CÁLCULO!$M$15:$M$165),VLOOKUP($B55,CÁLCULO!$M$15:$N$165,2,FALSE),0))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5">
      <c r="A56" s="7" t="str">
        <f ca="1">IF(AUTOEVENTO="Manual",IF(EVENTOS!$F56&gt;0,"F",""),IF(AND(B56&gt;0,B56&lt;=MAX(CÁLCULO!$M$15:$M$165)),"F",""))</f>
        <v/>
      </c>
      <c r="B56" s="247">
        <f t="shared" ca="1" si="1"/>
        <v>41</v>
      </c>
      <c r="C56" s="514">
        <f ca="1">IF(AUTOEVENTO="Manual",IF($B56&gt;0,OFFSET(EVENTOS!$D$15,$B56-$B$15,0),0),IF(B56&lt;=MAX(CÁLCULO!$M$15:$M$165),VLOOKUP($B56,CÁLCULO!$M$15:$N$165,2,FALSE),0))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5">
      <c r="A57" s="7" t="str">
        <f ca="1">IF(AUTOEVENTO="Manual",IF(EVENTOS!$F57&gt;0,"F",""),IF(AND(B57&gt;0,B57&lt;=MAX(CÁLCULO!$M$15:$M$165)),"F",""))</f>
        <v/>
      </c>
      <c r="B57" s="247">
        <f t="shared" ca="1" si="1"/>
        <v>42</v>
      </c>
      <c r="C57" s="514">
        <f ca="1">IF(AUTOEVENTO="Manual",IF($B57&gt;0,OFFSET(EVENTOS!$D$15,$B57-$B$15,0),0),IF(B57&lt;=MAX(CÁLCULO!$M$15:$M$165),VLOOKUP($B57,CÁLCULO!$M$15:$N$165,2,FALSE),0))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5">
      <c r="A58" s="7" t="str">
        <f ca="1">IF(AUTOEVENTO="Manual",IF(EVENTOS!$F58&gt;0,"F",""),IF(AND(B58&gt;0,B58&lt;=MAX(CÁLCULO!$M$15:$M$165)),"F",""))</f>
        <v/>
      </c>
      <c r="B58" s="247">
        <f t="shared" ca="1" si="1"/>
        <v>43</v>
      </c>
      <c r="C58" s="514">
        <f ca="1">IF(AUTOEVENTO="Manual",IF($B58&gt;0,OFFSET(EVENTOS!$D$15,$B58-$B$15,0),0),IF(B58&lt;=MAX(CÁLCULO!$M$15:$M$165),VLOOKUP($B58,CÁLCULO!$M$15:$N$165,2,FALSE),0))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5">
      <c r="A59" s="7" t="str">
        <f ca="1">IF(AUTOEVENTO="Manual",IF(EVENTOS!$F59&gt;0,"F",""),IF(AND(B59&gt;0,B59&lt;=MAX(CÁLCULO!$M$15:$M$165)),"F",""))</f>
        <v/>
      </c>
      <c r="B59" s="247">
        <f t="shared" ca="1" si="1"/>
        <v>44</v>
      </c>
      <c r="C59" s="514">
        <f ca="1">IF(AUTOEVENTO="Manual",IF($B59&gt;0,OFFSET(EVENTOS!$D$15,$B59-$B$15,0),0),IF(B59&lt;=MAX(CÁLCULO!$M$15:$M$165),VLOOKUP($B59,CÁLCULO!$M$15:$N$165,2,FALSE),0))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5">
      <c r="A60" s="7" t="str">
        <f ca="1">IF(AUTOEVENTO="Manual",IF(EVENTOS!$F60&gt;0,"F",""),IF(AND(B60&gt;0,B60&lt;=MAX(CÁLCULO!$M$15:$M$165)),"F",""))</f>
        <v/>
      </c>
      <c r="B60" s="247">
        <f t="shared" ca="1" si="1"/>
        <v>45</v>
      </c>
      <c r="C60" s="514">
        <f ca="1">IF(AUTOEVENTO="Manual",IF($B60&gt;0,OFFSET(EVENTOS!$D$15,$B60-$B$15,0),0),IF(B60&lt;=MAX(CÁLCULO!$M$15:$M$165),VLOOKUP($B60,CÁLCULO!$M$15:$N$165,2,FALSE),0))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5">
      <c r="A61" s="7" t="str">
        <f ca="1">IF(AUTOEVENTO="Manual",IF(EVENTOS!$F61&gt;0,"F",""),IF(AND(B61&gt;0,B61&lt;=MAX(CÁLCULO!$M$15:$M$165)),"F",""))</f>
        <v/>
      </c>
      <c r="B61" s="247">
        <f t="shared" ca="1" si="1"/>
        <v>46</v>
      </c>
      <c r="C61" s="514">
        <f ca="1">IF(AUTOEVENTO="Manual",IF($B61&gt;0,OFFSET(EVENTOS!$D$15,$B61-$B$15,0),0),IF(B61&lt;=MAX(CÁLCULO!$M$15:$M$165),VLOOKUP($B61,CÁLCULO!$M$15:$N$165,2,FALSE),0))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5">
      <c r="A62" s="7" t="str">
        <f ca="1">IF(AUTOEVENTO="Manual",IF(EVENTOS!$F62&gt;0,"F",""),IF(AND(B62&gt;0,B62&lt;=MAX(CÁLCULO!$M$15:$M$165)),"F",""))</f>
        <v/>
      </c>
      <c r="B62" s="247">
        <f t="shared" ca="1" si="1"/>
        <v>47</v>
      </c>
      <c r="C62" s="514">
        <f ca="1">IF(AUTOEVENTO="Manual",IF($B62&gt;0,OFFSET(EVENTOS!$D$15,$B62-$B$15,0),0),IF(B62&lt;=MAX(CÁLCULO!$M$15:$M$165),VLOOKUP($B62,CÁLCULO!$M$15:$N$165,2,FALSE),0))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5">
      <c r="A63" s="7" t="str">
        <f ca="1">IF(AUTOEVENTO="Manual",IF(EVENTOS!$F63&gt;0,"F",""),IF(AND(B63&gt;0,B63&lt;=MAX(CÁLCULO!$M$15:$M$165)),"F",""))</f>
        <v/>
      </c>
      <c r="B63" s="247">
        <f t="shared" ca="1" si="1"/>
        <v>48</v>
      </c>
      <c r="C63" s="514">
        <f ca="1">IF(AUTOEVENTO="Manual",IF($B63&gt;0,OFFSET(EVENTOS!$D$15,$B63-$B$15,0),0),IF(B63&lt;=MAX(CÁLCULO!$M$15:$M$165),VLOOKUP($B63,CÁLCULO!$M$15:$N$165,2,FALSE),0))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5">
      <c r="A64" s="7" t="str">
        <f ca="1">IF(AUTOEVENTO="Manual",IF(EVENTOS!$F64&gt;0,"F",""),IF(AND(B64&gt;0,B64&lt;=MAX(CÁLCULO!$M$15:$M$165)),"F",""))</f>
        <v/>
      </c>
      <c r="B64" s="247">
        <f t="shared" ca="1" si="1"/>
        <v>49</v>
      </c>
      <c r="C64" s="514">
        <f ca="1">IF(AUTOEVENTO="Manual",IF($B64&gt;0,OFFSET(EVENTOS!$D$15,$B64-$B$15,0),0),IF(B64&lt;=MAX(CÁLCULO!$M$15:$M$165),VLOOKUP($B64,CÁLCULO!$M$15:$N$165,2,FALSE),0))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5">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5">
      <c r="A66" s="7" t="s">
        <v>536</v>
      </c>
    </row>
    <row r="67" spans="1:31" ht="14.4" x14ac:dyDescent="0.25">
      <c r="A67" s="7" t="s">
        <v>536</v>
      </c>
      <c r="C67" s="486" t="s">
        <v>779</v>
      </c>
      <c r="H67" s="756">
        <f>(ROW($G67)-ROW($G$67))/8*12+1</f>
        <v>1</v>
      </c>
      <c r="I67" s="756"/>
      <c r="J67" s="756">
        <f>H67+1</f>
        <v>2</v>
      </c>
      <c r="K67" s="756"/>
      <c r="L67" s="756">
        <f>J67+1</f>
        <v>3</v>
      </c>
      <c r="M67" s="756"/>
      <c r="N67" s="756">
        <f>L67+1</f>
        <v>4</v>
      </c>
      <c r="O67" s="756"/>
      <c r="P67" s="756">
        <f>N67+1</f>
        <v>5</v>
      </c>
      <c r="Q67" s="756"/>
      <c r="R67" s="756">
        <f>P67+1</f>
        <v>6</v>
      </c>
      <c r="S67" s="756"/>
      <c r="T67" s="756">
        <f>R67+1</f>
        <v>7</v>
      </c>
      <c r="U67" s="756"/>
      <c r="V67" s="756">
        <f>T67+1</f>
        <v>8</v>
      </c>
      <c r="W67" s="756"/>
      <c r="X67" s="756">
        <f>V67+1</f>
        <v>9</v>
      </c>
      <c r="Y67" s="756"/>
      <c r="Z67" s="756">
        <f>X67+1</f>
        <v>10</v>
      </c>
      <c r="AA67" s="756"/>
      <c r="AB67" s="756">
        <f>Z67+1</f>
        <v>11</v>
      </c>
      <c r="AC67" s="756"/>
      <c r="AD67" s="756">
        <f>AB67+1</f>
        <v>12</v>
      </c>
      <c r="AE67" s="756"/>
    </row>
    <row r="68" spans="1:31" ht="12.75" customHeight="1" x14ac:dyDescent="0.25">
      <c r="A68" s="7" t="s">
        <v>536</v>
      </c>
      <c r="C68" s="743" t="s">
        <v>780</v>
      </c>
      <c r="G68" s="551" t="s">
        <v>781</v>
      </c>
      <c r="H68" s="745">
        <f ca="1">OFFSET(CRONO!$T$96,0,CRONOPLE!H67)</f>
        <v>0.40506394950977853</v>
      </c>
      <c r="I68" s="745"/>
      <c r="J68" s="745">
        <f ca="1">OFFSET(CRONO!$T$96,0,CRONOPLE!J67)</f>
        <v>3.5854302919861157E-2</v>
      </c>
      <c r="K68" s="745"/>
      <c r="L68" s="745">
        <f ca="1">OFFSET(CRONO!$T$96,0,CRONOPLE!L67)</f>
        <v>6.8824911549532977E-2</v>
      </c>
      <c r="M68" s="745"/>
      <c r="N68" s="745">
        <f ca="1">OFFSET(CRONO!$T$96,0,CRONOPLE!N67)</f>
        <v>0.18395012615483969</v>
      </c>
      <c r="O68" s="745"/>
      <c r="P68" s="745">
        <f ca="1">OFFSET(CRONO!$T$96,0,CRONOPLE!P67)</f>
        <v>4.6363395494186596E-2</v>
      </c>
      <c r="Q68" s="745"/>
      <c r="R68" s="745">
        <f ca="1">OFFSET(CRONO!$T$96,0,CRONOPLE!R67)</f>
        <v>0.25994331437180096</v>
      </c>
      <c r="S68" s="745"/>
      <c r="T68" s="745">
        <f ca="1">OFFSET(CRONO!$T$96,0,CRONOPLE!T67)</f>
        <v>0</v>
      </c>
      <c r="U68" s="745"/>
      <c r="V68" s="745">
        <f ca="1">OFFSET(CRONO!$T$96,0,CRONOPLE!V67)</f>
        <v>0</v>
      </c>
      <c r="W68" s="745"/>
      <c r="X68" s="745">
        <f ca="1">OFFSET(CRONO!$T$96,0,CRONOPLE!X67)</f>
        <v>0</v>
      </c>
      <c r="Y68" s="745"/>
      <c r="Z68" s="745">
        <f ca="1">OFFSET(CRONO!$T$96,0,CRONOPLE!Z67)</f>
        <v>0</v>
      </c>
      <c r="AA68" s="745"/>
      <c r="AB68" s="745">
        <f ca="1">OFFSET(CRONO!$T$96,0,CRONOPLE!AB67)</f>
        <v>0</v>
      </c>
      <c r="AC68" s="745"/>
      <c r="AD68" s="745">
        <f ca="1">OFFSET(CRONO!$T$96,0,CRONOPLE!AD67)</f>
        <v>0</v>
      </c>
      <c r="AE68" s="745"/>
    </row>
    <row r="69" spans="1:31" ht="12.75" customHeight="1" x14ac:dyDescent="0.25">
      <c r="A69" s="7" t="s">
        <v>536</v>
      </c>
      <c r="C69" s="758"/>
      <c r="G69" s="487" t="s">
        <v>782</v>
      </c>
      <c r="H69" s="759">
        <f ca="1">OFFSET(CRONO!$T$100,0,CRONOPLE!H67)</f>
        <v>559645.9</v>
      </c>
      <c r="I69" s="759"/>
      <c r="J69" s="754">
        <f ca="1">OFFSET(CRONO!$T$100,0,CRONOPLE!J67)</f>
        <v>49537.150000000023</v>
      </c>
      <c r="K69" s="755"/>
      <c r="L69" s="754">
        <f ca="1">OFFSET(CRONO!$T$100,0,CRONOPLE!L67)</f>
        <v>95090.12</v>
      </c>
      <c r="M69" s="755"/>
      <c r="N69" s="754">
        <f ca="1">OFFSET(CRONO!$T$100,0,CRONOPLE!N67)</f>
        <v>254149.82999999996</v>
      </c>
      <c r="O69" s="755"/>
      <c r="P69" s="754">
        <f ca="1">OFFSET(CRONO!$T$100,0,CRONOPLE!P67)</f>
        <v>64056.760000000009</v>
      </c>
      <c r="Q69" s="755"/>
      <c r="R69" s="754">
        <f ca="1">OFFSET(CRONO!$T$100,0,CRONOPLE!R67)</f>
        <v>359143.81000000006</v>
      </c>
      <c r="S69" s="755"/>
      <c r="T69" s="754">
        <f ca="1">OFFSET(CRONO!$T$100,0,CRONOPLE!T67)</f>
        <v>0</v>
      </c>
      <c r="U69" s="755"/>
      <c r="V69" s="754">
        <f ca="1">OFFSET(CRONO!$T$100,0,CRONOPLE!V67)</f>
        <v>0</v>
      </c>
      <c r="W69" s="755"/>
      <c r="X69" s="754">
        <f ca="1">OFFSET(CRONO!$T$100,0,CRONOPLE!X67)</f>
        <v>0</v>
      </c>
      <c r="Y69" s="755"/>
      <c r="Z69" s="754">
        <f ca="1">OFFSET(CRONO!$T$100,0,CRONOPLE!Z67)</f>
        <v>0</v>
      </c>
      <c r="AA69" s="755"/>
      <c r="AB69" s="754">
        <f ca="1">OFFSET(CRONO!$T$100,0,CRONOPLE!AB67)</f>
        <v>0</v>
      </c>
      <c r="AC69" s="755"/>
      <c r="AD69" s="754">
        <f ca="1">OFFSET(CRONO!$T$100,0,CRONOPLE!AD67)</f>
        <v>0</v>
      </c>
      <c r="AE69" s="755"/>
    </row>
    <row r="70" spans="1:31" ht="12.75" customHeight="1" x14ac:dyDescent="0.25">
      <c r="A70" s="7" t="s">
        <v>536</v>
      </c>
      <c r="C70" s="743" t="s">
        <v>783</v>
      </c>
      <c r="G70" s="551" t="s">
        <v>781</v>
      </c>
      <c r="H70" s="745">
        <f ca="1">OFFSET(CRONO!$T$101,0,CRONOPLE!H67)</f>
        <v>0.40510000000000002</v>
      </c>
      <c r="I70" s="745"/>
      <c r="J70" s="748">
        <f ca="1">OFFSET(CRONO!$T$101,0,CRONOPLE!J67)</f>
        <v>0.44090000000000001</v>
      </c>
      <c r="K70" s="749"/>
      <c r="L70" s="748">
        <f ca="1">OFFSET(CRONO!$T$101,0,CRONOPLE!L67)</f>
        <v>0.50970000000000004</v>
      </c>
      <c r="M70" s="749"/>
      <c r="N70" s="748">
        <f ca="1">OFFSET(CRONO!$T$101,0,CRONOPLE!N67)</f>
        <v>0.69369999999999998</v>
      </c>
      <c r="O70" s="749"/>
      <c r="P70" s="748">
        <f ca="1">OFFSET(CRONO!$T$101,0,CRONOPLE!P67)</f>
        <v>0.74009999999999998</v>
      </c>
      <c r="Q70" s="749"/>
      <c r="R70" s="748">
        <f ca="1">OFFSET(CRONO!$T$101,0,CRONOPLE!R67)</f>
        <v>1</v>
      </c>
      <c r="S70" s="749"/>
      <c r="T70" s="748">
        <f ca="1">OFFSET(CRONO!$T$101,0,CRONOPLE!T67)</f>
        <v>1</v>
      </c>
      <c r="U70" s="749"/>
      <c r="V70" s="748">
        <f ca="1">OFFSET(CRONO!$T$101,0,CRONOPLE!V67)</f>
        <v>1</v>
      </c>
      <c r="W70" s="749"/>
      <c r="X70" s="748">
        <f ca="1">OFFSET(CRONO!$T$101,0,CRONOPLE!X67)</f>
        <v>1</v>
      </c>
      <c r="Y70" s="749"/>
      <c r="Z70" s="748">
        <f ca="1">OFFSET(CRONO!$T$101,0,CRONOPLE!Z67)</f>
        <v>1</v>
      </c>
      <c r="AA70" s="749"/>
      <c r="AB70" s="748">
        <f ca="1">OFFSET(CRONO!$T$101,0,CRONOPLE!AB67)</f>
        <v>1</v>
      </c>
      <c r="AC70" s="749"/>
      <c r="AD70" s="748">
        <f ca="1">OFFSET(CRONO!$T$101,0,CRONOPLE!AD67)</f>
        <v>1</v>
      </c>
      <c r="AE70" s="749"/>
    </row>
    <row r="71" spans="1:31" ht="12.75" customHeight="1" x14ac:dyDescent="0.25">
      <c r="A71" s="7" t="s">
        <v>536</v>
      </c>
      <c r="C71" s="744"/>
      <c r="G71" s="487" t="s">
        <v>782</v>
      </c>
      <c r="H71" s="753">
        <f ca="1">OFFSET(CRONO!$T$105,0,CRONOPLE!H67)</f>
        <v>559645.9</v>
      </c>
      <c r="I71" s="753"/>
      <c r="J71" s="751">
        <f ca="1">OFFSET(CRONO!$T$105,0,CRONOPLE!J67)</f>
        <v>609183.05000000005</v>
      </c>
      <c r="K71" s="752"/>
      <c r="L71" s="751">
        <f ca="1">OFFSET(CRONO!$T$105,0,CRONOPLE!L67)</f>
        <v>704273.17</v>
      </c>
      <c r="M71" s="752"/>
      <c r="N71" s="751">
        <f ca="1">OFFSET(CRONO!$T$105,0,CRONOPLE!N67)</f>
        <v>958423</v>
      </c>
      <c r="O71" s="752"/>
      <c r="P71" s="751">
        <f ca="1">OFFSET(CRONO!$T$105,0,CRONOPLE!P67)</f>
        <v>1022479.76</v>
      </c>
      <c r="Q71" s="752"/>
      <c r="R71" s="751">
        <f ca="1">OFFSET(CRONO!$T$105,0,CRONOPLE!R67)</f>
        <v>1381623.57</v>
      </c>
      <c r="S71" s="752"/>
      <c r="T71" s="751">
        <f ca="1">OFFSET(CRONO!$T$105,0,CRONOPLE!T67)</f>
        <v>1381623.57</v>
      </c>
      <c r="U71" s="752"/>
      <c r="V71" s="751">
        <f ca="1">OFFSET(CRONO!$T$105,0,CRONOPLE!V67)</f>
        <v>1381623.57</v>
      </c>
      <c r="W71" s="752"/>
      <c r="X71" s="751">
        <f ca="1">OFFSET(CRONO!$T$105,0,CRONOPLE!X67)</f>
        <v>1381623.57</v>
      </c>
      <c r="Y71" s="752"/>
      <c r="Z71" s="751">
        <f ca="1">OFFSET(CRONO!$T$105,0,CRONOPLE!Z67)</f>
        <v>1381623.57</v>
      </c>
      <c r="AA71" s="752"/>
      <c r="AB71" s="751">
        <f ca="1">OFFSET(CRONO!$T$105,0,CRONOPLE!AB67)</f>
        <v>1381623.57</v>
      </c>
      <c r="AC71" s="752"/>
      <c r="AD71" s="751">
        <f ca="1">OFFSET(CRONO!$T$105,0,CRONOPLE!AD67)</f>
        <v>1381623.57</v>
      </c>
      <c r="AE71" s="752"/>
    </row>
    <row r="72" spans="1:31" ht="12.75" customHeight="1" x14ac:dyDescent="0.25">
      <c r="A72" s="7" t="s">
        <v>536</v>
      </c>
      <c r="C72" s="552" t="s">
        <v>784</v>
      </c>
      <c r="D72" s="550"/>
      <c r="G72" s="551" t="s">
        <v>781</v>
      </c>
      <c r="H72" s="745" t="str">
        <f ca="1">OFFSET(CRONO!$T$106,0,CRONOPLE!H67)</f>
        <v/>
      </c>
      <c r="I72" s="745"/>
      <c r="J72" s="746" t="str">
        <f ca="1">OFFSET(CRONO!$T$106,0,CRONOPLE!J67)</f>
        <v/>
      </c>
      <c r="K72" s="747"/>
      <c r="L72" s="746" t="str">
        <f ca="1">OFFSET(CRONO!$T$106,0,CRONOPLE!L67)</f>
        <v/>
      </c>
      <c r="M72" s="747"/>
      <c r="N72" s="746" t="str">
        <f ca="1">OFFSET(CRONO!$T$106,0,CRONOPLE!N67)</f>
        <v/>
      </c>
      <c r="O72" s="747"/>
      <c r="P72" s="746" t="str">
        <f ca="1">OFFSET(CRONO!$T$106,0,CRONOPLE!P67)</f>
        <v/>
      </c>
      <c r="Q72" s="747"/>
      <c r="R72" s="746" t="str">
        <f ca="1">OFFSET(CRONO!$T$106,0,CRONOPLE!R67)</f>
        <v/>
      </c>
      <c r="S72" s="747"/>
      <c r="T72" s="746" t="str">
        <f ca="1">OFFSET(CRONO!$T$106,0,CRONOPLE!T67)</f>
        <v/>
      </c>
      <c r="U72" s="747"/>
      <c r="V72" s="746" t="str">
        <f ca="1">OFFSET(CRONO!$T$106,0,CRONOPLE!V67)</f>
        <v/>
      </c>
      <c r="W72" s="747"/>
      <c r="X72" s="746" t="str">
        <f ca="1">OFFSET(CRONO!$T$106,0,CRONOPLE!X67)</f>
        <v/>
      </c>
      <c r="Y72" s="747"/>
      <c r="Z72" s="746" t="str">
        <f ca="1">OFFSET(CRONO!$T$106,0,CRONOPLE!Z67)</f>
        <v/>
      </c>
      <c r="AA72" s="747"/>
      <c r="AB72" s="746" t="str">
        <f ca="1">OFFSET(CRONO!$T$106,0,CRONOPLE!AB67)</f>
        <v/>
      </c>
      <c r="AC72" s="747"/>
      <c r="AD72" s="746" t="str">
        <f ca="1">OFFSET(CRONO!$T$106,0,CRONOPLE!AD67)</f>
        <v/>
      </c>
      <c r="AE72" s="747"/>
    </row>
    <row r="73" spans="1:31" ht="15" customHeight="1" x14ac:dyDescent="0.3">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5">
      <c r="A74" s="7" t="s">
        <v>536</v>
      </c>
    </row>
    <row r="75" spans="1:31" ht="13.8" x14ac:dyDescent="0.25">
      <c r="A75" s="7" t="s">
        <v>536</v>
      </c>
      <c r="B75" s="138" t="str">
        <f>Import.Município</f>
        <v>SARANDI/RS</v>
      </c>
      <c r="C75" s="138"/>
      <c r="E75" s="488"/>
      <c r="F75" s="488"/>
      <c r="G75" s="488"/>
      <c r="H75" s="488"/>
      <c r="I75" s="488"/>
      <c r="J75" s="488"/>
      <c r="K75" s="488"/>
      <c r="L75" s="488"/>
      <c r="V75" s="460"/>
      <c r="W75" s="417"/>
      <c r="X75" s="417"/>
      <c r="Y75" s="417"/>
      <c r="Z75" s="417"/>
      <c r="AA75" s="417"/>
      <c r="AB75" s="417"/>
      <c r="AC75" s="417"/>
      <c r="AD75" s="417"/>
      <c r="AE75" s="417"/>
    </row>
    <row r="76" spans="1:31" x14ac:dyDescent="0.25">
      <c r="A76" s="7" t="s">
        <v>536</v>
      </c>
      <c r="B76" s="9" t="s">
        <v>693</v>
      </c>
      <c r="F76" s="185"/>
      <c r="G76" s="185"/>
      <c r="H76" s="185"/>
      <c r="I76" s="185"/>
      <c r="J76" s="185"/>
      <c r="K76" s="185"/>
      <c r="L76" s="187"/>
      <c r="V76" s="181" t="s">
        <v>696</v>
      </c>
    </row>
    <row r="77" spans="1:31" x14ac:dyDescent="0.25">
      <c r="A77" s="7" t="s">
        <v>536</v>
      </c>
      <c r="F77" s="185"/>
      <c r="G77" s="185"/>
      <c r="H77" s="185"/>
      <c r="I77" s="185"/>
      <c r="J77" s="185"/>
      <c r="K77" s="185"/>
      <c r="L77" s="187"/>
      <c r="V77" s="398" t="str">
        <f t="array" aca="1" ref="V77:V79" ca="1">OFFSET(Import.RespOrçamento,0,-1) &amp; " " &amp; Import.RespOrçamento</f>
        <v>Nome: LEONARDO HENRIQUE ZAMBERLAN</v>
      </c>
    </row>
    <row r="78" spans="1:31" ht="13.8" x14ac:dyDescent="0.25">
      <c r="A78" s="7" t="s">
        <v>536</v>
      </c>
      <c r="B78" s="750">
        <f>DADOS!$C$25</f>
        <v>46034</v>
      </c>
      <c r="C78" s="750"/>
      <c r="F78" s="185"/>
      <c r="G78" s="185"/>
      <c r="H78" s="185"/>
      <c r="I78" s="185"/>
      <c r="J78" s="185"/>
      <c r="K78" s="185"/>
      <c r="L78" s="187"/>
      <c r="V78" s="398" t="str">
        <f ca="1"/>
        <v>CREA/CAU: CREA-RS 242523</v>
      </c>
    </row>
    <row r="79" spans="1:31" x14ac:dyDescent="0.25">
      <c r="A79" s="7" t="s">
        <v>536</v>
      </c>
      <c r="B79" s="9" t="s">
        <v>694</v>
      </c>
      <c r="F79" s="185"/>
      <c r="G79" s="185"/>
      <c r="H79" s="185"/>
      <c r="I79" s="185"/>
      <c r="J79" s="185"/>
      <c r="K79" s="185"/>
      <c r="L79" s="187"/>
      <c r="V79" s="398" t="str">
        <f ca="1"/>
        <v xml:space="preserve">ART/RRT: </v>
      </c>
    </row>
  </sheetData>
  <sheetProtection algorithmName="SHA-512" hashValue="UlguDwSrNYJMwBh2ok1uw0JMhR8IcXXIGhAGSkFmsOrzKiiwIvTBwuQr66pi8Yqk49UG1UszNA/XUpN8rP1/MQ==" saltValue="D5rc3Hbs284KRHNn+oQdlQ=="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280" priority="719" stopIfTrue="1">
      <formula>IF(OR(E$12&gt;CÁLCULO.NúmeroDeFrentes,ACOMPANHAMENTO="BM"),TRUE,CRONOPLE.ValorDoEvento=0)</formula>
    </cfRule>
  </conditionalFormatting>
  <conditionalFormatting sqref="U4:Y4">
    <cfRule type="expression" dxfId="279" priority="609" stopIfTrue="1">
      <formula>QCI.ExisteManual</formula>
    </cfRule>
  </conditionalFormatting>
  <conditionalFormatting sqref="J67:AE67">
    <cfRule type="expression" dxfId="278" priority="608" stopIfTrue="1">
      <formula>OFFSET(J67,3,-2)=1</formula>
    </cfRule>
  </conditionalFormatting>
  <conditionalFormatting sqref="J68:AE68">
    <cfRule type="expression" dxfId="277" priority="603" stopIfTrue="1">
      <formula>OFFSET(J68,2,-2)=1</formula>
    </cfRule>
  </conditionalFormatting>
  <conditionalFormatting sqref="J69:AE69">
    <cfRule type="expression" dxfId="276" priority="602" stopIfTrue="1">
      <formula>OFFSET(J69,1,-2)=1</formula>
    </cfRule>
  </conditionalFormatting>
  <conditionalFormatting sqref="J70:AE70">
    <cfRule type="expression" dxfId="275" priority="601" stopIfTrue="1">
      <formula>OFFSET(J70,0,-2)=1</formula>
    </cfRule>
  </conditionalFormatting>
  <conditionalFormatting sqref="J71:AE71">
    <cfRule type="expression" dxfId="274" priority="600" stopIfTrue="1">
      <formula>OFFSET(J71,-1,-2)=1</formula>
    </cfRule>
  </conditionalFormatting>
  <conditionalFormatting sqref="B15:C15 E15 G15:AF15">
    <cfRule type="expression" dxfId="273" priority="424">
      <formula>$B$15=0</formula>
    </cfRule>
  </conditionalFormatting>
  <conditionalFormatting sqref="B8:C8">
    <cfRule type="expression" dxfId="272" priority="423">
      <formula>$B$7=""</formula>
    </cfRule>
  </conditionalFormatting>
  <conditionalFormatting sqref="J72:AE72">
    <cfRule type="expression" dxfId="271" priority="422">
      <formula>OFFSET(J72,-2,-2)=1</formula>
    </cfRule>
  </conditionalFormatting>
  <conditionalFormatting sqref="H72:AE72">
    <cfRule type="expression" dxfId="270" priority="421">
      <formula>ROUND(H72,4)&gt;ROUND(H70,4)</formula>
    </cfRule>
  </conditionalFormatting>
  <conditionalFormatting sqref="E16:E24 G16:AE24">
    <cfRule type="expression" dxfId="269" priority="6" stopIfTrue="1">
      <formula>IF(OR(E$12&gt;CÁLCULO.NúmeroDeFrentes,ACOMPANHAMENTO="BM"),TRUE,CRONOPLE.ValorDoEvento=0)</formula>
    </cfRule>
  </conditionalFormatting>
  <conditionalFormatting sqref="E25:E33 G25:AE33">
    <cfRule type="expression" dxfId="268" priority="5" stopIfTrue="1">
      <formula>IF(OR(E$12&gt;CÁLCULO.NúmeroDeFrentes,ACOMPANHAMENTO="BM"),TRUE,CRONOPLE.ValorDoEvento=0)</formula>
    </cfRule>
  </conditionalFormatting>
  <conditionalFormatting sqref="E34:E42 G34:AE42">
    <cfRule type="expression" dxfId="267" priority="4" stopIfTrue="1">
      <formula>IF(OR(E$12&gt;CÁLCULO.NúmeroDeFrentes,ACOMPANHAMENTO="BM"),TRUE,CRONOPLE.ValorDoEvento=0)</formula>
    </cfRule>
  </conditionalFormatting>
  <conditionalFormatting sqref="E43:E51 G43:AE51">
    <cfRule type="expression" dxfId="266" priority="3" stopIfTrue="1">
      <formula>IF(OR(E$12&gt;CÁLCULO.NúmeroDeFrentes,ACOMPANHAMENTO="BM"),TRUE,CRONOPLE.ValorDoEvento=0)</formula>
    </cfRule>
  </conditionalFormatting>
  <conditionalFormatting sqref="E52:E60 G52:AE60">
    <cfRule type="expression" dxfId="265" priority="2" stopIfTrue="1">
      <formula>IF(OR(E$12&gt;CÁLCULO.NúmeroDeFrentes,ACOMPANHAMENTO="BM"),TRUE,CRONOPLE.ValorDoEvento=0)</formula>
    </cfRule>
  </conditionalFormatting>
  <conditionalFormatting sqref="E61:E64 G61:AE64">
    <cfRule type="expression" dxfId="264"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&amp;LPMv3.13&amp;R&amp;P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112"/>
  <sheetViews>
    <sheetView showGridLines="0" zoomScale="70" zoomScaleNormal="7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09375" defaultRowHeight="13.2" x14ac:dyDescent="0.25"/>
  <cols>
    <col min="1" max="1" width="9.109375" style="186" hidden="1" customWidth="1"/>
    <col min="2" max="4" width="9.109375" style="185" hidden="1" customWidth="1"/>
    <col min="5" max="5" width="11" style="186" hidden="1" customWidth="1"/>
    <col min="6" max="6" width="19" style="185" hidden="1" customWidth="1"/>
    <col min="7" max="7" width="3.5546875" style="186" customWidth="1"/>
    <col min="8" max="8" width="12.5546875" style="185" customWidth="1"/>
    <col min="9" max="9" width="7.109375" style="186" customWidth="1"/>
    <col min="10" max="10" width="11.5546875" style="186" customWidth="1"/>
    <col min="11" max="11" width="12" style="186" customWidth="1"/>
    <col min="12" max="12" width="11" style="186" customWidth="1"/>
    <col min="13" max="18" width="9.109375" style="185" hidden="1" customWidth="1"/>
    <col min="19" max="19" width="11.44140625" style="187" customWidth="1"/>
    <col min="20" max="20" width="9.5546875" style="187" customWidth="1"/>
    <col min="21" max="32" width="11" style="186" customWidth="1"/>
    <col min="33" max="33" width="5.5546875" style="186" hidden="1" customWidth="1"/>
    <col min="34" max="16384" width="9.109375" style="186"/>
  </cols>
  <sheetData>
    <row r="1" spans="1:33" hidden="1" x14ac:dyDescent="0.25">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f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IF($F2=-1,0,IF(N$13&lt;=$M1,IF(ISERROR(MATCH(N$13,OFFSET($M1,1,0,ROW($M$95)-ROW($M1)-1),0)),ROW($M$95)-ROW($M1)-1,MATCH(N$13,OFFSET($M1,1,0,ROW($M$95)-ROW($M1)-1),0)-1),0))</f>
        <v>#REF!</v>
      </c>
      <c r="O1" s="193" t="e">
        <f ca="1">IF($F2=-1,0,IF(O$13&lt;=$M1,IF(ISERROR(MATCH(O$13,OFFSET($M1,1,0,ROW($M$95)-ROW($M1)-1),0)),ROW($M$95)-ROW($M1)-1,MATCH(O$13,OFFSET($M1,1,0,ROW($M$95)-ROW($M1)-1),0)-1),0))</f>
        <v>#REF!</v>
      </c>
      <c r="P1" s="193" t="e">
        <f ca="1">IF($F2=-1,0,IF(P$13&lt;=$M1,IF(ISERROR(MATCH(P$13,OFFSET($M1,1,0,ROW($M$95)-ROW($M1)-1),0)),ROW($M$95)-ROW($M1)-1,MATCH(P$13,OFFSET($M1,1,0,ROW($M$95)-ROW($M1)-1),0)-1),0))</f>
        <v>#REF!</v>
      </c>
      <c r="Q1" s="193" t="e">
        <f ca="1">IF($F2=-1,0,IF(Q$13&lt;=$M1,IF(ISERROR(MATCH(Q$13,OFFSET($M1,1,0,ROW($M$95)-ROW($M1)-1),0)),ROW($M$95)-ROW($M1)-1,MATCH(Q$13,OFFSET($M1,1,0,ROW($M$95)-ROW($M1)-1),0)-1),0))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5">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5">
      <c r="D3" s="533"/>
      <c r="E3" s="202" t="e" cm="1">
        <f t="array" aca="1" ref="E3" ca="1">IF($R1=2,
         IF(AND(ACOMPANHAMENTO="PLE",ISNUMBER($F1)),
                SUMIF((OFFSET(CÁLCULO!$BC$15:$BU$15,$F1,0,OFFSET(ORÇAMENTO!$D$15,CRONO!$F1,0))),CRONO!E$12,OFFSET(CÁLCULO!$AJ$15:$BB$15,$F1,0,OFFSET(ORÇAMENTO!$D$15,CRONO!$F1,0)))
                +IF(AND($F3&lt;&gt;"",$F3&lt;&gt;0),
                        SUMIF(CÁLCULO!$BC$15:$BU$165,CRONO!E$12,CÁLCULO!$AJ$15:$BB$165)/(ORÇAMENTO!$X$15-_xlfn.SINGLE(CÁLCULO.TotalAdmLocal))*CRONO!$F3,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SUMIF((OFFSET(CÁLCULO!$BC$15:$BU$15,$F1,0,OFFSET(ORÇAMENTO!$D$15,CRONO!$F1,0))),CRONO!U$12,OFFSET(CÁLCULO!$AJ$15:$BB$15,$F1,0,OFFSET(ORÇAMENTO!$D$15,CRONO!$F1,0)))
                +IF(AND($F3&lt;&gt;"",$F3&lt;&gt;0),
                        SUMIF(CÁLCULO!$BC$15:$BU$165,CRONO!U$12,CÁLCULO!$AJ$15:$BB$165)/(ORÇAMENTO!$X$15-_xlfn.SINGLE(CÁLCULO.TotalAdmLocal))*CRONO!$F3,
                        0),
                 U2*$S1),
          SUMIF(OFFSET($S3,1,0,$R1-2),($M1+1)&amp;"$",OFFSET(U3,1,0,$R1-2)))</f>
        <v>#REF!</v>
      </c>
      <c r="V3" s="202" t="e" cm="1">
        <f t="array" aca="1" ref="V3" ca="1">IF($R1=2,
         IF(AND(ACOMPANHAMENTO="PLE",ISNUMBER($F1)),
                SUMIF((OFFSET(CÁLCULO!$BC$15:$BU$15,$F1,0,OFFSET(ORÇAMENTO!$D$15,CRONO!$F1,0))),CRONO!V$12,OFFSET(CÁLCULO!$AJ$15:$BB$15,$F1,0,OFFSET(ORÇAMENTO!$D$15,CRONO!$F1,0)))
                +IF(AND($F3&lt;&gt;"",$F3&lt;&gt;0),
                        SUMIF(CÁLCULO!$BC$15:$BU$165,CRONO!V$12,CÁLCULO!$AJ$15:$BB$165)/(ORÇAMENTO!$X$15-_xlfn.SINGLE(CÁLCULO.TotalAdmLocal))*CRONO!$F3,
                        0),
                 V2*$S1),
          SUMIF(OFFSET($S3,1,0,$R1-2),($M1+1)&amp;"$",OFFSET(V3,1,0,$R1-2)))</f>
        <v>#REF!</v>
      </c>
      <c r="W3" s="202" t="e" cm="1">
        <f t="array" aca="1" ref="W3" ca="1">IF($R1=2,
         IF(AND(ACOMPANHAMENTO="PLE",ISNUMBER($F1)),
                SUMIF((OFFSET(CÁLCULO!$BC$15:$BU$15,$F1,0,OFFSET(ORÇAMENTO!$D$15,CRONO!$F1,0))),CRONO!W$12,OFFSET(CÁLCULO!$AJ$15:$BB$15,$F1,0,OFFSET(ORÇAMENTO!$D$15,CRONO!$F1,0)))
                +IF(AND($F3&lt;&gt;"",$F3&lt;&gt;0),
                        SUMIF(CÁLCULO!$BC$15:$BU$165,CRONO!W$12,CÁLCULO!$AJ$15:$BB$165)/(ORÇAMENTO!$X$15-_xlfn.SINGLE(CÁLCULO.TotalAdmLocal))*CRONO!$F3,
                        0),
                 W2*$S1),
          SUMIF(OFFSET($S3,1,0,$R1-2),($M1+1)&amp;"$",OFFSET(W3,1,0,$R1-2)))</f>
        <v>#REF!</v>
      </c>
      <c r="X3" s="202" t="e" cm="1">
        <f t="array" aca="1" ref="X3" ca="1">IF($R1=2,
         IF(AND(ACOMPANHAMENTO="PLE",ISNUMBER($F1)),
                SUMIF((OFFSET(CÁLCULO!$BC$15:$BU$15,$F1,0,OFFSET(ORÇAMENTO!$D$15,CRONO!$F1,0))),CRONO!X$12,OFFSET(CÁLCULO!$AJ$15:$BB$15,$F1,0,OFFSET(ORÇAMENTO!$D$15,CRONO!$F1,0)))
                +IF(AND($F3&lt;&gt;"",$F3&lt;&gt;0),
                        SUMIF(CÁLCULO!$BC$15:$BU$165,CRONO!X$12,CÁLCULO!$AJ$15:$BB$165)/(ORÇAMENTO!$X$15-_xlfn.SINGLE(CÁLCULO.TotalAdmLocal))*CRONO!$F3,
                        0),
                 X2*$S1),
          SUMIF(OFFSET($S3,1,0,$R1-2),($M1+1)&amp;"$",OFFSET(X3,1,0,$R1-2)))</f>
        <v>#REF!</v>
      </c>
      <c r="Y3" s="202" t="e" cm="1">
        <f t="array" aca="1" ref="Y3" ca="1">IF($R1=2,
         IF(AND(ACOMPANHAMENTO="PLE",ISNUMBER($F1)),
                SUMIF((OFFSET(CÁLCULO!$BC$15:$BU$15,$F1,0,OFFSET(ORÇAMENTO!$D$15,CRONO!$F1,0))),CRONO!Y$12,OFFSET(CÁLCULO!$AJ$15:$BB$15,$F1,0,OFFSET(ORÇAMENTO!$D$15,CRONO!$F1,0)))
                +IF(AND($F3&lt;&gt;"",$F3&lt;&gt;0),
                        SUMIF(CÁLCULO!$BC$15:$BU$165,CRONO!Y$12,CÁLCULO!$AJ$15:$BB$165)/(ORÇAMENTO!$X$15-_xlfn.SINGLE(CÁLCULO.TotalAdmLocal))*CRONO!$F3,
                        0),
                 Y2*$S1),
          SUMIF(OFFSET($S3,1,0,$R1-2),($M1+1)&amp;"$",OFFSET(Y3,1,0,$R1-2)))</f>
        <v>#REF!</v>
      </c>
      <c r="Z3" s="202" t="e" cm="1">
        <f t="array" aca="1" ref="Z3" ca="1">IF($R1=2,
         IF(AND(ACOMPANHAMENTO="PLE",ISNUMBER($F1)),
                SUMIF((OFFSET(CÁLCULO!$BC$15:$BU$15,$F1,0,OFFSET(ORÇAMENTO!$D$15,CRONO!$F1,0))),CRONO!Z$12,OFFSET(CÁLCULO!$AJ$15:$BB$15,$F1,0,OFFSET(ORÇAMENTO!$D$15,CRONO!$F1,0)))
                +IF(AND($F3&lt;&gt;"",$F3&lt;&gt;0),
                        SUMIF(CÁLCULO!$BC$15:$BU$165,CRONO!Z$12,CÁLCULO!$AJ$15:$BB$165)/(ORÇAMENTO!$X$15-_xlfn.SINGLE(CÁLCULO.TotalAdmLocal))*CRONO!$F3,
                        0),
                 Z2*$S1),
          SUMIF(OFFSET($S3,1,0,$R1-2),($M1+1)&amp;"$",OFFSET(Z3,1,0,$R1-2)))</f>
        <v>#REF!</v>
      </c>
      <c r="AA3" s="202" t="e" cm="1">
        <f t="array" aca="1" ref="AA3" ca="1">IF($R1=2,
         IF(AND(ACOMPANHAMENTO="PLE",ISNUMBER($F1)),
                SUMIF((OFFSET(CÁLCULO!$BC$15:$BU$15,$F1,0,OFFSET(ORÇAMENTO!$D$15,CRONO!$F1,0))),CRONO!AA$12,OFFSET(CÁLCULO!$AJ$15:$BB$15,$F1,0,OFFSET(ORÇAMENTO!$D$15,CRONO!$F1,0)))
                +IF(AND($F3&lt;&gt;"",$F3&lt;&gt;0),
                        SUMIF(CÁLCULO!$BC$15:$BU$165,CRONO!AA$12,CÁLCULO!$AJ$15:$BB$165)/(ORÇAMENTO!$X$15-_xlfn.SINGLE(CÁLCULO.TotalAdmLocal))*CRONO!$F3,
                        0),
                 AA2*$S1),
          SUMIF(OFFSET($S3,1,0,$R1-2),($M1+1)&amp;"$",OFFSET(AA3,1,0,$R1-2)))</f>
        <v>#REF!</v>
      </c>
      <c r="AB3" s="202" t="e" cm="1">
        <f t="array" aca="1" ref="AB3" ca="1">IF($R1=2,
         IF(AND(ACOMPANHAMENTO="PLE",ISNUMBER($F1)),
                SUMIF((OFFSET(CÁLCULO!$BC$15:$BU$15,$F1,0,OFFSET(ORÇAMENTO!$D$15,CRONO!$F1,0))),CRONO!AB$12,OFFSET(CÁLCULO!$AJ$15:$BB$15,$F1,0,OFFSET(ORÇAMENTO!$D$15,CRONO!$F1,0)))
                +IF(AND($F3&lt;&gt;"",$F3&lt;&gt;0),
                        SUMIF(CÁLCULO!$BC$15:$BU$165,CRONO!AB$12,CÁLCULO!$AJ$15:$BB$165)/(ORÇAMENTO!$X$15-_xlfn.SINGLE(CÁLCULO.TotalAdmLocal))*CRONO!$F3,
                        0),
                 AB2*$S1),
          SUMIF(OFFSET($S3,1,0,$R1-2),($M1+1)&amp;"$",OFFSET(AB3,1,0,$R1-2)))</f>
        <v>#REF!</v>
      </c>
      <c r="AC3" s="202" t="e" cm="1">
        <f t="array" aca="1" ref="AC3" ca="1">IF($R1=2,
         IF(AND(ACOMPANHAMENTO="PLE",ISNUMBER($F1)),
                SUMIF((OFFSET(CÁLCULO!$BC$15:$BU$15,$F1,0,OFFSET(ORÇAMENTO!$D$15,CRONO!$F1,0))),CRONO!AC$12,OFFSET(CÁLCULO!$AJ$15:$BB$15,$F1,0,OFFSET(ORÇAMENTO!$D$15,CRONO!$F1,0)))
                +IF(AND($F3&lt;&gt;"",$F3&lt;&gt;0),
                        SUMIF(CÁLCULO!$BC$15:$BU$165,CRONO!AC$12,CÁLCULO!$AJ$15:$BB$165)/(ORÇAMENTO!$X$15-_xlfn.SINGLE(CÁLCULO.TotalAdmLocal))*CRONO!$F3,
                        0),
                 AC2*$S1),
          SUMIF(OFFSET($S3,1,0,$R1-2),($M1+1)&amp;"$",OFFSET(AC3,1,0,$R1-2)))</f>
        <v>#REF!</v>
      </c>
      <c r="AD3" s="202" t="e" cm="1">
        <f t="array" aca="1" ref="AD3" ca="1">IF($R1=2,
         IF(AND(ACOMPANHAMENTO="PLE",ISNUMBER($F1)),
                SUMIF((OFFSET(CÁLCULO!$BC$15:$BU$15,$F1,0,OFFSET(ORÇAMENTO!$D$15,CRONO!$F1,0))),CRONO!AD$12,OFFSET(CÁLCULO!$AJ$15:$BB$15,$F1,0,OFFSET(ORÇAMENTO!$D$15,CRONO!$F1,0)))
                +IF(AND($F3&lt;&gt;"",$F3&lt;&gt;0),
                        SUMIF(CÁLCULO!$BC$15:$BU$165,CRONO!AD$12,CÁLCULO!$AJ$15:$BB$165)/(ORÇAMENTO!$X$15-_xlfn.SINGLE(CÁLCULO.TotalAdmLocal))*CRONO!$F3,
                        0),
                 AD2*$S1),
          SUMIF(OFFSET($S3,1,0,$R1-2),($M1+1)&amp;"$",OFFSET(AD3,1,0,$R1-2)))</f>
        <v>#REF!</v>
      </c>
      <c r="AE3" s="202" t="e" cm="1">
        <f t="array" aca="1" ref="AE3" ca="1">IF($R1=2,
         IF(AND(ACOMPANHAMENTO="PLE",ISNUMBER($F1)),
                SUMIF((OFFSET(CÁLCULO!$BC$15:$BU$15,$F1,0,OFFSET(ORÇAMENTO!$D$15,CRONO!$F1,0))),CRONO!AE$12,OFFSET(CÁLCULO!$AJ$15:$BB$15,$F1,0,OFFSET(ORÇAMENTO!$D$15,CRONO!$F1,0)))
                +IF(AND($F3&lt;&gt;"",$F3&lt;&gt;0),
                        SUMIF(CÁLCULO!$BC$15:$BU$165,CRONO!AE$12,CÁLCULO!$AJ$15:$BB$165)/(ORÇAMENTO!$X$15-_xlfn.SINGLE(CÁLCULO.TotalAdmLocal))*CRONO!$F3,
                        0),
                 AE2*$S1),
          SUMIF(OFFSET($S3,1,0,$R1-2),($M1+1)&amp;"$",OFFSET(AE3,1,0,$R1-2)))</f>
        <v>#REF!</v>
      </c>
      <c r="AF3" s="202" t="e" cm="1">
        <f t="array" aca="1" ref="AF3" ca="1">IF($R1=2,
         IF(AND(ACOMPANHAMENTO="PLE",ISNUMBER($F1)),
                SUMIF((OFFSET(CÁLCULO!$BC$15:$BU$15,$F1,0,OFFSET(ORÇAMENTO!$D$15,CRONO!$F1,0))),CRONO!AF$12,OFFSET(CÁLCULO!$AJ$15:$BB$15,$F1,0,OFFSET(ORÇAMENTO!$D$15,CRONO!$F1,0)))
                +IF(AND($F3&lt;&gt;"",$F3&lt;&gt;0),
                        SUMIF(CÁLCULO!$BC$15:$BU$165,CRONO!AF$12,CÁLCULO!$AJ$15:$BB$165)/(ORÇAMENTO!$X$15-_xlfn.SINGLE(CÁLCULO.TotalAdmLocal))*CRONO!$F3,
                        0),
                 AF2*$S1),
          SUMIF(OFFSET($S3,1,0,$R1-2),($M1+1)&amp;"$",OFFSET(AF3,1,0,$R1-2)))</f>
        <v>#REF!</v>
      </c>
      <c r="AG3" s="534"/>
    </row>
    <row r="4" spans="1:33" ht="15" customHeight="1" x14ac:dyDescent="0.3">
      <c r="S4" s="206" t="str">
        <f>IF(TIPOORCAMENTO="licitado","CFF - CRONOGRAMA FÍSICO-FINANCEIRO LICITADO","CFF - CRONOGRAMA FÍSICO-FINANCEIRO")</f>
        <v>CFF - CRONOGRAMA FÍSICO-FINANCEIRO</v>
      </c>
      <c r="AE4" s="705" t="s">
        <v>644</v>
      </c>
      <c r="AF4" s="705"/>
    </row>
    <row r="5" spans="1:33" ht="15" x14ac:dyDescent="0.25">
      <c r="S5" s="83" t="str">
        <f>import.recurso</f>
        <v>(SELECIONAR)</v>
      </c>
      <c r="AE5" s="706" t="s">
        <v>647</v>
      </c>
      <c r="AF5" s="706"/>
    </row>
    <row r="6" spans="1:33" ht="12.75" customHeight="1" x14ac:dyDescent="0.25"/>
    <row r="7" spans="1:33" ht="12.75" customHeight="1" x14ac:dyDescent="0.25">
      <c r="F7" s="207"/>
      <c r="H7" s="775" t="s">
        <v>786</v>
      </c>
      <c r="I7" s="208" t="s">
        <v>650</v>
      </c>
      <c r="J7" s="209"/>
      <c r="K7" s="210" t="s">
        <v>787</v>
      </c>
      <c r="L7" s="211" t="s">
        <v>788</v>
      </c>
      <c r="M7" s="186"/>
      <c r="N7" s="186"/>
      <c r="O7" s="186"/>
      <c r="T7" s="212"/>
      <c r="U7" s="208" t="s">
        <v>758</v>
      </c>
      <c r="Y7" s="209"/>
      <c r="Z7" s="208" t="str">
        <f>IF(TIPOORCAMENTO="Licitado","NOME DA EMPRESA","DESCRIÇÃO DO LOTE")</f>
        <v>DESCRIÇÃO DO LOTE</v>
      </c>
      <c r="AF7" s="213" t="str">
        <f>IF(TIPOORCAMENTO="Licitado","Nº CTEF","")</f>
        <v/>
      </c>
    </row>
    <row r="8" spans="1:33" ht="13.8" x14ac:dyDescent="0.3">
      <c r="A8" s="186" t="s">
        <v>975</v>
      </c>
      <c r="E8" s="185"/>
      <c r="F8" s="114"/>
      <c r="G8" s="694" t="s">
        <v>655</v>
      </c>
      <c r="H8" s="775"/>
      <c r="I8" s="766">
        <f>Import.CR</f>
        <v>0</v>
      </c>
      <c r="J8" s="766"/>
      <c r="K8" s="214">
        <f>Import.TransfereGOV</f>
        <v>0</v>
      </c>
      <c r="L8" s="765" t="str">
        <f>Import.Proponente</f>
        <v>MUNICÍPIO DE SARANDI</v>
      </c>
      <c r="M8" s="765"/>
      <c r="N8" s="765"/>
      <c r="O8" s="765"/>
      <c r="P8" s="765"/>
      <c r="Q8" s="765"/>
      <c r="R8" s="765"/>
      <c r="S8" s="765"/>
      <c r="T8" s="765"/>
      <c r="U8" s="766" t="str">
        <f>Import.Apelido</f>
        <v>PAVIMENTAÇÃO ASFÁLTICA EM DIVERSOS TRECHOS NO MUNICÍPIO DE SARANDI</v>
      </c>
      <c r="V8" s="766"/>
      <c r="W8" s="766"/>
      <c r="X8" s="766"/>
      <c r="Y8" s="766"/>
      <c r="Z8" s="776" t="str">
        <f>IF(TIPOORCAMENTO="Licitado",Import.empresa,Import.DescLote)</f>
        <v>PAVIMENTAÇÃO ASFÁLTICA EM DIVERSOS TRECHOS NO MUNICÍPIO DE SARANDI</v>
      </c>
      <c r="AA8" s="776"/>
      <c r="AB8" s="776"/>
      <c r="AC8" s="776"/>
      <c r="AD8" s="776"/>
      <c r="AE8" s="776"/>
      <c r="AF8" s="203" t="str">
        <f>IF(TIPOORCAMENTO="Licitado",Import.CTEF,"")</f>
        <v/>
      </c>
    </row>
    <row r="9" spans="1:33" ht="13.8" x14ac:dyDescent="0.3">
      <c r="A9" s="655">
        <v>2</v>
      </c>
      <c r="F9" s="114"/>
      <c r="G9" s="694"/>
      <c r="H9" s="775"/>
    </row>
    <row r="10" spans="1:33" x14ac:dyDescent="0.25">
      <c r="A10" s="656">
        <v>3</v>
      </c>
      <c r="F10" s="185" cm="1">
        <f t="array" aca="1" ref="F10" ca="1">CRONO.LinhasNecessarias</f>
        <v>27</v>
      </c>
      <c r="G10" s="694"/>
      <c r="H10" s="215">
        <v>3</v>
      </c>
      <c r="K10" s="767" t="str" cm="1">
        <f t="array" aca="1" ref="K10" ca="1">IF(MAX($B$13:$B$95)&lt;CRONO.LinhasNecessarias,"ERRO: NÚMERO DE LINHAS DO CRONOGRAMA INSUFICIENTE. CLIQUE EM ATUALIZAR LINHAS.",IF(AND(ACOMPANHAMENTO="PLE",ROUND(OFFSET($AG$105,0,-1),2)=0),"CRONOGRAMA DEVE SER PREENCHIDO POR EVENTOS",IF(ROUND(OFFSET($AG$105,0,-1),2)&lt;&gt;$R$96,"ERRO: CRONOGRAMA NÃO FECHA 100%","")))</f>
        <v/>
      </c>
      <c r="L10" s="767"/>
      <c r="M10" s="767"/>
      <c r="N10" s="767"/>
      <c r="O10" s="767"/>
      <c r="P10" s="767"/>
      <c r="Q10" s="767"/>
      <c r="R10" s="767"/>
      <c r="S10" s="767"/>
      <c r="T10" s="767"/>
    </row>
    <row r="11" spans="1:33" ht="12.75" customHeight="1" x14ac:dyDescent="0.25">
      <c r="A11" s="657">
        <v>4</v>
      </c>
      <c r="F11" s="185" cm="1">
        <f t="array" aca="1" ref="F11" ca="1">CRONO.ParcelaFinal</f>
        <v>6</v>
      </c>
      <c r="G11" s="694"/>
      <c r="I11" s="216"/>
      <c r="J11" s="216"/>
      <c r="K11" s="767"/>
      <c r="L11" s="767"/>
      <c r="M11" s="767"/>
      <c r="N11" s="767"/>
      <c r="O11" s="767"/>
      <c r="P11" s="767"/>
      <c r="Q11" s="767"/>
      <c r="R11" s="767"/>
      <c r="S11" s="767"/>
      <c r="T11" s="767"/>
    </row>
    <row r="12" spans="1:33" ht="12.75" customHeight="1" x14ac:dyDescent="0.25">
      <c r="A12" s="186" t="s">
        <v>789</v>
      </c>
      <c r="E12" s="217">
        <f ca="1">OFFSET(E12,0,-1)+1</f>
        <v>1</v>
      </c>
      <c r="G12" s="106" t="s">
        <v>660</v>
      </c>
      <c r="H12" s="769" t="s">
        <v>790</v>
      </c>
      <c r="I12" s="770" t="s">
        <v>735</v>
      </c>
      <c r="J12" s="771" t="s">
        <v>118</v>
      </c>
      <c r="K12" s="218"/>
      <c r="L12" s="218"/>
      <c r="M12" s="219"/>
      <c r="N12" s="219"/>
      <c r="O12" s="219"/>
      <c r="P12" s="219"/>
      <c r="Q12" s="219"/>
      <c r="R12" s="219"/>
      <c r="S12" s="774" t="s">
        <v>791</v>
      </c>
      <c r="T12" s="764"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 customHeight="1" x14ac:dyDescent="0.25">
      <c r="B13" s="221" t="s">
        <v>793</v>
      </c>
      <c r="C13" s="221" t="s">
        <v>456</v>
      </c>
      <c r="D13" s="221" t="s">
        <v>794</v>
      </c>
      <c r="E13" s="222" t="e">
        <f ca="1">OFFSET(E13,0,-1)+41-DAY(OFFSET(E13,0,-1)+40)</f>
        <v>#VALUE!</v>
      </c>
      <c r="F13" s="221" t="s">
        <v>795</v>
      </c>
      <c r="H13" s="769"/>
      <c r="I13" s="770"/>
      <c r="J13" s="771"/>
      <c r="K13" s="223"/>
      <c r="L13" s="223"/>
      <c r="M13" s="224" t="s">
        <v>733</v>
      </c>
      <c r="N13" s="224">
        <v>1</v>
      </c>
      <c r="O13" s="224">
        <v>2</v>
      </c>
      <c r="P13" s="224">
        <v>3</v>
      </c>
      <c r="Q13" s="224">
        <v>4</v>
      </c>
      <c r="R13" s="225" t="s">
        <v>796</v>
      </c>
      <c r="S13" s="774"/>
      <c r="T13" s="764"/>
      <c r="U13" s="226">
        <v>46054</v>
      </c>
      <c r="V13" s="222">
        <f ca="1">OFFSET(V13,0,-1)+41-DAY(OFFSET(V13,0,-1)+40)</f>
        <v>46082</v>
      </c>
      <c r="W13" s="222">
        <f ca="1">OFFSET(W13,0,-1)+41-DAY(OFFSET(W13,0,-1)+40)</f>
        <v>46113</v>
      </c>
      <c r="X13" s="222">
        <f t="shared" ref="X13:AF13" ca="1" si="1">OFFSET(X13,0,-1)+41-DAY(OFFSET(X13,0,-1)+40)</f>
        <v>46143</v>
      </c>
      <c r="Y13" s="222">
        <f t="shared" ca="1" si="1"/>
        <v>46174</v>
      </c>
      <c r="Z13" s="222">
        <f t="shared" ca="1" si="1"/>
        <v>46204</v>
      </c>
      <c r="AA13" s="222">
        <f t="shared" ca="1" si="1"/>
        <v>46235</v>
      </c>
      <c r="AB13" s="222">
        <f t="shared" ca="1" si="1"/>
        <v>46266</v>
      </c>
      <c r="AC13" s="222">
        <f t="shared" ca="1" si="1"/>
        <v>46296</v>
      </c>
      <c r="AD13" s="222">
        <f t="shared" ca="1" si="1"/>
        <v>46327</v>
      </c>
      <c r="AE13" s="222">
        <f t="shared" ca="1" si="1"/>
        <v>46357</v>
      </c>
      <c r="AF13" s="538">
        <f t="shared" ca="1" si="1"/>
        <v>46388</v>
      </c>
      <c r="AG13" s="534"/>
    </row>
    <row r="14" spans="1:33" x14ac:dyDescent="0.25">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0.87357261306993084</v>
      </c>
      <c r="F14" s="185">
        <f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RERPERFILAMENTO E CBUQ SOBRE CALÇAMENTO AV. SETE DE SETEMBRO LOTEAMENTO BEM MORAR (TRECHO 2)</v>
      </c>
      <c r="K14" s="191"/>
      <c r="L14" s="191"/>
      <c r="M14" s="192">
        <f ca="1">IF($F15=0,OFFSET(ORÇAMENTO!C$15,$F14,0),1)</f>
        <v>1</v>
      </c>
      <c r="N14" s="193">
        <f ca="1">IF($F15=-1,0,IF(N$13&lt;=$M14,IF(ISERROR(MATCH(N$13,OFFSET($M14,1,0,ROW($M$95)-ROW($M14)-1),0)),ROW($M$95)-ROW($M14)-1,MATCH(N$13,OFFSET($M14,1,0,ROW($M$95)-ROW($M14)-1),0)-1),0))</f>
        <v>23</v>
      </c>
      <c r="O14" s="193">
        <f ca="1">IF($F15=-1,0,IF(O$13&lt;=$M14,IF(ISERROR(MATCH(O$13,OFFSET($M14,1,0,ROW($M$95)-ROW($M14)-1),0)),ROW($M$95)-ROW($M14)-1,MATCH(O$13,OFFSET($M14,1,0,ROW($M$95)-ROW($M14)-1),0)-1),0))</f>
        <v>0</v>
      </c>
      <c r="P14" s="193">
        <f ca="1">IF($F15=-1,0,IF(P$13&lt;=$M14,IF(ISERROR(MATCH(P$13,OFFSET($M14,1,0,ROW($M$95)-ROW($M14)-1),0)),ROW($M$95)-ROW($M14)-1,MATCH(P$13,OFFSET($M14,1,0,ROW($M$95)-ROW($M14)-1),0)-1),0))</f>
        <v>0</v>
      </c>
      <c r="Q14" s="193">
        <f ca="1">IF($F15=-1,0,IF(Q$13&lt;=$M14,IF(ISERROR(MATCH(Q$13,OFFSET($M14,1,0,ROW($M$95)-ROW($M14)-1),0)),ROW($M$95)-ROW($M14)-1,MATCH(Q$13,OFFSET($M14,1,0,ROW($M$95)-ROW($M14)-1),0)-1),0))</f>
        <v>0</v>
      </c>
      <c r="R14" s="193">
        <f t="shared" ref="R14" ca="1" si="5">MIN(OFFSET(M14,0,1,,M14))</f>
        <v>23</v>
      </c>
      <c r="S14" s="194">
        <f ca="1">IF($F15=0,OFFSET(ORÇAMENTO!X$15,$F14,0),IF($F15&lt;&gt;-1,OFFSET(QCI!$O$13,$F15,0),""))</f>
        <v>498227.73</v>
      </c>
      <c r="T14" s="195" t="s">
        <v>785</v>
      </c>
      <c r="U14" s="188" cm="1">
        <f t="array" aca="1" ref="U14" ca="1">IF(AND($R14=2,ACOMPANHAMENTO="BM"),ROUND(U15,4),U16/$S14)</f>
        <v>0.87357261306993084</v>
      </c>
      <c r="V14" s="188" cm="1">
        <f t="array" aca="1" ref="V14" ca="1">IF(AND($R14=2,ACOMPANHAMENTO="BM"),ROUND(V15,4),V16/$S14)</f>
        <v>7.0383376694027042E-2</v>
      </c>
      <c r="W14" s="188" cm="1">
        <f t="array" aca="1" ref="W14" ca="1">IF(AND($R14=2,ACOMPANHAMENTO="BM"),ROUND(W15,4),W16/$S14)</f>
        <v>1.8681336745347353E-2</v>
      </c>
      <c r="X14" s="188" cm="1">
        <f t="array" aca="1" ref="X14" ca="1">IF(AND($R14=2,ACOMPANHAMENTO="BM"),ROUND(X15,4),X16/$S14)</f>
        <v>0</v>
      </c>
      <c r="Y14" s="188" cm="1">
        <f t="array" aca="1" ref="Y14" ca="1">IF(AND($R14=2,ACOMPANHAMENTO="BM"),ROUND(Y15,4),Y16/$S14)</f>
        <v>1.8681336745347353E-2</v>
      </c>
      <c r="Z14" s="188" cm="1">
        <f t="array" aca="1" ref="Z14" ca="1">IF(AND($R14=2,ACOMPANHAMENTO="BM"),ROUND(Z15,4),Z16/$S14)</f>
        <v>1.8681336745347353E-2</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hidden="1" customHeight="1" x14ac:dyDescent="0.25">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5">
      <c r="D16" s="533"/>
      <c r="E16" s="202" cm="1">
        <f t="array" aca="1" ref="E16" ca="1">IF($R14=2,
         IF(AND(ACOMPANHAMENTO="PLE",ISNUMBER($F14)),
                SUMIF((OFFSET(CÁLCULO!$BC$15:$BU$15,$F14,0,OFFSET(ORÇAMENTO!$D$15,CRONO!$F14,0))),CRONO!E$12,OFFSET(CÁLCULO!$AJ$15:$BB$15,$F14,0,OFFSET(ORÇAMENTO!$D$15,CRONO!$F14,0)))
                +IF(AND($F16&lt;&gt;"",$F16&lt;&gt;0),
                        SUMIF(CÁLCULO!$BC$15:$BU$165,CRONO!E$12,CÁLCULO!$AJ$15:$BB$165)/(ORÇAMENTO!$X$15-_xlfn.SINGLE(CÁLCULO.TotalAdmLocal))*CRONO!$F16,
                        0),
                 E15*$S14),
          SUMIF(OFFSET($S16,1,0,$R14-2),($M14+1)&amp;"$",OFFSET(E16,1,0,$R14-2)))</f>
        <v>435238.1</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SUMIF((OFFSET(CÁLCULO!$BC$15:$BU$15,$F14,0,OFFSET(ORÇAMENTO!$D$15,CRONO!$F14,0))),CRONO!U$12,OFFSET(CÁLCULO!$AJ$15:$BB$15,$F14,0,OFFSET(ORÇAMENTO!$D$15,CRONO!$F14,0)))
                +IF(AND($F16&lt;&gt;"",$F16&lt;&gt;0),
                        SUMIF(CÁLCULO!$BC$15:$BU$165,CRONO!U$12,CÁLCULO!$AJ$15:$BB$165)/(ORÇAMENTO!$X$15-_xlfn.SINGLE(CÁLCULO.TotalAdmLocal))*CRONO!$F16,
                        0),
                 U15*$S14),
          SUMIF(OFFSET($S16,1,0,$R14-2),($M14+1)&amp;"$",OFFSET(U16,1,0,$R14-2)))</f>
        <v>435238.1</v>
      </c>
      <c r="V16" s="202" cm="1">
        <f t="array" aca="1" ref="V16" ca="1">IF($R14=2,
         IF(AND(ACOMPANHAMENTO="PLE",ISNUMBER($F14)),
                SUMIF((OFFSET(CÁLCULO!$BC$15:$BU$15,$F14,0,OFFSET(ORÇAMENTO!$D$15,CRONO!$F14,0))),CRONO!V$12,OFFSET(CÁLCULO!$AJ$15:$BB$15,$F14,0,OFFSET(ORÇAMENTO!$D$15,CRONO!$F14,0)))
                +IF(AND($F16&lt;&gt;"",$F16&lt;&gt;0),
                        SUMIF(CÁLCULO!$BC$15:$BU$165,CRONO!V$12,CÁLCULO!$AJ$15:$BB$165)/(ORÇAMENTO!$X$15-_xlfn.SINGLE(CÁLCULO.TotalAdmLocal))*CRONO!$F16,
                        0),
                 V15*$S14),
          SUMIF(OFFSET($S16,1,0,$R14-2),($M14+1)&amp;"$",OFFSET(V16,1,0,$R14-2)))</f>
        <v>35066.949999999997</v>
      </c>
      <c r="W16" s="202" cm="1">
        <f t="array" aca="1" ref="W16" ca="1">IF($R14=2,
         IF(AND(ACOMPANHAMENTO="PLE",ISNUMBER($F14)),
                SUMIF((OFFSET(CÁLCULO!$BC$15:$BU$15,$F14,0,OFFSET(ORÇAMENTO!$D$15,CRONO!$F14,0))),CRONO!W$12,OFFSET(CÁLCULO!$AJ$15:$BB$15,$F14,0,OFFSET(ORÇAMENTO!$D$15,CRONO!$F14,0)))
                +IF(AND($F16&lt;&gt;"",$F16&lt;&gt;0),
                        SUMIF(CÁLCULO!$BC$15:$BU$165,CRONO!W$12,CÁLCULO!$AJ$15:$BB$165)/(ORÇAMENTO!$X$15-_xlfn.SINGLE(CÁLCULO.TotalAdmLocal))*CRONO!$F16,
                        0),
                 W15*$S14),
          SUMIF(OFFSET($S16,1,0,$R14-2),($M14+1)&amp;"$",OFFSET(W16,1,0,$R14-2)))</f>
        <v>9307.56</v>
      </c>
      <c r="X16" s="202" cm="1">
        <f t="array" aca="1" ref="X16" ca="1">IF($R14=2,
         IF(AND(ACOMPANHAMENTO="PLE",ISNUMBER($F14)),
                SUMIF((OFFSET(CÁLCULO!$BC$15:$BU$15,$F14,0,OFFSET(ORÇAMENTO!$D$15,CRONO!$F14,0))),CRONO!X$12,OFFSET(CÁLCULO!$AJ$15:$BB$15,$F14,0,OFFSET(ORÇAMENTO!$D$15,CRONO!$F14,0)))
                +IF(AND($F16&lt;&gt;"",$F16&lt;&gt;0),
                        SUMIF(CÁLCULO!$BC$15:$BU$165,CRONO!X$12,CÁLCULO!$AJ$15:$BB$165)/(ORÇAMENTO!$X$15-_xlfn.SINGLE(CÁLCULO.TotalAdmLocal))*CRONO!$F16,
                        0),
                 X15*$S14),
          SUMIF(OFFSET($S16,1,0,$R14-2),($M14+1)&amp;"$",OFFSET(X16,1,0,$R14-2)))</f>
        <v>0</v>
      </c>
      <c r="Y16" s="202" cm="1">
        <f t="array" aca="1" ref="Y16" ca="1">IF($R14=2,
         IF(AND(ACOMPANHAMENTO="PLE",ISNUMBER($F14)),
                SUMIF((OFFSET(CÁLCULO!$BC$15:$BU$15,$F14,0,OFFSET(ORÇAMENTO!$D$15,CRONO!$F14,0))),CRONO!Y$12,OFFSET(CÁLCULO!$AJ$15:$BB$15,$F14,0,OFFSET(ORÇAMENTO!$D$15,CRONO!$F14,0)))
                +IF(AND($F16&lt;&gt;"",$F16&lt;&gt;0),
                        SUMIF(CÁLCULO!$BC$15:$BU$165,CRONO!Y$12,CÁLCULO!$AJ$15:$BB$165)/(ORÇAMENTO!$X$15-_xlfn.SINGLE(CÁLCULO.TotalAdmLocal))*CRONO!$F16,
                        0),
                 Y15*$S14),
          SUMIF(OFFSET($S16,1,0,$R14-2),($M14+1)&amp;"$",OFFSET(Y16,1,0,$R14-2)))</f>
        <v>9307.56</v>
      </c>
      <c r="Z16" s="202" cm="1">
        <f t="array" aca="1" ref="Z16" ca="1">IF($R14=2,
         IF(AND(ACOMPANHAMENTO="PLE",ISNUMBER($F14)),
                SUMIF((OFFSET(CÁLCULO!$BC$15:$BU$15,$F14,0,OFFSET(ORÇAMENTO!$D$15,CRONO!$F14,0))),CRONO!Z$12,OFFSET(CÁLCULO!$AJ$15:$BB$15,$F14,0,OFFSET(ORÇAMENTO!$D$15,CRONO!$F14,0)))
                +IF(AND($F16&lt;&gt;"",$F16&lt;&gt;0),
                        SUMIF(CÁLCULO!$BC$15:$BU$165,CRONO!Z$12,CÁLCULO!$AJ$15:$BB$165)/(ORÇAMENTO!$X$15-_xlfn.SINGLE(CÁLCULO.TotalAdmLocal))*CRONO!$F16,
                        0),
                 Z15*$S14),
          SUMIF(OFFSET($S16,1,0,$R14-2),($M14+1)&amp;"$",OFFSET(Z16,1,0,$R14-2)))</f>
        <v>9307.56</v>
      </c>
      <c r="AA16" s="202" cm="1">
        <f t="array" aca="1" ref="AA16" ca="1">IF($R14=2,
         IF(AND(ACOMPANHAMENTO="PLE",ISNUMBER($F14)),
                SUMIF((OFFSET(CÁLCULO!$BC$15:$BU$15,$F14,0,OFFSET(ORÇAMENTO!$D$15,CRONO!$F14,0))),CRONO!AA$12,OFFSET(CÁLCULO!$AJ$15:$BB$15,$F14,0,OFFSET(ORÇAMENTO!$D$15,CRONO!$F14,0)))
                +IF(AND($F16&lt;&gt;"",$F16&lt;&gt;0),
                        SUMIF(CÁLCULO!$BC$15:$BU$165,CRONO!AA$12,CÁLCULO!$AJ$15:$BB$165)/(ORÇAMENTO!$X$15-_xlfn.SINGLE(CÁLCULO.TotalAdmLocal))*CRONO!$F16,
                        0),
                 AA15*$S14),
          SUMIF(OFFSET($S16,1,0,$R14-2),($M14+1)&amp;"$",OFFSET(AA16,1,0,$R14-2)))</f>
        <v>0</v>
      </c>
      <c r="AB16" s="202" cm="1">
        <f t="array" aca="1" ref="AB16" ca="1">IF($R14=2,
         IF(AND(ACOMPANHAMENTO="PLE",ISNUMBER($F14)),
                SUMIF((OFFSET(CÁLCULO!$BC$15:$BU$15,$F14,0,OFFSET(ORÇAMENTO!$D$15,CRONO!$F14,0))),CRONO!AB$12,OFFSET(CÁLCULO!$AJ$15:$BB$15,$F14,0,OFFSET(ORÇAMENTO!$D$15,CRONO!$F14,0)))
                +IF(AND($F16&lt;&gt;"",$F16&lt;&gt;0),
                        SUMIF(CÁLCULO!$BC$15:$BU$165,CRONO!AB$12,CÁLCULO!$AJ$15:$BB$165)/(ORÇAMENTO!$X$15-_xlfn.SINGLE(CÁLCULO.TotalAdmLocal))*CRONO!$F16,
                        0),
                 AB15*$S14),
          SUMIF(OFFSET($S16,1,0,$R14-2),($M14+1)&amp;"$",OFFSET(AB16,1,0,$R14-2)))</f>
        <v>0</v>
      </c>
      <c r="AC16" s="202" cm="1">
        <f t="array" aca="1" ref="AC16" ca="1">IF($R14=2,
         IF(AND(ACOMPANHAMENTO="PLE",ISNUMBER($F14)),
                SUMIF((OFFSET(CÁLCULO!$BC$15:$BU$15,$F14,0,OFFSET(ORÇAMENTO!$D$15,CRONO!$F14,0))),CRONO!AC$12,OFFSET(CÁLCULO!$AJ$15:$BB$15,$F14,0,OFFSET(ORÇAMENTO!$D$15,CRONO!$F14,0)))
                +IF(AND($F16&lt;&gt;"",$F16&lt;&gt;0),
                        SUMIF(CÁLCULO!$BC$15:$BU$165,CRONO!AC$12,CÁLCULO!$AJ$15:$BB$165)/(ORÇAMENTO!$X$15-_xlfn.SINGLE(CÁLCULO.TotalAdmLocal))*CRONO!$F16,
                        0),
                 AC15*$S14),
          SUMIF(OFFSET($S16,1,0,$R14-2),($M14+1)&amp;"$",OFFSET(AC16,1,0,$R14-2)))</f>
        <v>0</v>
      </c>
      <c r="AD16" s="202" cm="1">
        <f t="array" aca="1" ref="AD16" ca="1">IF($R14=2,
         IF(AND(ACOMPANHAMENTO="PLE",ISNUMBER($F14)),
                SUMIF((OFFSET(CÁLCULO!$BC$15:$BU$15,$F14,0,OFFSET(ORÇAMENTO!$D$15,CRONO!$F14,0))),CRONO!AD$12,OFFSET(CÁLCULO!$AJ$15:$BB$15,$F14,0,OFFSET(ORÇAMENTO!$D$15,CRONO!$F14,0)))
                +IF(AND($F16&lt;&gt;"",$F16&lt;&gt;0),
                        SUMIF(CÁLCULO!$BC$15:$BU$165,CRONO!AD$12,CÁLCULO!$AJ$15:$BB$165)/(ORÇAMENTO!$X$15-_xlfn.SINGLE(CÁLCULO.TotalAdmLocal))*CRONO!$F16,
                        0),
                 AD15*$S14),
          SUMIF(OFFSET($S16,1,0,$R14-2),($M14+1)&amp;"$",OFFSET(AD16,1,0,$R14-2)))</f>
        <v>0</v>
      </c>
      <c r="AE16" s="202" cm="1">
        <f t="array" aca="1" ref="AE16" ca="1">IF($R14=2,
         IF(AND(ACOMPANHAMENTO="PLE",ISNUMBER($F14)),
                SUMIF((OFFSET(CÁLCULO!$BC$15:$BU$15,$F14,0,OFFSET(ORÇAMENTO!$D$15,CRONO!$F14,0))),CRONO!AE$12,OFFSET(CÁLCULO!$AJ$15:$BB$15,$F14,0,OFFSET(ORÇAMENTO!$D$15,CRONO!$F14,0)))
                +IF(AND($F16&lt;&gt;"",$F16&lt;&gt;0),
                        SUMIF(CÁLCULO!$BC$15:$BU$165,CRONO!AE$12,CÁLCULO!$AJ$15:$BB$165)/(ORÇAMENTO!$X$15-_xlfn.SINGLE(CÁLCULO.TotalAdmLocal))*CRONO!$F16,
                        0),
                 AE15*$S14),
          SUMIF(OFFSET($S16,1,0,$R14-2),($M14+1)&amp;"$",OFFSET(AE16,1,0,$R14-2)))</f>
        <v>0</v>
      </c>
      <c r="AF16" s="202" cm="1">
        <f t="array" aca="1" ref="AF16" ca="1">IF($R14=2,
         IF(AND(ACOMPANHAMENTO="PLE",ISNUMBER($F14)),
                SUMIF((OFFSET(CÁLCULO!$BC$15:$BU$15,$F14,0,OFFSET(ORÇAMENTO!$D$15,CRONO!$F14,0))),CRONO!AF$12,OFFSET(CÁLCULO!$AJ$15:$BB$15,$F14,0,OFFSET(ORÇAMENTO!$D$15,CRONO!$F14,0)))
                +IF(AND($F16&lt;&gt;"",$F16&lt;&gt;0),
                        SUMIF(CÁLCULO!$BC$15:$BU$165,CRONO!AF$12,CÁLCULO!$AJ$15:$BB$165)/(ORÇAMENTO!$X$15-_xlfn.SINGLE(CÁLCULO.TotalAdmLocal))*CRONO!$F16,
                        0),
                 AF15*$S14),
          SUMIF(OFFSET($S16,1,0,$R14-2),($M14+1)&amp;"$",OFFSET(AF16,1,0,$R14-2)))</f>
        <v>0</v>
      </c>
      <c r="AG16" s="534"/>
    </row>
    <row r="17" spans="1:33" x14ac:dyDescent="0.25">
      <c r="A17" s="186" t="e">
        <f t="shared" ref="A17" ca="1" si="8">IF($M17&gt;1,_xlfn.CONCAT($I17," ",$J17),"")</f>
        <v>#NAME?</v>
      </c>
      <c r="B17" s="185">
        <f t="shared" ref="B17" ca="1" si="9">OFFSET(B17,-3,0)+1</f>
        <v>2</v>
      </c>
      <c r="C17" s="185">
        <f ca="1">IF($R17&lt;&gt;2,0,IF($S17=0,1,IF(F18&gt;0,OFFSET(QCI!$M$13,SUBSTITUTE(F18,".",""),0),OFFSET(ORÇAMENTO!$AA$15,CRONO!$F17,0))/$S17))</f>
        <v>0.27621385324224029</v>
      </c>
      <c r="D17" s="185">
        <f ca="1">IF($R17&lt;&gt;2,0,IF($S17=0,1,IF(F18&gt;0,OFFSET(QCI!$N$13,SUBSTITUTE(F18,".",""),0),OFFSET(ORÇAMENTO!$AB$15,CRONO!$F17,0))/$S17))</f>
        <v>0</v>
      </c>
      <c r="E17" s="188" cm="1">
        <f t="array" aca="1" ref="E17" ca="1">IF(AND($R17=2,ACOMPANHAMENTO="BM"),ROUND(E18,4),E19/$S17)</f>
        <v>1</v>
      </c>
      <c r="F17" s="185">
        <f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INICIAIS</v>
      </c>
      <c r="K17" s="191"/>
      <c r="L17" s="191"/>
      <c r="M17" s="192">
        <f ca="1">IF($F18=0,OFFSET(ORÇAMENTO!C$15,$F17,0),1)</f>
        <v>2</v>
      </c>
      <c r="N17" s="193">
        <f ca="1">IF($F18=-1,0,IF(N$13&lt;=$M17,IF(ISERROR(MATCH(N$13,OFFSET($M17,1,0,ROW($M$95)-ROW($M17)-1),0)),ROW($M$95)-ROW($M17)-1,MATCH(N$13,OFFSET($M17,1,0,ROW($M$95)-ROW($M17)-1),0)-1),0))</f>
        <v>20</v>
      </c>
      <c r="O17" s="193">
        <f ca="1">IF($F18=-1,0,IF(O$13&lt;=$M17,IF(ISERROR(MATCH(O$13,OFFSET($M17,1,0,ROW($M$95)-ROW($M17)-1),0)),ROW($M$95)-ROW($M17)-1,MATCH(O$13,OFFSET($M17,1,0,ROW($M$95)-ROW($M17)-1),0)-1),0))</f>
        <v>2</v>
      </c>
      <c r="P17" s="193">
        <f ca="1">IF($F18=-1,0,IF(P$13&lt;=$M17,IF(ISERROR(MATCH(P$13,OFFSET($M17,1,0,ROW($M$95)-ROW($M17)-1),0)),ROW($M$95)-ROW($M17)-1,MATCH(P$13,OFFSET($M17,1,0,ROW($M$95)-ROW($M17)-1),0)-1),0))</f>
        <v>0</v>
      </c>
      <c r="Q17" s="193">
        <f ca="1">IF($F18=-1,0,IF(Q$13&lt;=$M17,IF(ISERROR(MATCH(Q$13,OFFSET($M17,1,0,ROW($M$95)-ROW($M17)-1),0)),ROW($M$95)-ROW($M17)-1,MATCH(Q$13,OFFSET($M17,1,0,ROW($M$95)-ROW($M17)-1),0)-1),0))</f>
        <v>0</v>
      </c>
      <c r="R17" s="193">
        <f t="shared" ref="R17" ca="1" si="11">MIN(OFFSET(M17,0,1,,M17))</f>
        <v>2</v>
      </c>
      <c r="S17" s="194">
        <f ca="1">IF($F18=0,OFFSET(ORÇAMENTO!X$15,$F17,0),IF($F18&lt;&gt;-1,OFFSET(QCI!$O$13,$F18,0),""))</f>
        <v>18380.169999999998</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hidden="1" customHeight="1" x14ac:dyDescent="0.25">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5">
      <c r="D19" s="533"/>
      <c r="E19" s="202" cm="1">
        <f t="array" aca="1" ref="E19" ca="1">IF($R17=2,
         IF(AND(ACOMPANHAMENTO="PLE",ISNUMBER($F17)),
                SUMIF((OFFSET(CÁLCULO!$BC$15:$BU$15,$F17,0,OFFSET(ORÇAMENTO!$D$15,CRONO!$F17,0))),CRONO!E$12,OFFSET(CÁLCULO!$AJ$15:$BB$15,$F17,0,OFFSET(ORÇAMENTO!$D$15,CRONO!$F17,0)))
                +IF(AND($F19&lt;&gt;"",$F19&lt;&gt;0),
                        SUMIF(CÁLCULO!$BC$15:$BU$165,CRONO!E$12,CÁLCULO!$AJ$15:$BB$165)/(ORÇAMENTO!$X$15-_xlfn.SINGLE(CÁLCULO.TotalAdmLocal))*CRONO!$F19,
                        0),
                 E18*$S17),
          SUMIF(OFFSET($S19,1,0,$R17-2),($M17+1)&amp;"$",OFFSET(E19,1,0,$R17-2)))</f>
        <v>18380.169999999998</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SUMIF((OFFSET(CÁLCULO!$BC$15:$BU$15,$F17,0,OFFSET(ORÇAMENTO!$D$15,CRONO!$F17,0))),CRONO!U$12,OFFSET(CÁLCULO!$AJ$15:$BB$15,$F17,0,OFFSET(ORÇAMENTO!$D$15,CRONO!$F17,0)))
                +IF(AND($F19&lt;&gt;"",$F19&lt;&gt;0),
                        SUMIF(CÁLCULO!$BC$15:$BU$165,CRONO!U$12,CÁLCULO!$AJ$15:$BB$165)/(ORÇAMENTO!$X$15-_xlfn.SINGLE(CÁLCULO.TotalAdmLocal))*CRONO!$F19,
                        0),
                 U18*$S17),
          SUMIF(OFFSET($S19,1,0,$R17-2),($M17+1)&amp;"$",OFFSET(U19,1,0,$R17-2)))</f>
        <v>18380.169999999998</v>
      </c>
      <c r="V19" s="202" cm="1">
        <f t="array" aca="1" ref="V19" ca="1">IF($R17=2,
         IF(AND(ACOMPANHAMENTO="PLE",ISNUMBER($F17)),
                SUMIF((OFFSET(CÁLCULO!$BC$15:$BU$15,$F17,0,OFFSET(ORÇAMENTO!$D$15,CRONO!$F17,0))),CRONO!V$12,OFFSET(CÁLCULO!$AJ$15:$BB$15,$F17,0,OFFSET(ORÇAMENTO!$D$15,CRONO!$F17,0)))
                +IF(AND($F19&lt;&gt;"",$F19&lt;&gt;0),
                        SUMIF(CÁLCULO!$BC$15:$BU$165,CRONO!V$12,CÁLCULO!$AJ$15:$BB$165)/(ORÇAMENTO!$X$15-_xlfn.SINGLE(CÁLCULO.TotalAdmLocal))*CRONO!$F19,
                        0),
                 V18*$S17),
          SUMIF(OFFSET($S19,1,0,$R17-2),($M17+1)&amp;"$",OFFSET(V19,1,0,$R17-2)))</f>
        <v>0</v>
      </c>
      <c r="W19" s="202" cm="1">
        <f t="array" aca="1" ref="W19" ca="1">IF($R17=2,
         IF(AND(ACOMPANHAMENTO="PLE",ISNUMBER($F17)),
                SUMIF((OFFSET(CÁLCULO!$BC$15:$BU$15,$F17,0,OFFSET(ORÇAMENTO!$D$15,CRONO!$F17,0))),CRONO!W$12,OFFSET(CÁLCULO!$AJ$15:$BB$15,$F17,0,OFFSET(ORÇAMENTO!$D$15,CRONO!$F17,0)))
                +IF(AND($F19&lt;&gt;"",$F19&lt;&gt;0),
                        SUMIF(CÁLCULO!$BC$15:$BU$165,CRONO!W$12,CÁLCULO!$AJ$15:$BB$165)/(ORÇAMENTO!$X$15-_xlfn.SINGLE(CÁLCULO.TotalAdmLocal))*CRONO!$F19,
                        0),
                 W18*$S17),
          SUMIF(OFFSET($S19,1,0,$R17-2),($M17+1)&amp;"$",OFFSET(W19,1,0,$R17-2)))</f>
        <v>0</v>
      </c>
      <c r="X19" s="202" cm="1">
        <f t="array" aca="1" ref="X19" ca="1">IF($R17=2,
         IF(AND(ACOMPANHAMENTO="PLE",ISNUMBER($F17)),
                SUMIF((OFFSET(CÁLCULO!$BC$15:$BU$15,$F17,0,OFFSET(ORÇAMENTO!$D$15,CRONO!$F17,0))),CRONO!X$12,OFFSET(CÁLCULO!$AJ$15:$BB$15,$F17,0,OFFSET(ORÇAMENTO!$D$15,CRONO!$F17,0)))
                +IF(AND($F19&lt;&gt;"",$F19&lt;&gt;0),
                        SUMIF(CÁLCULO!$BC$15:$BU$165,CRONO!X$12,CÁLCULO!$AJ$15:$BB$165)/(ORÇAMENTO!$X$15-_xlfn.SINGLE(CÁLCULO.TotalAdmLocal))*CRONO!$F19,
                        0),
                 X18*$S17),
          SUMIF(OFFSET($S19,1,0,$R17-2),($M17+1)&amp;"$",OFFSET(X19,1,0,$R17-2)))</f>
        <v>0</v>
      </c>
      <c r="Y19" s="202" cm="1">
        <f t="array" aca="1" ref="Y19" ca="1">IF($R17=2,
         IF(AND(ACOMPANHAMENTO="PLE",ISNUMBER($F17)),
                SUMIF((OFFSET(CÁLCULO!$BC$15:$BU$15,$F17,0,OFFSET(ORÇAMENTO!$D$15,CRONO!$F17,0))),CRONO!Y$12,OFFSET(CÁLCULO!$AJ$15:$BB$15,$F17,0,OFFSET(ORÇAMENTO!$D$15,CRONO!$F17,0)))
                +IF(AND($F19&lt;&gt;"",$F19&lt;&gt;0),
                        SUMIF(CÁLCULO!$BC$15:$BU$165,CRONO!Y$12,CÁLCULO!$AJ$15:$BB$165)/(ORÇAMENTO!$X$15-_xlfn.SINGLE(CÁLCULO.TotalAdmLocal))*CRONO!$F19,
                        0),
                 Y18*$S17),
          SUMIF(OFFSET($S19,1,0,$R17-2),($M17+1)&amp;"$",OFFSET(Y19,1,0,$R17-2)))</f>
        <v>0</v>
      </c>
      <c r="Z19" s="202" cm="1">
        <f t="array" aca="1" ref="Z19" ca="1">IF($R17=2,
         IF(AND(ACOMPANHAMENTO="PLE",ISNUMBER($F17)),
                SUMIF((OFFSET(CÁLCULO!$BC$15:$BU$15,$F17,0,OFFSET(ORÇAMENTO!$D$15,CRONO!$F17,0))),CRONO!Z$12,OFFSET(CÁLCULO!$AJ$15:$BB$15,$F17,0,OFFSET(ORÇAMENTO!$D$15,CRONO!$F17,0)))
                +IF(AND($F19&lt;&gt;"",$F19&lt;&gt;0),
                        SUMIF(CÁLCULO!$BC$15:$BU$165,CRONO!Z$12,CÁLCULO!$AJ$15:$BB$165)/(ORÇAMENTO!$X$15-_xlfn.SINGLE(CÁLCULO.TotalAdmLocal))*CRONO!$F19,
                        0),
                 Z18*$S17),
          SUMIF(OFFSET($S19,1,0,$R17-2),($M17+1)&amp;"$",OFFSET(Z19,1,0,$R17-2)))</f>
        <v>0</v>
      </c>
      <c r="AA19" s="202" cm="1">
        <f t="array" aca="1" ref="AA19" ca="1">IF($R17=2,
         IF(AND(ACOMPANHAMENTO="PLE",ISNUMBER($F17)),
                SUMIF((OFFSET(CÁLCULO!$BC$15:$BU$15,$F17,0,OFFSET(ORÇAMENTO!$D$15,CRONO!$F17,0))),CRONO!AA$12,OFFSET(CÁLCULO!$AJ$15:$BB$15,$F17,0,OFFSET(ORÇAMENTO!$D$15,CRONO!$F17,0)))
                +IF(AND($F19&lt;&gt;"",$F19&lt;&gt;0),
                        SUMIF(CÁLCULO!$BC$15:$BU$165,CRONO!AA$12,CÁLCULO!$AJ$15:$BB$165)/(ORÇAMENTO!$X$15-_xlfn.SINGLE(CÁLCULO.TotalAdmLocal))*CRONO!$F19,
                        0),
                 AA18*$S17),
          SUMIF(OFFSET($S19,1,0,$R17-2),($M17+1)&amp;"$",OFFSET(AA19,1,0,$R17-2)))</f>
        <v>0</v>
      </c>
      <c r="AB19" s="202" cm="1">
        <f t="array" aca="1" ref="AB19" ca="1">IF($R17=2,
         IF(AND(ACOMPANHAMENTO="PLE",ISNUMBER($F17)),
                SUMIF((OFFSET(CÁLCULO!$BC$15:$BU$15,$F17,0,OFFSET(ORÇAMENTO!$D$15,CRONO!$F17,0))),CRONO!AB$12,OFFSET(CÁLCULO!$AJ$15:$BB$15,$F17,0,OFFSET(ORÇAMENTO!$D$15,CRONO!$F17,0)))
                +IF(AND($F19&lt;&gt;"",$F19&lt;&gt;0),
                        SUMIF(CÁLCULO!$BC$15:$BU$165,CRONO!AB$12,CÁLCULO!$AJ$15:$BB$165)/(ORÇAMENTO!$X$15-_xlfn.SINGLE(CÁLCULO.TotalAdmLocal))*CRONO!$F19,
                        0),
                 AB18*$S17),
          SUMIF(OFFSET($S19,1,0,$R17-2),($M17+1)&amp;"$",OFFSET(AB19,1,0,$R17-2)))</f>
        <v>0</v>
      </c>
      <c r="AC19" s="202" cm="1">
        <f t="array" aca="1" ref="AC19" ca="1">IF($R17=2,
         IF(AND(ACOMPANHAMENTO="PLE",ISNUMBER($F17)),
                SUMIF((OFFSET(CÁLCULO!$BC$15:$BU$15,$F17,0,OFFSET(ORÇAMENTO!$D$15,CRONO!$F17,0))),CRONO!AC$12,OFFSET(CÁLCULO!$AJ$15:$BB$15,$F17,0,OFFSET(ORÇAMENTO!$D$15,CRONO!$F17,0)))
                +IF(AND($F19&lt;&gt;"",$F19&lt;&gt;0),
                        SUMIF(CÁLCULO!$BC$15:$BU$165,CRONO!AC$12,CÁLCULO!$AJ$15:$BB$165)/(ORÇAMENTO!$X$15-_xlfn.SINGLE(CÁLCULO.TotalAdmLocal))*CRONO!$F19,
                        0),
                 AC18*$S17),
          SUMIF(OFFSET($S19,1,0,$R17-2),($M17+1)&amp;"$",OFFSET(AC19,1,0,$R17-2)))</f>
        <v>0</v>
      </c>
      <c r="AD19" s="202" cm="1">
        <f t="array" aca="1" ref="AD19" ca="1">IF($R17=2,
         IF(AND(ACOMPANHAMENTO="PLE",ISNUMBER($F17)),
                SUMIF((OFFSET(CÁLCULO!$BC$15:$BU$15,$F17,0,OFFSET(ORÇAMENTO!$D$15,CRONO!$F17,0))),CRONO!AD$12,OFFSET(CÁLCULO!$AJ$15:$BB$15,$F17,0,OFFSET(ORÇAMENTO!$D$15,CRONO!$F17,0)))
                +IF(AND($F19&lt;&gt;"",$F19&lt;&gt;0),
                        SUMIF(CÁLCULO!$BC$15:$BU$165,CRONO!AD$12,CÁLCULO!$AJ$15:$BB$165)/(ORÇAMENTO!$X$15-_xlfn.SINGLE(CÁLCULO.TotalAdmLocal))*CRONO!$F19,
                        0),
                 AD18*$S17),
          SUMIF(OFFSET($S19,1,0,$R17-2),($M17+1)&amp;"$",OFFSET(AD19,1,0,$R17-2)))</f>
        <v>0</v>
      </c>
      <c r="AE19" s="202" cm="1">
        <f t="array" aca="1" ref="AE19" ca="1">IF($R17=2,
         IF(AND(ACOMPANHAMENTO="PLE",ISNUMBER($F17)),
                SUMIF((OFFSET(CÁLCULO!$BC$15:$BU$15,$F17,0,OFFSET(ORÇAMENTO!$D$15,CRONO!$F17,0))),CRONO!AE$12,OFFSET(CÁLCULO!$AJ$15:$BB$15,$F17,0,OFFSET(ORÇAMENTO!$D$15,CRONO!$F17,0)))
                +IF(AND($F19&lt;&gt;"",$F19&lt;&gt;0),
                        SUMIF(CÁLCULO!$BC$15:$BU$165,CRONO!AE$12,CÁLCULO!$AJ$15:$BB$165)/(ORÇAMENTO!$X$15-_xlfn.SINGLE(CÁLCULO.TotalAdmLocal))*CRONO!$F19,
                        0),
                 AE18*$S17),
          SUMIF(OFFSET($S19,1,0,$R17-2),($M17+1)&amp;"$",OFFSET(AE19,1,0,$R17-2)))</f>
        <v>0</v>
      </c>
      <c r="AF19" s="202" cm="1">
        <f t="array" aca="1" ref="AF19" ca="1">IF($R17=2,
         IF(AND(ACOMPANHAMENTO="PLE",ISNUMBER($F17)),
                SUMIF((OFFSET(CÁLCULO!$BC$15:$BU$15,$F17,0,OFFSET(ORÇAMENTO!$D$15,CRONO!$F17,0))),CRONO!AF$12,OFFSET(CÁLCULO!$AJ$15:$BB$15,$F17,0,OFFSET(ORÇAMENTO!$D$15,CRONO!$F17,0)))
                +IF(AND($F19&lt;&gt;"",$F19&lt;&gt;0),
                        SUMIF(CÁLCULO!$BC$15:$BU$165,CRONO!AF$12,CÁLCULO!$AJ$15:$BB$165)/(ORÇAMENTO!$X$15-_xlfn.SINGLE(CÁLCULO.TotalAdmLocal))*CRONO!$F19,
                        0),
                 AF18*$S17),
          SUMIF(OFFSET($S19,1,0,$R17-2),($M17+1)&amp;"$",OFFSET(AF19,1,0,$R17-2)))</f>
        <v>0</v>
      </c>
      <c r="AG19" s="534"/>
    </row>
    <row r="20" spans="1:33" x14ac:dyDescent="0.25">
      <c r="A20" s="186" t="e">
        <f t="shared" ref="A20" ca="1" si="14">IF($M20&gt;1,_xlfn.CONCAT($I20," ",$J20),"")</f>
        <v>#NAME?</v>
      </c>
      <c r="B20" s="185">
        <f t="shared" ref="B20" ca="1" si="15">OFFSET(B20,-3,0)+1</f>
        <v>3</v>
      </c>
      <c r="C20" s="185">
        <f ca="1">IF($R20&lt;&gt;2,0,IF($S20=0,1,IF(F21&gt;0,OFFSET(QCI!$M$13,SUBSTITUTE(F21,".",""),0),OFFSET(ORÇAMENTO!$AA$15,CRONO!$F20,0))/$S20))</f>
        <v>0.27621385324224024</v>
      </c>
      <c r="D20" s="185">
        <f ca="1">IF($R20&lt;&gt;2,0,IF($S20=0,1,IF(F21&gt;0,OFFSET(QCI!$N$13,SUBSTITUTE(F21,".",""),0),OFFSET(ORÇAMENTO!$AB$15,CRONO!$F20,0))/$S20))</f>
        <v>0</v>
      </c>
      <c r="E20" s="188" cm="1">
        <f t="array" aca="1" ref="E20" ca="1">IF(AND($R20=2,ACOMPANHAMENTO="BM"),ROUND(E21,4),E22/$S20)</f>
        <v>0</v>
      </c>
      <c r="F20" s="185">
        <f ca="1">IF(B20&lt;=ORÇAMENTO.MáximoListaCrono,MATCH(B20,ORÇAMENTO.ListaCrono,0),NA())</f>
        <v>6</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ADMINISTRAÇÃO LOCAL DA OBRA</v>
      </c>
      <c r="K20" s="191"/>
      <c r="L20" s="191"/>
      <c r="M20" s="192">
        <f ca="1">IF($F21=0,OFFSET(ORÇAMENTO!C$15,$F20,0),1)</f>
        <v>2</v>
      </c>
      <c r="N20" s="193">
        <f ca="1">IF($F21=-1,0,IF(N$13&lt;=$M20,IF(ISERROR(MATCH(N$13,OFFSET($M20,1,0,ROW($M$95)-ROW($M20)-1),0)),ROW($M$95)-ROW($M20)-1,MATCH(N$13,OFFSET($M20,1,0,ROW($M$95)-ROW($M20)-1),0)-1),0))</f>
        <v>17</v>
      </c>
      <c r="O20" s="193">
        <f ca="1">IF($F21=-1,0,IF(O$13&lt;=$M20,IF(ISERROR(MATCH(O$13,OFFSET($M20,1,0,ROW($M$95)-ROW($M20)-1),0)),ROW($M$95)-ROW($M20)-1,MATCH(O$13,OFFSET($M20,1,0,ROW($M$95)-ROW($M20)-1),0)-1),0))</f>
        <v>2</v>
      </c>
      <c r="P20" s="193">
        <f ca="1">IF($F21=-1,0,IF(P$13&lt;=$M20,IF(ISERROR(MATCH(P$13,OFFSET($M20,1,0,ROW($M$95)-ROW($M20)-1),0)),ROW($M$95)-ROW($M20)-1,MATCH(P$13,OFFSET($M20,1,0,ROW($M$95)-ROW($M20)-1),0)-1),0))</f>
        <v>0</v>
      </c>
      <c r="Q20" s="193">
        <f ca="1">IF($F21=-1,0,IF(Q$13&lt;=$M20,IF(ISERROR(MATCH(Q$13,OFFSET($M20,1,0,ROW($M$95)-ROW($M20)-1),0)),ROW($M$95)-ROW($M20)-1,MATCH(Q$13,OFFSET($M20,1,0,ROW($M$95)-ROW($M20)-1),0)-1),0))</f>
        <v>0</v>
      </c>
      <c r="R20" s="193">
        <f t="shared" ref="R20" ca="1" si="17">MIN(OFFSET(M20,0,1,,M20))</f>
        <v>2</v>
      </c>
      <c r="S20" s="194">
        <f ca="1">IF($F21=0,OFFSET(ORÇAMENTO!X$15,$F20,0),IF($F21&lt;&gt;-1,OFFSET(QCI!$O$13,$F21,0),""))</f>
        <v>37230.239999999998</v>
      </c>
      <c r="T20" s="195" t="s">
        <v>785</v>
      </c>
      <c r="U20" s="188" cm="1">
        <f t="array" aca="1" ref="U20" ca="1">IF(AND($R20=2,ACOMPANHAMENTO="BM"),ROUND(U21,4),U22/$S20)</f>
        <v>0</v>
      </c>
      <c r="V20" s="188" cm="1">
        <f t="array" aca="1" ref="V20" ca="1">IF(AND($R20=2,ACOMPANHAMENTO="BM"),ROUND(V21,4),V22/$S20)</f>
        <v>0.25</v>
      </c>
      <c r="W20" s="188" cm="1">
        <f t="array" aca="1" ref="W20" ca="1">IF(AND($R20=2,ACOMPANHAMENTO="BM"),ROUND(W21,4),W22/$S20)</f>
        <v>0.25</v>
      </c>
      <c r="X20" s="188" cm="1">
        <f t="array" aca="1" ref="X20" ca="1">IF(AND($R20=2,ACOMPANHAMENTO="BM"),ROUND(X21,4),X22/$S20)</f>
        <v>0</v>
      </c>
      <c r="Y20" s="188" cm="1">
        <f t="array" aca="1" ref="Y20" ca="1">IF(AND($R20=2,ACOMPANHAMENTO="BM"),ROUND(Y21,4),Y22/$S20)</f>
        <v>0.25</v>
      </c>
      <c r="Z20" s="188" cm="1">
        <f t="array" aca="1" ref="Z20" ca="1">IF(AND($R20=2,ACOMPANHAMENTO="BM"),ROUND(Z21,4),Z22/$S20)</f>
        <v>0.25</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hidden="1" customHeight="1" x14ac:dyDescent="0.25">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5">
      <c r="D22" s="533"/>
      <c r="E22" s="202" cm="1">
        <f t="array" aca="1" ref="E22" ca="1">IF($R20=2,
         IF(AND(ACOMPANHAMENTO="PLE",ISNUMBER($F20)),
                SUMIF((OFFSET(CÁLCULO!$BC$15:$BU$15,$F20,0,OFFSET(ORÇAMENTO!$D$15,CRONO!$F20,0))),CRONO!E$12,OFFSET(CÁLCULO!$AJ$15:$BB$15,$F20,0,OFFSET(ORÇAMENTO!$D$15,CRONO!$F20,0)))
                +IF(AND($F22&lt;&gt;"",$F22&lt;&gt;0),
                        SUMIF(CÁLCULO!$BC$15:$BU$165,CRONO!E$12,CÁLCULO!$AJ$15:$BB$165)/(ORÇAMENTO!$X$15-_xlfn.SINGLE(CÁLCULO.TotalAdmLocal))*CRONO!$F22,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SUMIF((OFFSET(CÁLCULO!$BC$15:$BU$15,$F20,0,OFFSET(ORÇAMENTO!$D$15,CRONO!$F20,0))),CRONO!U$12,OFFSET(CÁLCULO!$AJ$15:$BB$15,$F20,0,OFFSET(ORÇAMENTO!$D$15,CRONO!$F20,0)))
                +IF(AND($F22&lt;&gt;"",$F22&lt;&gt;0),
                        SUMIF(CÁLCULO!$BC$15:$BU$165,CRONO!U$12,CÁLCULO!$AJ$15:$BB$165)/(ORÇAMENTO!$X$15-_xlfn.SINGLE(CÁLCULO.TotalAdmLocal))*CRONO!$F22,
                        0),
                 U21*$S20),
          SUMIF(OFFSET($S22,1,0,$R20-2),($M20+1)&amp;"$",OFFSET(U22,1,0,$R20-2)))</f>
        <v>0</v>
      </c>
      <c r="V22" s="202" cm="1">
        <f t="array" aca="1" ref="V22" ca="1">IF($R20=2,
         IF(AND(ACOMPANHAMENTO="PLE",ISNUMBER($F20)),
                SUMIF((OFFSET(CÁLCULO!$BC$15:$BU$15,$F20,0,OFFSET(ORÇAMENTO!$D$15,CRONO!$F20,0))),CRONO!V$12,OFFSET(CÁLCULO!$AJ$15:$BB$15,$F20,0,OFFSET(ORÇAMENTO!$D$15,CRONO!$F20,0)))
                +IF(AND($F22&lt;&gt;"",$F22&lt;&gt;0),
                        SUMIF(CÁLCULO!$BC$15:$BU$165,CRONO!V$12,CÁLCULO!$AJ$15:$BB$165)/(ORÇAMENTO!$X$15-_xlfn.SINGLE(CÁLCULO.TotalAdmLocal))*CRONO!$F22,
                        0),
                 V21*$S20),
          SUMIF(OFFSET($S22,1,0,$R20-2),($M20+1)&amp;"$",OFFSET(V22,1,0,$R20-2)))</f>
        <v>9307.56</v>
      </c>
      <c r="W22" s="202" cm="1">
        <f t="array" aca="1" ref="W22" ca="1">IF($R20=2,
         IF(AND(ACOMPANHAMENTO="PLE",ISNUMBER($F20)),
                SUMIF((OFFSET(CÁLCULO!$BC$15:$BU$15,$F20,0,OFFSET(ORÇAMENTO!$D$15,CRONO!$F20,0))),CRONO!W$12,OFFSET(CÁLCULO!$AJ$15:$BB$15,$F20,0,OFFSET(ORÇAMENTO!$D$15,CRONO!$F20,0)))
                +IF(AND($F22&lt;&gt;"",$F22&lt;&gt;0),
                        SUMIF(CÁLCULO!$BC$15:$BU$165,CRONO!W$12,CÁLCULO!$AJ$15:$BB$165)/(ORÇAMENTO!$X$15-_xlfn.SINGLE(CÁLCULO.TotalAdmLocal))*CRONO!$F22,
                        0),
                 W21*$S20),
          SUMIF(OFFSET($S22,1,0,$R20-2),($M20+1)&amp;"$",OFFSET(W22,1,0,$R20-2)))</f>
        <v>9307.56</v>
      </c>
      <c r="X22" s="202" cm="1">
        <f t="array" aca="1" ref="X22" ca="1">IF($R20=2,
         IF(AND(ACOMPANHAMENTO="PLE",ISNUMBER($F20)),
                SUMIF((OFFSET(CÁLCULO!$BC$15:$BU$15,$F20,0,OFFSET(ORÇAMENTO!$D$15,CRONO!$F20,0))),CRONO!X$12,OFFSET(CÁLCULO!$AJ$15:$BB$15,$F20,0,OFFSET(ORÇAMENTO!$D$15,CRONO!$F20,0)))
                +IF(AND($F22&lt;&gt;"",$F22&lt;&gt;0),
                        SUMIF(CÁLCULO!$BC$15:$BU$165,CRONO!X$12,CÁLCULO!$AJ$15:$BB$165)/(ORÇAMENTO!$X$15-_xlfn.SINGLE(CÁLCULO.TotalAdmLocal))*CRONO!$F22,
                        0),
                 X21*$S20),
          SUMIF(OFFSET($S22,1,0,$R20-2),($M20+1)&amp;"$",OFFSET(X22,1,0,$R20-2)))</f>
        <v>0</v>
      </c>
      <c r="Y22" s="202" cm="1">
        <f t="array" aca="1" ref="Y22" ca="1">IF($R20=2,
         IF(AND(ACOMPANHAMENTO="PLE",ISNUMBER($F20)),
                SUMIF((OFFSET(CÁLCULO!$BC$15:$BU$15,$F20,0,OFFSET(ORÇAMENTO!$D$15,CRONO!$F20,0))),CRONO!Y$12,OFFSET(CÁLCULO!$AJ$15:$BB$15,$F20,0,OFFSET(ORÇAMENTO!$D$15,CRONO!$F20,0)))
                +IF(AND($F22&lt;&gt;"",$F22&lt;&gt;0),
                        SUMIF(CÁLCULO!$BC$15:$BU$165,CRONO!Y$12,CÁLCULO!$AJ$15:$BB$165)/(ORÇAMENTO!$X$15-_xlfn.SINGLE(CÁLCULO.TotalAdmLocal))*CRONO!$F22,
                        0),
                 Y21*$S20),
          SUMIF(OFFSET($S22,1,0,$R20-2),($M20+1)&amp;"$",OFFSET(Y22,1,0,$R20-2)))</f>
        <v>9307.56</v>
      </c>
      <c r="Z22" s="202" cm="1">
        <f t="array" aca="1" ref="Z22" ca="1">IF($R20=2,
         IF(AND(ACOMPANHAMENTO="PLE",ISNUMBER($F20)),
                SUMIF((OFFSET(CÁLCULO!$BC$15:$BU$15,$F20,0,OFFSET(ORÇAMENTO!$D$15,CRONO!$F20,0))),CRONO!Z$12,OFFSET(CÁLCULO!$AJ$15:$BB$15,$F20,0,OFFSET(ORÇAMENTO!$D$15,CRONO!$F20,0)))
                +IF(AND($F22&lt;&gt;"",$F22&lt;&gt;0),
                        SUMIF(CÁLCULO!$BC$15:$BU$165,CRONO!Z$12,CÁLCULO!$AJ$15:$BB$165)/(ORÇAMENTO!$X$15-_xlfn.SINGLE(CÁLCULO.TotalAdmLocal))*CRONO!$F22,
                        0),
                 Z21*$S20),
          SUMIF(OFFSET($S22,1,0,$R20-2),($M20+1)&amp;"$",OFFSET(Z22,1,0,$R20-2)))</f>
        <v>9307.56</v>
      </c>
      <c r="AA22" s="202" cm="1">
        <f t="array" aca="1" ref="AA22" ca="1">IF($R20=2,
         IF(AND(ACOMPANHAMENTO="PLE",ISNUMBER($F20)),
                SUMIF((OFFSET(CÁLCULO!$BC$15:$BU$15,$F20,0,OFFSET(ORÇAMENTO!$D$15,CRONO!$F20,0))),CRONO!AA$12,OFFSET(CÁLCULO!$AJ$15:$BB$15,$F20,0,OFFSET(ORÇAMENTO!$D$15,CRONO!$F20,0)))
                +IF(AND($F22&lt;&gt;"",$F22&lt;&gt;0),
                        SUMIF(CÁLCULO!$BC$15:$BU$165,CRONO!AA$12,CÁLCULO!$AJ$15:$BB$165)/(ORÇAMENTO!$X$15-_xlfn.SINGLE(CÁLCULO.TotalAdmLocal))*CRONO!$F22,
                        0),
                 AA21*$S20),
          SUMIF(OFFSET($S22,1,0,$R20-2),($M20+1)&amp;"$",OFFSET(AA22,1,0,$R20-2)))</f>
        <v>0</v>
      </c>
      <c r="AB22" s="202" cm="1">
        <f t="array" aca="1" ref="AB22" ca="1">IF($R20=2,
         IF(AND(ACOMPANHAMENTO="PLE",ISNUMBER($F20)),
                SUMIF((OFFSET(CÁLCULO!$BC$15:$BU$15,$F20,0,OFFSET(ORÇAMENTO!$D$15,CRONO!$F20,0))),CRONO!AB$12,OFFSET(CÁLCULO!$AJ$15:$BB$15,$F20,0,OFFSET(ORÇAMENTO!$D$15,CRONO!$F20,0)))
                +IF(AND($F22&lt;&gt;"",$F22&lt;&gt;0),
                        SUMIF(CÁLCULO!$BC$15:$BU$165,CRONO!AB$12,CÁLCULO!$AJ$15:$BB$165)/(ORÇAMENTO!$X$15-_xlfn.SINGLE(CÁLCULO.TotalAdmLocal))*CRONO!$F22,
                        0),
                 AB21*$S20),
          SUMIF(OFFSET($S22,1,0,$R20-2),($M20+1)&amp;"$",OFFSET(AB22,1,0,$R20-2)))</f>
        <v>0</v>
      </c>
      <c r="AC22" s="202" cm="1">
        <f t="array" aca="1" ref="AC22" ca="1">IF($R20=2,
         IF(AND(ACOMPANHAMENTO="PLE",ISNUMBER($F20)),
                SUMIF((OFFSET(CÁLCULO!$BC$15:$BU$15,$F20,0,OFFSET(ORÇAMENTO!$D$15,CRONO!$F20,0))),CRONO!AC$12,OFFSET(CÁLCULO!$AJ$15:$BB$15,$F20,0,OFFSET(ORÇAMENTO!$D$15,CRONO!$F20,0)))
                +IF(AND($F22&lt;&gt;"",$F22&lt;&gt;0),
                        SUMIF(CÁLCULO!$BC$15:$BU$165,CRONO!AC$12,CÁLCULO!$AJ$15:$BB$165)/(ORÇAMENTO!$X$15-_xlfn.SINGLE(CÁLCULO.TotalAdmLocal))*CRONO!$F22,
                        0),
                 AC21*$S20),
          SUMIF(OFFSET($S22,1,0,$R20-2),($M20+1)&amp;"$",OFFSET(AC22,1,0,$R20-2)))</f>
        <v>0</v>
      </c>
      <c r="AD22" s="202" cm="1">
        <f t="array" aca="1" ref="AD22" ca="1">IF($R20=2,
         IF(AND(ACOMPANHAMENTO="PLE",ISNUMBER($F20)),
                SUMIF((OFFSET(CÁLCULO!$BC$15:$BU$15,$F20,0,OFFSET(ORÇAMENTO!$D$15,CRONO!$F20,0))),CRONO!AD$12,OFFSET(CÁLCULO!$AJ$15:$BB$15,$F20,0,OFFSET(ORÇAMENTO!$D$15,CRONO!$F20,0)))
                +IF(AND($F22&lt;&gt;"",$F22&lt;&gt;0),
                        SUMIF(CÁLCULO!$BC$15:$BU$165,CRONO!AD$12,CÁLCULO!$AJ$15:$BB$165)/(ORÇAMENTO!$X$15-_xlfn.SINGLE(CÁLCULO.TotalAdmLocal))*CRONO!$F22,
                        0),
                 AD21*$S20),
          SUMIF(OFFSET($S22,1,0,$R20-2),($M20+1)&amp;"$",OFFSET(AD22,1,0,$R20-2)))</f>
        <v>0</v>
      </c>
      <c r="AE22" s="202" cm="1">
        <f t="array" aca="1" ref="AE22" ca="1">IF($R20=2,
         IF(AND(ACOMPANHAMENTO="PLE",ISNUMBER($F20)),
                SUMIF((OFFSET(CÁLCULO!$BC$15:$BU$15,$F20,0,OFFSET(ORÇAMENTO!$D$15,CRONO!$F20,0))),CRONO!AE$12,OFFSET(CÁLCULO!$AJ$15:$BB$15,$F20,0,OFFSET(ORÇAMENTO!$D$15,CRONO!$F20,0)))
                +IF(AND($F22&lt;&gt;"",$F22&lt;&gt;0),
                        SUMIF(CÁLCULO!$BC$15:$BU$165,CRONO!AE$12,CÁLCULO!$AJ$15:$BB$165)/(ORÇAMENTO!$X$15-_xlfn.SINGLE(CÁLCULO.TotalAdmLocal))*CRONO!$F22,
                        0),
                 AE21*$S20),
          SUMIF(OFFSET($S22,1,0,$R20-2),($M20+1)&amp;"$",OFFSET(AE22,1,0,$R20-2)))</f>
        <v>0</v>
      </c>
      <c r="AF22" s="202" cm="1">
        <f t="array" aca="1" ref="AF22" ca="1">IF($R20=2,
         IF(AND(ACOMPANHAMENTO="PLE",ISNUMBER($F20)),
                SUMIF((OFFSET(CÁLCULO!$BC$15:$BU$15,$F20,0,OFFSET(ORÇAMENTO!$D$15,CRONO!$F20,0))),CRONO!AF$12,OFFSET(CÁLCULO!$AJ$15:$BB$15,$F20,0,OFFSET(ORÇAMENTO!$D$15,CRONO!$F20,0)))
                +IF(AND($F22&lt;&gt;"",$F22&lt;&gt;0),
                        SUMIF(CÁLCULO!$BC$15:$BU$165,CRONO!AF$12,CÁLCULO!$AJ$15:$BB$165)/(ORÇAMENTO!$X$15-_xlfn.SINGLE(CÁLCULO.TotalAdmLocal))*CRONO!$F22,
                        0),
                 AF21*$S20),
          SUMIF(OFFSET($S22,1,0,$R20-2),($M20+1)&amp;"$",OFFSET(AF22,1,0,$R20-2)))</f>
        <v>0</v>
      </c>
      <c r="AG22" s="534"/>
    </row>
    <row r="23" spans="1:33" x14ac:dyDescent="0.25">
      <c r="A23" s="186" t="e">
        <f t="shared" ref="A23" ca="1" si="20">IF($M23&gt;1,_xlfn.CONCAT($I23," ",$J23),"")</f>
        <v>#NAME?</v>
      </c>
      <c r="B23" s="185">
        <f t="shared" ref="B23" ca="1" si="21">OFFSET(B23,-3,0)+1</f>
        <v>4</v>
      </c>
      <c r="C23" s="185">
        <f ca="1">IF($R23&lt;&gt;2,0,IF($S23=0,1,IF(F24&gt;0,OFFSET(QCI!$M$13,SUBSTITUTE(F24,".",""),0),OFFSET(ORÇAMENTO!$AA$15,CRONO!$F23,0))/$S23))</f>
        <v>0.27621385324224024</v>
      </c>
      <c r="D23" s="185">
        <f ca="1">IF($R23&lt;&gt;2,0,IF($S23=0,1,IF(F24&gt;0,OFFSET(QCI!$N$13,SUBSTITUTE(F24,".",""),0),OFFSET(ORÇAMENTO!$AB$15,CRONO!$F23,0))/$S23))</f>
        <v>0</v>
      </c>
      <c r="E23" s="188" cm="1">
        <f t="array" aca="1" ref="E23" ca="1">IF(AND($R23=2,ACOMPANHAMENTO="BM"),ROUND(E24,4),E25/$S23)</f>
        <v>0.99999999999999978</v>
      </c>
      <c r="F23" s="185">
        <f ca="1">IF(B23&lt;=ORÇAMENTO.MáximoListaCrono,MATCH(B23,ORÇAMENTO.ListaCrono,0),NA())</f>
        <v>8</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DRENAGEM</v>
      </c>
      <c r="K23" s="191"/>
      <c r="L23" s="191"/>
      <c r="M23" s="192">
        <f ca="1">IF($F24=0,OFFSET(ORÇAMENTO!C$15,$F23,0),1)</f>
        <v>2</v>
      </c>
      <c r="N23" s="193">
        <f ca="1">IF($F24=-1,0,IF(N$13&lt;=$M23,IF(ISERROR(MATCH(N$13,OFFSET($M23,1,0,ROW($M$95)-ROW($M23)-1),0)),ROW($M$95)-ROW($M23)-1,MATCH(N$13,OFFSET($M23,1,0,ROW($M$95)-ROW($M23)-1),0)-1),0))</f>
        <v>14</v>
      </c>
      <c r="O23" s="193">
        <f ca="1">IF($F24=-1,0,IF(O$13&lt;=$M23,IF(ISERROR(MATCH(O$13,OFFSET($M23,1,0,ROW($M$95)-ROW($M23)-1),0)),ROW($M$95)-ROW($M23)-1,MATCH(O$13,OFFSET($M23,1,0,ROW($M$95)-ROW($M23)-1),0)-1),0))</f>
        <v>2</v>
      </c>
      <c r="P23" s="193">
        <f ca="1">IF($F24=-1,0,IF(P$13&lt;=$M23,IF(ISERROR(MATCH(P$13,OFFSET($M23,1,0,ROW($M$95)-ROW($M23)-1),0)),ROW($M$95)-ROW($M23)-1,MATCH(P$13,OFFSET($M23,1,0,ROW($M$95)-ROW($M23)-1),0)-1),0))</f>
        <v>0</v>
      </c>
      <c r="Q23" s="193">
        <f ca="1">IF($F24=-1,0,IF(Q$13&lt;=$M23,IF(ISERROR(MATCH(Q$13,OFFSET($M23,1,0,ROW($M$95)-ROW($M23)-1),0)),ROW($M$95)-ROW($M23)-1,MATCH(Q$13,OFFSET($M23,1,0,ROW($M$95)-ROW($M23)-1),0)-1),0))</f>
        <v>0</v>
      </c>
      <c r="R23" s="193">
        <f t="shared" ref="R23" ca="1" si="23">MIN(OFFSET(M23,0,1,,M23))</f>
        <v>2</v>
      </c>
      <c r="S23" s="194">
        <f ca="1">IF($F24=0,OFFSET(ORÇAMENTO!X$15,$F23,0),IF($F24&lt;&gt;-1,OFFSET(QCI!$O$13,$F24,0),""))</f>
        <v>36923.120000000003</v>
      </c>
      <c r="T23" s="195" t="s">
        <v>785</v>
      </c>
      <c r="U23" s="188" cm="1">
        <f t="array" aca="1" ref="U23" ca="1">IF(AND($R23=2,ACOMPANHAMENTO="BM"),ROUND(U24,4),U25/$S23)</f>
        <v>0.99999999999999978</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hidden="1" customHeight="1" x14ac:dyDescent="0.25">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5">
      <c r="D25" s="533"/>
      <c r="E25" s="202" cm="1">
        <f t="array" aca="1" ref="E25" ca="1">IF($R23=2,
         IF(AND(ACOMPANHAMENTO="PLE",ISNUMBER($F23)),
                SUMIF((OFFSET(CÁLCULO!$BC$15:$BU$15,$F23,0,OFFSET(ORÇAMENTO!$D$15,CRONO!$F23,0))),CRONO!E$12,OFFSET(CÁLCULO!$AJ$15:$BB$15,$F23,0,OFFSET(ORÇAMENTO!$D$15,CRONO!$F23,0)))
                +IF(AND($F25&lt;&gt;"",$F25&lt;&gt;0),
                        SUMIF(CÁLCULO!$BC$15:$BU$165,CRONO!E$12,CÁLCULO!$AJ$15:$BB$165)/(ORÇAMENTO!$X$15-_xlfn.SINGLE(CÁLCULO.TotalAdmLocal))*CRONO!$F25,
                        0),
                 E24*$S23),
          SUMIF(OFFSET($S25,1,0,$R23-2),($M23+1)&amp;"$",OFFSET(E25,1,0,$R23-2)))</f>
        <v>36923.119999999995</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SUMIF((OFFSET(CÁLCULO!$BC$15:$BU$15,$F23,0,OFFSET(ORÇAMENTO!$D$15,CRONO!$F23,0))),CRONO!U$12,OFFSET(CÁLCULO!$AJ$15:$BB$15,$F23,0,OFFSET(ORÇAMENTO!$D$15,CRONO!$F23,0)))
                +IF(AND($F25&lt;&gt;"",$F25&lt;&gt;0),
                        SUMIF(CÁLCULO!$BC$15:$BU$165,CRONO!U$12,CÁLCULO!$AJ$15:$BB$165)/(ORÇAMENTO!$X$15-_xlfn.SINGLE(CÁLCULO.TotalAdmLocal))*CRONO!$F25,
                        0),
                 U24*$S23),
          SUMIF(OFFSET($S25,1,0,$R23-2),($M23+1)&amp;"$",OFFSET(U25,1,0,$R23-2)))</f>
        <v>36923.119999999995</v>
      </c>
      <c r="V25" s="202" cm="1">
        <f t="array" aca="1" ref="V25" ca="1">IF($R23=2,
         IF(AND(ACOMPANHAMENTO="PLE",ISNUMBER($F23)),
                SUMIF((OFFSET(CÁLCULO!$BC$15:$BU$15,$F23,0,OFFSET(ORÇAMENTO!$D$15,CRONO!$F23,0))),CRONO!V$12,OFFSET(CÁLCULO!$AJ$15:$BB$15,$F23,0,OFFSET(ORÇAMENTO!$D$15,CRONO!$F23,0)))
                +IF(AND($F25&lt;&gt;"",$F25&lt;&gt;0),
                        SUMIF(CÁLCULO!$BC$15:$BU$165,CRONO!V$12,CÁLCULO!$AJ$15:$BB$165)/(ORÇAMENTO!$X$15-_xlfn.SINGLE(CÁLCULO.TotalAdmLocal))*CRONO!$F25,
                        0),
                 V24*$S23),
          SUMIF(OFFSET($S25,1,0,$R23-2),($M23+1)&amp;"$",OFFSET(V25,1,0,$R23-2)))</f>
        <v>0</v>
      </c>
      <c r="W25" s="202" cm="1">
        <f t="array" aca="1" ref="W25" ca="1">IF($R23=2,
         IF(AND(ACOMPANHAMENTO="PLE",ISNUMBER($F23)),
                SUMIF((OFFSET(CÁLCULO!$BC$15:$BU$15,$F23,0,OFFSET(ORÇAMENTO!$D$15,CRONO!$F23,0))),CRONO!W$12,OFFSET(CÁLCULO!$AJ$15:$BB$15,$F23,0,OFFSET(ORÇAMENTO!$D$15,CRONO!$F23,0)))
                +IF(AND($F25&lt;&gt;"",$F25&lt;&gt;0),
                        SUMIF(CÁLCULO!$BC$15:$BU$165,CRONO!W$12,CÁLCULO!$AJ$15:$BB$165)/(ORÇAMENTO!$X$15-_xlfn.SINGLE(CÁLCULO.TotalAdmLocal))*CRONO!$F25,
                        0),
                 W24*$S23),
          SUMIF(OFFSET($S25,1,0,$R23-2),($M23+1)&amp;"$",OFFSET(W25,1,0,$R23-2)))</f>
        <v>0</v>
      </c>
      <c r="X25" s="202" cm="1">
        <f t="array" aca="1" ref="X25" ca="1">IF($R23=2,
         IF(AND(ACOMPANHAMENTO="PLE",ISNUMBER($F23)),
                SUMIF((OFFSET(CÁLCULO!$BC$15:$BU$15,$F23,0,OFFSET(ORÇAMENTO!$D$15,CRONO!$F23,0))),CRONO!X$12,OFFSET(CÁLCULO!$AJ$15:$BB$15,$F23,0,OFFSET(ORÇAMENTO!$D$15,CRONO!$F23,0)))
                +IF(AND($F25&lt;&gt;"",$F25&lt;&gt;0),
                        SUMIF(CÁLCULO!$BC$15:$BU$165,CRONO!X$12,CÁLCULO!$AJ$15:$BB$165)/(ORÇAMENTO!$X$15-_xlfn.SINGLE(CÁLCULO.TotalAdmLocal))*CRONO!$F25,
                        0),
                 X24*$S23),
          SUMIF(OFFSET($S25,1,0,$R23-2),($M23+1)&amp;"$",OFFSET(X25,1,0,$R23-2)))</f>
        <v>0</v>
      </c>
      <c r="Y25" s="202" cm="1">
        <f t="array" aca="1" ref="Y25" ca="1">IF($R23=2,
         IF(AND(ACOMPANHAMENTO="PLE",ISNUMBER($F23)),
                SUMIF((OFFSET(CÁLCULO!$BC$15:$BU$15,$F23,0,OFFSET(ORÇAMENTO!$D$15,CRONO!$F23,0))),CRONO!Y$12,OFFSET(CÁLCULO!$AJ$15:$BB$15,$F23,0,OFFSET(ORÇAMENTO!$D$15,CRONO!$F23,0)))
                +IF(AND($F25&lt;&gt;"",$F25&lt;&gt;0),
                        SUMIF(CÁLCULO!$BC$15:$BU$165,CRONO!Y$12,CÁLCULO!$AJ$15:$BB$165)/(ORÇAMENTO!$X$15-_xlfn.SINGLE(CÁLCULO.TotalAdmLocal))*CRONO!$F25,
                        0),
                 Y24*$S23),
          SUMIF(OFFSET($S25,1,0,$R23-2),($M23+1)&amp;"$",OFFSET(Y25,1,0,$R23-2)))</f>
        <v>0</v>
      </c>
      <c r="Z25" s="202" cm="1">
        <f t="array" aca="1" ref="Z25" ca="1">IF($R23=2,
         IF(AND(ACOMPANHAMENTO="PLE",ISNUMBER($F23)),
                SUMIF((OFFSET(CÁLCULO!$BC$15:$BU$15,$F23,0,OFFSET(ORÇAMENTO!$D$15,CRONO!$F23,0))),CRONO!Z$12,OFFSET(CÁLCULO!$AJ$15:$BB$15,$F23,0,OFFSET(ORÇAMENTO!$D$15,CRONO!$F23,0)))
                +IF(AND($F25&lt;&gt;"",$F25&lt;&gt;0),
                        SUMIF(CÁLCULO!$BC$15:$BU$165,CRONO!Z$12,CÁLCULO!$AJ$15:$BB$165)/(ORÇAMENTO!$X$15-_xlfn.SINGLE(CÁLCULO.TotalAdmLocal))*CRONO!$F25,
                        0),
                 Z24*$S23),
          SUMIF(OFFSET($S25,1,0,$R23-2),($M23+1)&amp;"$",OFFSET(Z25,1,0,$R23-2)))</f>
        <v>0</v>
      </c>
      <c r="AA25" s="202" cm="1">
        <f t="array" aca="1" ref="AA25" ca="1">IF($R23=2,
         IF(AND(ACOMPANHAMENTO="PLE",ISNUMBER($F23)),
                SUMIF((OFFSET(CÁLCULO!$BC$15:$BU$15,$F23,0,OFFSET(ORÇAMENTO!$D$15,CRONO!$F23,0))),CRONO!AA$12,OFFSET(CÁLCULO!$AJ$15:$BB$15,$F23,0,OFFSET(ORÇAMENTO!$D$15,CRONO!$F23,0)))
                +IF(AND($F25&lt;&gt;"",$F25&lt;&gt;0),
                        SUMIF(CÁLCULO!$BC$15:$BU$165,CRONO!AA$12,CÁLCULO!$AJ$15:$BB$165)/(ORÇAMENTO!$X$15-_xlfn.SINGLE(CÁLCULO.TotalAdmLocal))*CRONO!$F25,
                        0),
                 AA24*$S23),
          SUMIF(OFFSET($S25,1,0,$R23-2),($M23+1)&amp;"$",OFFSET(AA25,1,0,$R23-2)))</f>
        <v>0</v>
      </c>
      <c r="AB25" s="202" cm="1">
        <f t="array" aca="1" ref="AB25" ca="1">IF($R23=2,
         IF(AND(ACOMPANHAMENTO="PLE",ISNUMBER($F23)),
                SUMIF((OFFSET(CÁLCULO!$BC$15:$BU$15,$F23,0,OFFSET(ORÇAMENTO!$D$15,CRONO!$F23,0))),CRONO!AB$12,OFFSET(CÁLCULO!$AJ$15:$BB$15,$F23,0,OFFSET(ORÇAMENTO!$D$15,CRONO!$F23,0)))
                +IF(AND($F25&lt;&gt;"",$F25&lt;&gt;0),
                        SUMIF(CÁLCULO!$BC$15:$BU$165,CRONO!AB$12,CÁLCULO!$AJ$15:$BB$165)/(ORÇAMENTO!$X$15-_xlfn.SINGLE(CÁLCULO.TotalAdmLocal))*CRONO!$F25,
                        0),
                 AB24*$S23),
          SUMIF(OFFSET($S25,1,0,$R23-2),($M23+1)&amp;"$",OFFSET(AB25,1,0,$R23-2)))</f>
        <v>0</v>
      </c>
      <c r="AC25" s="202" cm="1">
        <f t="array" aca="1" ref="AC25" ca="1">IF($R23=2,
         IF(AND(ACOMPANHAMENTO="PLE",ISNUMBER($F23)),
                SUMIF((OFFSET(CÁLCULO!$BC$15:$BU$15,$F23,0,OFFSET(ORÇAMENTO!$D$15,CRONO!$F23,0))),CRONO!AC$12,OFFSET(CÁLCULO!$AJ$15:$BB$15,$F23,0,OFFSET(ORÇAMENTO!$D$15,CRONO!$F23,0)))
                +IF(AND($F25&lt;&gt;"",$F25&lt;&gt;0),
                        SUMIF(CÁLCULO!$BC$15:$BU$165,CRONO!AC$12,CÁLCULO!$AJ$15:$BB$165)/(ORÇAMENTO!$X$15-_xlfn.SINGLE(CÁLCULO.TotalAdmLocal))*CRONO!$F25,
                        0),
                 AC24*$S23),
          SUMIF(OFFSET($S25,1,0,$R23-2),($M23+1)&amp;"$",OFFSET(AC25,1,0,$R23-2)))</f>
        <v>0</v>
      </c>
      <c r="AD25" s="202" cm="1">
        <f t="array" aca="1" ref="AD25" ca="1">IF($R23=2,
         IF(AND(ACOMPANHAMENTO="PLE",ISNUMBER($F23)),
                SUMIF((OFFSET(CÁLCULO!$BC$15:$BU$15,$F23,0,OFFSET(ORÇAMENTO!$D$15,CRONO!$F23,0))),CRONO!AD$12,OFFSET(CÁLCULO!$AJ$15:$BB$15,$F23,0,OFFSET(ORÇAMENTO!$D$15,CRONO!$F23,0)))
                +IF(AND($F25&lt;&gt;"",$F25&lt;&gt;0),
                        SUMIF(CÁLCULO!$BC$15:$BU$165,CRONO!AD$12,CÁLCULO!$AJ$15:$BB$165)/(ORÇAMENTO!$X$15-_xlfn.SINGLE(CÁLCULO.TotalAdmLocal))*CRONO!$F25,
                        0),
                 AD24*$S23),
          SUMIF(OFFSET($S25,1,0,$R23-2),($M23+1)&amp;"$",OFFSET(AD25,1,0,$R23-2)))</f>
        <v>0</v>
      </c>
      <c r="AE25" s="202" cm="1">
        <f t="array" aca="1" ref="AE25" ca="1">IF($R23=2,
         IF(AND(ACOMPANHAMENTO="PLE",ISNUMBER($F23)),
                SUMIF((OFFSET(CÁLCULO!$BC$15:$BU$15,$F23,0,OFFSET(ORÇAMENTO!$D$15,CRONO!$F23,0))),CRONO!AE$12,OFFSET(CÁLCULO!$AJ$15:$BB$15,$F23,0,OFFSET(ORÇAMENTO!$D$15,CRONO!$F23,0)))
                +IF(AND($F25&lt;&gt;"",$F25&lt;&gt;0),
                        SUMIF(CÁLCULO!$BC$15:$BU$165,CRONO!AE$12,CÁLCULO!$AJ$15:$BB$165)/(ORÇAMENTO!$X$15-_xlfn.SINGLE(CÁLCULO.TotalAdmLocal))*CRONO!$F25,
                        0),
                 AE24*$S23),
          SUMIF(OFFSET($S25,1,0,$R23-2),($M23+1)&amp;"$",OFFSET(AE25,1,0,$R23-2)))</f>
        <v>0</v>
      </c>
      <c r="AF25" s="202" cm="1">
        <f t="array" aca="1" ref="AF25" ca="1">IF($R23=2,
         IF(AND(ACOMPANHAMENTO="PLE",ISNUMBER($F23)),
                SUMIF((OFFSET(CÁLCULO!$BC$15:$BU$15,$F23,0,OFFSET(ORÇAMENTO!$D$15,CRONO!$F23,0))),CRONO!AF$12,OFFSET(CÁLCULO!$AJ$15:$BB$15,$F23,0,OFFSET(ORÇAMENTO!$D$15,CRONO!$F23,0)))
                +IF(AND($F25&lt;&gt;"",$F25&lt;&gt;0),
                        SUMIF(CÁLCULO!$BC$15:$BU$165,CRONO!AF$12,CÁLCULO!$AJ$15:$BB$165)/(ORÇAMENTO!$X$15-_xlfn.SINGLE(CÁLCULO.TotalAdmLocal))*CRONO!$F25,
                        0),
                 AF24*$S23),
          SUMIF(OFFSET($S25,1,0,$R23-2),($M23+1)&amp;"$",OFFSET(AF25,1,0,$R23-2)))</f>
        <v>0</v>
      </c>
      <c r="AG25" s="534"/>
    </row>
    <row r="26" spans="1:33" x14ac:dyDescent="0.25">
      <c r="A26" s="186" t="e">
        <f t="shared" ref="A26" ca="1" si="26">IF($M26&gt;1,_xlfn.CONCAT($I26," ",$J26),"")</f>
        <v>#NAME?</v>
      </c>
      <c r="B26" s="185">
        <f t="shared" ref="B26" ca="1" si="27">OFFSET(B26,-3,0)+1</f>
        <v>5</v>
      </c>
      <c r="C26" s="185">
        <f ca="1">IF($R26&lt;&gt;2,0,IF($S26=0,1,IF(F27&gt;0,OFFSET(QCI!$M$13,SUBSTITUTE(F27,".",""),0),OFFSET(ORÇAMENTO!$AA$15,CRONO!$F26,0))/$S26))</f>
        <v>0.27621385324224029</v>
      </c>
      <c r="D26" s="185">
        <f ca="1">IF($R26&lt;&gt;2,0,IF($S26=0,1,IF(F27&gt;0,OFFSET(QCI!$N$13,SUBSTITUTE(F27,".",""),0),OFFSET(ORÇAMENTO!$AB$15,CRONO!$F26,0))/$S26))</f>
        <v>0</v>
      </c>
      <c r="E26" s="188" cm="1">
        <f t="array" aca="1" ref="E26" ca="1">IF(AND($R26=2,ACOMPANHAMENTO="BM"),ROUND(E27,4),E28/$S26)</f>
        <v>1</v>
      </c>
      <c r="F26" s="185">
        <f ca="1">IF(B26&lt;=ORÇAMENTO.MáximoListaCrono,MATCH(B26,ORÇAMENTO.ListaCrono,0),NA())</f>
        <v>18</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CAMADA DE REPERFILAMENTO</v>
      </c>
      <c r="K26" s="191"/>
      <c r="L26" s="191"/>
      <c r="M26" s="192">
        <f ca="1">IF($F27=0,OFFSET(ORÇAMENTO!C$15,$F26,0),1)</f>
        <v>2</v>
      </c>
      <c r="N26" s="193">
        <f ca="1">IF($F27=-1,0,IF(N$13&lt;=$M26,IF(ISERROR(MATCH(N$13,OFFSET($M26,1,0,ROW($M$95)-ROW($M26)-1),0)),ROW($M$95)-ROW($M26)-1,MATCH(N$13,OFFSET($M26,1,0,ROW($M$95)-ROW($M26)-1),0)-1),0))</f>
        <v>11</v>
      </c>
      <c r="O26" s="193">
        <f ca="1">IF($F27=-1,0,IF(O$13&lt;=$M26,IF(ISERROR(MATCH(O$13,OFFSET($M26,1,0,ROW($M$95)-ROW($M26)-1),0)),ROW($M$95)-ROW($M26)-1,MATCH(O$13,OFFSET($M26,1,0,ROW($M$95)-ROW($M26)-1),0)-1),0))</f>
        <v>2</v>
      </c>
      <c r="P26" s="193">
        <f ca="1">IF($F27=-1,0,IF(P$13&lt;=$M26,IF(ISERROR(MATCH(P$13,OFFSET($M26,1,0,ROW($M$95)-ROW($M26)-1),0)),ROW($M$95)-ROW($M26)-1,MATCH(P$13,OFFSET($M26,1,0,ROW($M$95)-ROW($M26)-1),0)-1),0))</f>
        <v>0</v>
      </c>
      <c r="Q26" s="193">
        <f ca="1">IF($F27=-1,0,IF(Q$13&lt;=$M26,IF(ISERROR(MATCH(Q$13,OFFSET($M26,1,0,ROW($M$95)-ROW($M26)-1),0)),ROW($M$95)-ROW($M26)-1,MATCH(Q$13,OFFSET($M26,1,0,ROW($M$95)-ROW($M26)-1),0)-1),0))</f>
        <v>0</v>
      </c>
      <c r="R26" s="193">
        <f t="shared" ref="R26" ca="1" si="29">MIN(OFFSET(M26,0,1,,M26))</f>
        <v>2</v>
      </c>
      <c r="S26" s="194">
        <f ca="1">IF($F27=0,OFFSET(ORÇAMENTO!X$15,$F26,0),IF($F27&lt;&gt;-1,OFFSET(QCI!$O$13,$F27,0),""))</f>
        <v>378802.9</v>
      </c>
      <c r="T26" s="195" t="s">
        <v>785</v>
      </c>
      <c r="U26" s="188" cm="1">
        <f t="array" aca="1" ref="U26" ca="1">IF(AND($R26=2,ACOMPANHAMENTO="BM"),ROUND(U27,4),U28/$S26)</f>
        <v>1</v>
      </c>
      <c r="V26" s="188" cm="1">
        <f t="array" aca="1" ref="V26" ca="1">IF(AND($R26=2,ACOMPANHAMENTO="BM"),ROUND(V27,4),V28/$S26)</f>
        <v>0</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hidden="1" customHeight="1" x14ac:dyDescent="0.25">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5">
      <c r="D28" s="533"/>
      <c r="E28" s="202" cm="1">
        <f t="array" aca="1" ref="E28" ca="1">IF($R26=2,
         IF(AND(ACOMPANHAMENTO="PLE",ISNUMBER($F26)),
                SUMIF((OFFSET(CÁLCULO!$BC$15:$BU$15,$F26,0,OFFSET(ORÇAMENTO!$D$15,CRONO!$F26,0))),CRONO!E$12,OFFSET(CÁLCULO!$AJ$15:$BB$15,$F26,0,OFFSET(ORÇAMENTO!$D$15,CRONO!$F26,0)))
                +IF(AND($F28&lt;&gt;"",$F28&lt;&gt;0),
                        SUMIF(CÁLCULO!$BC$15:$BU$165,CRONO!E$12,CÁLCULO!$AJ$15:$BB$165)/(ORÇAMENTO!$X$15-_xlfn.SINGLE(CÁLCULO.TotalAdmLocal))*CRONO!$F28,
                        0),
                 E27*$S26),
          SUMIF(OFFSET($S28,1,0,$R26-2),($M26+1)&amp;"$",OFFSET(E28,1,0,$R26-2)))</f>
        <v>378802.9</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SUMIF((OFFSET(CÁLCULO!$BC$15:$BU$15,$F26,0,OFFSET(ORÇAMENTO!$D$15,CRONO!$F26,0))),CRONO!U$12,OFFSET(CÁLCULO!$AJ$15:$BB$15,$F26,0,OFFSET(ORÇAMENTO!$D$15,CRONO!$F26,0)))
                +IF(AND($F28&lt;&gt;"",$F28&lt;&gt;0),
                        SUMIF(CÁLCULO!$BC$15:$BU$165,CRONO!U$12,CÁLCULO!$AJ$15:$BB$165)/(ORÇAMENTO!$X$15-_xlfn.SINGLE(CÁLCULO.TotalAdmLocal))*CRONO!$F28,
                        0),
                 U27*$S26),
          SUMIF(OFFSET($S28,1,0,$R26-2),($M26+1)&amp;"$",OFFSET(U28,1,0,$R26-2)))</f>
        <v>378802.9</v>
      </c>
      <c r="V28" s="202" cm="1">
        <f t="array" aca="1" ref="V28" ca="1">IF($R26=2,
         IF(AND(ACOMPANHAMENTO="PLE",ISNUMBER($F26)),
                SUMIF((OFFSET(CÁLCULO!$BC$15:$BU$15,$F26,0,OFFSET(ORÇAMENTO!$D$15,CRONO!$F26,0))),CRONO!V$12,OFFSET(CÁLCULO!$AJ$15:$BB$15,$F26,0,OFFSET(ORÇAMENTO!$D$15,CRONO!$F26,0)))
                +IF(AND($F28&lt;&gt;"",$F28&lt;&gt;0),
                        SUMIF(CÁLCULO!$BC$15:$BU$165,CRONO!V$12,CÁLCULO!$AJ$15:$BB$165)/(ORÇAMENTO!$X$15-_xlfn.SINGLE(CÁLCULO.TotalAdmLocal))*CRONO!$F28,
                        0),
                 V27*$S26),
          SUMIF(OFFSET($S28,1,0,$R26-2),($M26+1)&amp;"$",OFFSET(V28,1,0,$R26-2)))</f>
        <v>0</v>
      </c>
      <c r="W28" s="202" cm="1">
        <f t="array" aca="1" ref="W28" ca="1">IF($R26=2,
         IF(AND(ACOMPANHAMENTO="PLE",ISNUMBER($F26)),
                SUMIF((OFFSET(CÁLCULO!$BC$15:$BU$15,$F26,0,OFFSET(ORÇAMENTO!$D$15,CRONO!$F26,0))),CRONO!W$12,OFFSET(CÁLCULO!$AJ$15:$BB$15,$F26,0,OFFSET(ORÇAMENTO!$D$15,CRONO!$F26,0)))
                +IF(AND($F28&lt;&gt;"",$F28&lt;&gt;0),
                        SUMIF(CÁLCULO!$BC$15:$BU$165,CRONO!W$12,CÁLCULO!$AJ$15:$BB$165)/(ORÇAMENTO!$X$15-_xlfn.SINGLE(CÁLCULO.TotalAdmLocal))*CRONO!$F28,
                        0),
                 W27*$S26),
          SUMIF(OFFSET($S28,1,0,$R26-2),($M26+1)&amp;"$",OFFSET(W28,1,0,$R26-2)))</f>
        <v>0</v>
      </c>
      <c r="X28" s="202" cm="1">
        <f t="array" aca="1" ref="X28" ca="1">IF($R26=2,
         IF(AND(ACOMPANHAMENTO="PLE",ISNUMBER($F26)),
                SUMIF((OFFSET(CÁLCULO!$BC$15:$BU$15,$F26,0,OFFSET(ORÇAMENTO!$D$15,CRONO!$F26,0))),CRONO!X$12,OFFSET(CÁLCULO!$AJ$15:$BB$15,$F26,0,OFFSET(ORÇAMENTO!$D$15,CRONO!$F26,0)))
                +IF(AND($F28&lt;&gt;"",$F28&lt;&gt;0),
                        SUMIF(CÁLCULO!$BC$15:$BU$165,CRONO!X$12,CÁLCULO!$AJ$15:$BB$165)/(ORÇAMENTO!$X$15-_xlfn.SINGLE(CÁLCULO.TotalAdmLocal))*CRONO!$F28,
                        0),
                 X27*$S26),
          SUMIF(OFFSET($S28,1,0,$R26-2),($M26+1)&amp;"$",OFFSET(X28,1,0,$R26-2)))</f>
        <v>0</v>
      </c>
      <c r="Y28" s="202" cm="1">
        <f t="array" aca="1" ref="Y28" ca="1">IF($R26=2,
         IF(AND(ACOMPANHAMENTO="PLE",ISNUMBER($F26)),
                SUMIF((OFFSET(CÁLCULO!$BC$15:$BU$15,$F26,0,OFFSET(ORÇAMENTO!$D$15,CRONO!$F26,0))),CRONO!Y$12,OFFSET(CÁLCULO!$AJ$15:$BB$15,$F26,0,OFFSET(ORÇAMENTO!$D$15,CRONO!$F26,0)))
                +IF(AND($F28&lt;&gt;"",$F28&lt;&gt;0),
                        SUMIF(CÁLCULO!$BC$15:$BU$165,CRONO!Y$12,CÁLCULO!$AJ$15:$BB$165)/(ORÇAMENTO!$X$15-_xlfn.SINGLE(CÁLCULO.TotalAdmLocal))*CRONO!$F28,
                        0),
                 Y27*$S26),
          SUMIF(OFFSET($S28,1,0,$R26-2),($M26+1)&amp;"$",OFFSET(Y28,1,0,$R26-2)))</f>
        <v>0</v>
      </c>
      <c r="Z28" s="202" cm="1">
        <f t="array" aca="1" ref="Z28" ca="1">IF($R26=2,
         IF(AND(ACOMPANHAMENTO="PLE",ISNUMBER($F26)),
                SUMIF((OFFSET(CÁLCULO!$BC$15:$BU$15,$F26,0,OFFSET(ORÇAMENTO!$D$15,CRONO!$F26,0))),CRONO!Z$12,OFFSET(CÁLCULO!$AJ$15:$BB$15,$F26,0,OFFSET(ORÇAMENTO!$D$15,CRONO!$F26,0)))
                +IF(AND($F28&lt;&gt;"",$F28&lt;&gt;0),
                        SUMIF(CÁLCULO!$BC$15:$BU$165,CRONO!Z$12,CÁLCULO!$AJ$15:$BB$165)/(ORÇAMENTO!$X$15-_xlfn.SINGLE(CÁLCULO.TotalAdmLocal))*CRONO!$F28,
                        0),
                 Z27*$S26),
          SUMIF(OFFSET($S28,1,0,$R26-2),($M26+1)&amp;"$",OFFSET(Z28,1,0,$R26-2)))</f>
        <v>0</v>
      </c>
      <c r="AA28" s="202" cm="1">
        <f t="array" aca="1" ref="AA28" ca="1">IF($R26=2,
         IF(AND(ACOMPANHAMENTO="PLE",ISNUMBER($F26)),
                SUMIF((OFFSET(CÁLCULO!$BC$15:$BU$15,$F26,0,OFFSET(ORÇAMENTO!$D$15,CRONO!$F26,0))),CRONO!AA$12,OFFSET(CÁLCULO!$AJ$15:$BB$15,$F26,0,OFFSET(ORÇAMENTO!$D$15,CRONO!$F26,0)))
                +IF(AND($F28&lt;&gt;"",$F28&lt;&gt;0),
                        SUMIF(CÁLCULO!$BC$15:$BU$165,CRONO!AA$12,CÁLCULO!$AJ$15:$BB$165)/(ORÇAMENTO!$X$15-_xlfn.SINGLE(CÁLCULO.TotalAdmLocal))*CRONO!$F28,
                        0),
                 AA27*$S26),
          SUMIF(OFFSET($S28,1,0,$R26-2),($M26+1)&amp;"$",OFFSET(AA28,1,0,$R26-2)))</f>
        <v>0</v>
      </c>
      <c r="AB28" s="202" cm="1">
        <f t="array" aca="1" ref="AB28" ca="1">IF($R26=2,
         IF(AND(ACOMPANHAMENTO="PLE",ISNUMBER($F26)),
                SUMIF((OFFSET(CÁLCULO!$BC$15:$BU$15,$F26,0,OFFSET(ORÇAMENTO!$D$15,CRONO!$F26,0))),CRONO!AB$12,OFFSET(CÁLCULO!$AJ$15:$BB$15,$F26,0,OFFSET(ORÇAMENTO!$D$15,CRONO!$F26,0)))
                +IF(AND($F28&lt;&gt;"",$F28&lt;&gt;0),
                        SUMIF(CÁLCULO!$BC$15:$BU$165,CRONO!AB$12,CÁLCULO!$AJ$15:$BB$165)/(ORÇAMENTO!$X$15-_xlfn.SINGLE(CÁLCULO.TotalAdmLocal))*CRONO!$F28,
                        0),
                 AB27*$S26),
          SUMIF(OFFSET($S28,1,0,$R26-2),($M26+1)&amp;"$",OFFSET(AB28,1,0,$R26-2)))</f>
        <v>0</v>
      </c>
      <c r="AC28" s="202" cm="1">
        <f t="array" aca="1" ref="AC28" ca="1">IF($R26=2,
         IF(AND(ACOMPANHAMENTO="PLE",ISNUMBER($F26)),
                SUMIF((OFFSET(CÁLCULO!$BC$15:$BU$15,$F26,0,OFFSET(ORÇAMENTO!$D$15,CRONO!$F26,0))),CRONO!AC$12,OFFSET(CÁLCULO!$AJ$15:$BB$15,$F26,0,OFFSET(ORÇAMENTO!$D$15,CRONO!$F26,0)))
                +IF(AND($F28&lt;&gt;"",$F28&lt;&gt;0),
                        SUMIF(CÁLCULO!$BC$15:$BU$165,CRONO!AC$12,CÁLCULO!$AJ$15:$BB$165)/(ORÇAMENTO!$X$15-_xlfn.SINGLE(CÁLCULO.TotalAdmLocal))*CRONO!$F28,
                        0),
                 AC27*$S26),
          SUMIF(OFFSET($S28,1,0,$R26-2),($M26+1)&amp;"$",OFFSET(AC28,1,0,$R26-2)))</f>
        <v>0</v>
      </c>
      <c r="AD28" s="202" cm="1">
        <f t="array" aca="1" ref="AD28" ca="1">IF($R26=2,
         IF(AND(ACOMPANHAMENTO="PLE",ISNUMBER($F26)),
                SUMIF((OFFSET(CÁLCULO!$BC$15:$BU$15,$F26,0,OFFSET(ORÇAMENTO!$D$15,CRONO!$F26,0))),CRONO!AD$12,OFFSET(CÁLCULO!$AJ$15:$BB$15,$F26,0,OFFSET(ORÇAMENTO!$D$15,CRONO!$F26,0)))
                +IF(AND($F28&lt;&gt;"",$F28&lt;&gt;0),
                        SUMIF(CÁLCULO!$BC$15:$BU$165,CRONO!AD$12,CÁLCULO!$AJ$15:$BB$165)/(ORÇAMENTO!$X$15-_xlfn.SINGLE(CÁLCULO.TotalAdmLocal))*CRONO!$F28,
                        0),
                 AD27*$S26),
          SUMIF(OFFSET($S28,1,0,$R26-2),($M26+1)&amp;"$",OFFSET(AD28,1,0,$R26-2)))</f>
        <v>0</v>
      </c>
      <c r="AE28" s="202" cm="1">
        <f t="array" aca="1" ref="AE28" ca="1">IF($R26=2,
         IF(AND(ACOMPANHAMENTO="PLE",ISNUMBER($F26)),
                SUMIF((OFFSET(CÁLCULO!$BC$15:$BU$15,$F26,0,OFFSET(ORÇAMENTO!$D$15,CRONO!$F26,0))),CRONO!AE$12,OFFSET(CÁLCULO!$AJ$15:$BB$15,$F26,0,OFFSET(ORÇAMENTO!$D$15,CRONO!$F26,0)))
                +IF(AND($F28&lt;&gt;"",$F28&lt;&gt;0),
                        SUMIF(CÁLCULO!$BC$15:$BU$165,CRONO!AE$12,CÁLCULO!$AJ$15:$BB$165)/(ORÇAMENTO!$X$15-_xlfn.SINGLE(CÁLCULO.TotalAdmLocal))*CRONO!$F28,
                        0),
                 AE27*$S26),
          SUMIF(OFFSET($S28,1,0,$R26-2),($M26+1)&amp;"$",OFFSET(AE28,1,0,$R26-2)))</f>
        <v>0</v>
      </c>
      <c r="AF28" s="202" cm="1">
        <f t="array" aca="1" ref="AF28" ca="1">IF($R26=2,
         IF(AND(ACOMPANHAMENTO="PLE",ISNUMBER($F26)),
                SUMIF((OFFSET(CÁLCULO!$BC$15:$BU$15,$F26,0,OFFSET(ORÇAMENTO!$D$15,CRONO!$F26,0))),CRONO!AF$12,OFFSET(CÁLCULO!$AJ$15:$BB$15,$F26,0,OFFSET(ORÇAMENTO!$D$15,CRONO!$F26,0)))
                +IF(AND($F28&lt;&gt;"",$F28&lt;&gt;0),
                        SUMIF(CÁLCULO!$BC$15:$BU$165,CRONO!AF$12,CÁLCULO!$AJ$15:$BB$165)/(ORÇAMENTO!$X$15-_xlfn.SINGLE(CÁLCULO.TotalAdmLocal))*CRONO!$F28,
                        0),
                 AF27*$S26),
          SUMIF(OFFSET($S28,1,0,$R26-2),($M26+1)&amp;"$",OFFSET(AF28,1,0,$R26-2)))</f>
        <v>0</v>
      </c>
      <c r="AG28" s="534"/>
    </row>
    <row r="29" spans="1:33" x14ac:dyDescent="0.25">
      <c r="A29" s="186" t="e">
        <f t="shared" ref="A29" ca="1" si="32">IF($M29&gt;1,_xlfn.CONCAT($I29," ",$J29),"")</f>
        <v>#NAME?</v>
      </c>
      <c r="B29" s="185">
        <f t="shared" ref="B29" ca="1" si="33">OFFSET(B29,-3,0)+1</f>
        <v>6</v>
      </c>
      <c r="C29" s="185">
        <f ca="1">IF($R29&lt;&gt;2,0,IF($S29=0,1,IF(F30&gt;0,OFFSET(QCI!$M$13,SUBSTITUTE(F30,".",""),0),OFFSET(ORÇAMENTO!$AA$15,CRONO!$F29,0))/$S29))</f>
        <v>0.27621385324224018</v>
      </c>
      <c r="D29" s="185">
        <f ca="1">IF($R29&lt;&gt;2,0,IF($S29=0,1,IF(F30&gt;0,OFFSET(QCI!$N$13,SUBSTITUTE(F30,".",""),0),OFFSET(ORÇAMENTO!$AB$15,CRONO!$F29,0))/$S29))</f>
        <v>0</v>
      </c>
      <c r="E29" s="188" cm="1">
        <f t="array" aca="1" ref="E29" ca="1">IF(AND($R29=2,ACOMPANHAMENTO="BM"),ROUND(E30,4),E31/$S29)</f>
        <v>0</v>
      </c>
      <c r="F29" s="185">
        <f ca="1">IF(B29&lt;=ORÇAMENTO.MáximoListaCrono,MATCH(B29,ORÇAMENTO.ListaCrono,0),NA())</f>
        <v>26</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 xml:space="preserve">FAIXAS ELEVADAS </v>
      </c>
      <c r="K29" s="191"/>
      <c r="L29" s="191"/>
      <c r="M29" s="192">
        <f ca="1">IF($F30=0,OFFSET(ORÇAMENTO!C$15,$F29,0),1)</f>
        <v>2</v>
      </c>
      <c r="N29" s="193">
        <f ca="1">IF($F30=-1,0,IF(N$13&lt;=$M29,IF(ISERROR(MATCH(N$13,OFFSET($M29,1,0,ROW($M$95)-ROW($M29)-1),0)),ROW($M$95)-ROW($M29)-1,MATCH(N$13,OFFSET($M29,1,0,ROW($M$95)-ROW($M29)-1),0)-1),0))</f>
        <v>8</v>
      </c>
      <c r="O29" s="193">
        <f ca="1">IF($F30=-1,0,IF(O$13&lt;=$M29,IF(ISERROR(MATCH(O$13,OFFSET($M29,1,0,ROW($M$95)-ROW($M29)-1),0)),ROW($M$95)-ROW($M29)-1,MATCH(O$13,OFFSET($M29,1,0,ROW($M$95)-ROW($M29)-1),0)-1),0))</f>
        <v>2</v>
      </c>
      <c r="P29" s="193">
        <f ca="1">IF($F30=-1,0,IF(P$13&lt;=$M29,IF(ISERROR(MATCH(P$13,OFFSET($M29,1,0,ROW($M$95)-ROW($M29)-1),0)),ROW($M$95)-ROW($M29)-1,MATCH(P$13,OFFSET($M29,1,0,ROW($M$95)-ROW($M29)-1),0)-1),0))</f>
        <v>0</v>
      </c>
      <c r="Q29" s="193">
        <f ca="1">IF($F30=-1,0,IF(Q$13&lt;=$M29,IF(ISERROR(MATCH(Q$13,OFFSET($M29,1,0,ROW($M$95)-ROW($M29)-1),0)),ROW($M$95)-ROW($M29)-1,MATCH(Q$13,OFFSET($M29,1,0,ROW($M$95)-ROW($M29)-1),0)-1),0))</f>
        <v>0</v>
      </c>
      <c r="R29" s="193">
        <f t="shared" ref="R29" ca="1" si="35">MIN(OFFSET(M29,0,1,,M29))</f>
        <v>2</v>
      </c>
      <c r="S29" s="194">
        <f ca="1">IF($F30=0,OFFSET(ORÇAMENTO!X$15,$F29,0),IF($F30&lt;&gt;-1,OFFSET(QCI!$O$13,$F30,0),""))</f>
        <v>18931.04</v>
      </c>
      <c r="T29" s="195" t="s">
        <v>785</v>
      </c>
      <c r="U29" s="188" cm="1">
        <f t="array" aca="1" ref="U29" ca="1">IF(AND($R29=2,ACOMPANHAMENTO="BM"),ROUND(U30,4),U31/$S29)</f>
        <v>0</v>
      </c>
      <c r="V29" s="188" cm="1">
        <f t="array" aca="1" ref="V29" ca="1">IF(AND($R29=2,ACOMPANHAMENTO="BM"),ROUND(V30,4),V31/$S29)</f>
        <v>1</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hidden="1" customHeight="1" x14ac:dyDescent="0.25">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5">
      <c r="D31" s="533"/>
      <c r="E31" s="202" cm="1">
        <f t="array" aca="1" ref="E31" ca="1">IF($R29=2,
         IF(AND(ACOMPANHAMENTO="PLE",ISNUMBER($F29)),
                SUMIF((OFFSET(CÁLCULO!$BC$15:$BU$15,$F29,0,OFFSET(ORÇAMENTO!$D$15,CRONO!$F29,0))),CRONO!E$12,OFFSET(CÁLCULO!$AJ$15:$BB$15,$F29,0,OFFSET(ORÇAMENTO!$D$15,CRONO!$F29,0)))
                +IF(AND($F31&lt;&gt;"",$F31&lt;&gt;0),
                        SUMIF(CÁLCULO!$BC$15:$BU$165,CRONO!E$12,CÁLCULO!$AJ$15:$BB$165)/(ORÇAMENTO!$X$15-_xlfn.SINGLE(CÁLCULO.TotalAdmLocal))*CRONO!$F31,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SUMIF((OFFSET(CÁLCULO!$BC$15:$BU$15,$F29,0,OFFSET(ORÇAMENTO!$D$15,CRONO!$F29,0))),CRONO!U$12,OFFSET(CÁLCULO!$AJ$15:$BB$15,$F29,0,OFFSET(ORÇAMENTO!$D$15,CRONO!$F29,0)))
                +IF(AND($F31&lt;&gt;"",$F31&lt;&gt;0),
                        SUMIF(CÁLCULO!$BC$15:$BU$165,CRONO!U$12,CÁLCULO!$AJ$15:$BB$165)/(ORÇAMENTO!$X$15-_xlfn.SINGLE(CÁLCULO.TotalAdmLocal))*CRONO!$F31,
                        0),
                 U30*$S29),
          SUMIF(OFFSET($S31,1,0,$R29-2),($M29+1)&amp;"$",OFFSET(U31,1,0,$R29-2)))</f>
        <v>0</v>
      </c>
      <c r="V31" s="202" cm="1">
        <f t="array" aca="1" ref="V31" ca="1">IF($R29=2,
         IF(AND(ACOMPANHAMENTO="PLE",ISNUMBER($F29)),
                SUMIF((OFFSET(CÁLCULO!$BC$15:$BU$15,$F29,0,OFFSET(ORÇAMENTO!$D$15,CRONO!$F29,0))),CRONO!V$12,OFFSET(CÁLCULO!$AJ$15:$BB$15,$F29,0,OFFSET(ORÇAMENTO!$D$15,CRONO!$F29,0)))
                +IF(AND($F31&lt;&gt;"",$F31&lt;&gt;0),
                        SUMIF(CÁLCULO!$BC$15:$BU$165,CRONO!V$12,CÁLCULO!$AJ$15:$BB$165)/(ORÇAMENTO!$X$15-_xlfn.SINGLE(CÁLCULO.TotalAdmLocal))*CRONO!$F31,
                        0),
                 V30*$S29),
          SUMIF(OFFSET($S31,1,0,$R29-2),($M29+1)&amp;"$",OFFSET(V31,1,0,$R29-2)))</f>
        <v>18931.04</v>
      </c>
      <c r="W31" s="202" cm="1">
        <f t="array" aca="1" ref="W31" ca="1">IF($R29=2,
         IF(AND(ACOMPANHAMENTO="PLE",ISNUMBER($F29)),
                SUMIF((OFFSET(CÁLCULO!$BC$15:$BU$15,$F29,0,OFFSET(ORÇAMENTO!$D$15,CRONO!$F29,0))),CRONO!W$12,OFFSET(CÁLCULO!$AJ$15:$BB$15,$F29,0,OFFSET(ORÇAMENTO!$D$15,CRONO!$F29,0)))
                +IF(AND($F31&lt;&gt;"",$F31&lt;&gt;0),
                        SUMIF(CÁLCULO!$BC$15:$BU$165,CRONO!W$12,CÁLCULO!$AJ$15:$BB$165)/(ORÇAMENTO!$X$15-_xlfn.SINGLE(CÁLCULO.TotalAdmLocal))*CRONO!$F31,
                        0),
                 W30*$S29),
          SUMIF(OFFSET($S31,1,0,$R29-2),($M29+1)&amp;"$",OFFSET(W31,1,0,$R29-2)))</f>
        <v>0</v>
      </c>
      <c r="X31" s="202" cm="1">
        <f t="array" aca="1" ref="X31" ca="1">IF($R29=2,
         IF(AND(ACOMPANHAMENTO="PLE",ISNUMBER($F29)),
                SUMIF((OFFSET(CÁLCULO!$BC$15:$BU$15,$F29,0,OFFSET(ORÇAMENTO!$D$15,CRONO!$F29,0))),CRONO!X$12,OFFSET(CÁLCULO!$AJ$15:$BB$15,$F29,0,OFFSET(ORÇAMENTO!$D$15,CRONO!$F29,0)))
                +IF(AND($F31&lt;&gt;"",$F31&lt;&gt;0),
                        SUMIF(CÁLCULO!$BC$15:$BU$165,CRONO!X$12,CÁLCULO!$AJ$15:$BB$165)/(ORÇAMENTO!$X$15-_xlfn.SINGLE(CÁLCULO.TotalAdmLocal))*CRONO!$F31,
                        0),
                 X30*$S29),
          SUMIF(OFFSET($S31,1,0,$R29-2),($M29+1)&amp;"$",OFFSET(X31,1,0,$R29-2)))</f>
        <v>0</v>
      </c>
      <c r="Y31" s="202" cm="1">
        <f t="array" aca="1" ref="Y31" ca="1">IF($R29=2,
         IF(AND(ACOMPANHAMENTO="PLE",ISNUMBER($F29)),
                SUMIF((OFFSET(CÁLCULO!$BC$15:$BU$15,$F29,0,OFFSET(ORÇAMENTO!$D$15,CRONO!$F29,0))),CRONO!Y$12,OFFSET(CÁLCULO!$AJ$15:$BB$15,$F29,0,OFFSET(ORÇAMENTO!$D$15,CRONO!$F29,0)))
                +IF(AND($F31&lt;&gt;"",$F31&lt;&gt;0),
                        SUMIF(CÁLCULO!$BC$15:$BU$165,CRONO!Y$12,CÁLCULO!$AJ$15:$BB$165)/(ORÇAMENTO!$X$15-_xlfn.SINGLE(CÁLCULO.TotalAdmLocal))*CRONO!$F31,
                        0),
                 Y30*$S29),
          SUMIF(OFFSET($S31,1,0,$R29-2),($M29+1)&amp;"$",OFFSET(Y31,1,0,$R29-2)))</f>
        <v>0</v>
      </c>
      <c r="Z31" s="202" cm="1">
        <f t="array" aca="1" ref="Z31" ca="1">IF($R29=2,
         IF(AND(ACOMPANHAMENTO="PLE",ISNUMBER($F29)),
                SUMIF((OFFSET(CÁLCULO!$BC$15:$BU$15,$F29,0,OFFSET(ORÇAMENTO!$D$15,CRONO!$F29,0))),CRONO!Z$12,OFFSET(CÁLCULO!$AJ$15:$BB$15,$F29,0,OFFSET(ORÇAMENTO!$D$15,CRONO!$F29,0)))
                +IF(AND($F31&lt;&gt;"",$F31&lt;&gt;0),
                        SUMIF(CÁLCULO!$BC$15:$BU$165,CRONO!Z$12,CÁLCULO!$AJ$15:$BB$165)/(ORÇAMENTO!$X$15-_xlfn.SINGLE(CÁLCULO.TotalAdmLocal))*CRONO!$F31,
                        0),
                 Z30*$S29),
          SUMIF(OFFSET($S31,1,0,$R29-2),($M29+1)&amp;"$",OFFSET(Z31,1,0,$R29-2)))</f>
        <v>0</v>
      </c>
      <c r="AA31" s="202" cm="1">
        <f t="array" aca="1" ref="AA31" ca="1">IF($R29=2,
         IF(AND(ACOMPANHAMENTO="PLE",ISNUMBER($F29)),
                SUMIF((OFFSET(CÁLCULO!$BC$15:$BU$15,$F29,0,OFFSET(ORÇAMENTO!$D$15,CRONO!$F29,0))),CRONO!AA$12,OFFSET(CÁLCULO!$AJ$15:$BB$15,$F29,0,OFFSET(ORÇAMENTO!$D$15,CRONO!$F29,0)))
                +IF(AND($F31&lt;&gt;"",$F31&lt;&gt;0),
                        SUMIF(CÁLCULO!$BC$15:$BU$165,CRONO!AA$12,CÁLCULO!$AJ$15:$BB$165)/(ORÇAMENTO!$X$15-_xlfn.SINGLE(CÁLCULO.TotalAdmLocal))*CRONO!$F31,
                        0),
                 AA30*$S29),
          SUMIF(OFFSET($S31,1,0,$R29-2),($M29+1)&amp;"$",OFFSET(AA31,1,0,$R29-2)))</f>
        <v>0</v>
      </c>
      <c r="AB31" s="202" cm="1">
        <f t="array" aca="1" ref="AB31" ca="1">IF($R29=2,
         IF(AND(ACOMPANHAMENTO="PLE",ISNUMBER($F29)),
                SUMIF((OFFSET(CÁLCULO!$BC$15:$BU$15,$F29,0,OFFSET(ORÇAMENTO!$D$15,CRONO!$F29,0))),CRONO!AB$12,OFFSET(CÁLCULO!$AJ$15:$BB$15,$F29,0,OFFSET(ORÇAMENTO!$D$15,CRONO!$F29,0)))
                +IF(AND($F31&lt;&gt;"",$F31&lt;&gt;0),
                        SUMIF(CÁLCULO!$BC$15:$BU$165,CRONO!AB$12,CÁLCULO!$AJ$15:$BB$165)/(ORÇAMENTO!$X$15-_xlfn.SINGLE(CÁLCULO.TotalAdmLocal))*CRONO!$F31,
                        0),
                 AB30*$S29),
          SUMIF(OFFSET($S31,1,0,$R29-2),($M29+1)&amp;"$",OFFSET(AB31,1,0,$R29-2)))</f>
        <v>0</v>
      </c>
      <c r="AC31" s="202" cm="1">
        <f t="array" aca="1" ref="AC31" ca="1">IF($R29=2,
         IF(AND(ACOMPANHAMENTO="PLE",ISNUMBER($F29)),
                SUMIF((OFFSET(CÁLCULO!$BC$15:$BU$15,$F29,0,OFFSET(ORÇAMENTO!$D$15,CRONO!$F29,0))),CRONO!AC$12,OFFSET(CÁLCULO!$AJ$15:$BB$15,$F29,0,OFFSET(ORÇAMENTO!$D$15,CRONO!$F29,0)))
                +IF(AND($F31&lt;&gt;"",$F31&lt;&gt;0),
                        SUMIF(CÁLCULO!$BC$15:$BU$165,CRONO!AC$12,CÁLCULO!$AJ$15:$BB$165)/(ORÇAMENTO!$X$15-_xlfn.SINGLE(CÁLCULO.TotalAdmLocal))*CRONO!$F31,
                        0),
                 AC30*$S29),
          SUMIF(OFFSET($S31,1,0,$R29-2),($M29+1)&amp;"$",OFFSET(AC31,1,0,$R29-2)))</f>
        <v>0</v>
      </c>
      <c r="AD31" s="202" cm="1">
        <f t="array" aca="1" ref="AD31" ca="1">IF($R29=2,
         IF(AND(ACOMPANHAMENTO="PLE",ISNUMBER($F29)),
                SUMIF((OFFSET(CÁLCULO!$BC$15:$BU$15,$F29,0,OFFSET(ORÇAMENTO!$D$15,CRONO!$F29,0))),CRONO!AD$12,OFFSET(CÁLCULO!$AJ$15:$BB$15,$F29,0,OFFSET(ORÇAMENTO!$D$15,CRONO!$F29,0)))
                +IF(AND($F31&lt;&gt;"",$F31&lt;&gt;0),
                        SUMIF(CÁLCULO!$BC$15:$BU$165,CRONO!AD$12,CÁLCULO!$AJ$15:$BB$165)/(ORÇAMENTO!$X$15-_xlfn.SINGLE(CÁLCULO.TotalAdmLocal))*CRONO!$F31,
                        0),
                 AD30*$S29),
          SUMIF(OFFSET($S31,1,0,$R29-2),($M29+1)&amp;"$",OFFSET(AD31,1,0,$R29-2)))</f>
        <v>0</v>
      </c>
      <c r="AE31" s="202" cm="1">
        <f t="array" aca="1" ref="AE31" ca="1">IF($R29=2,
         IF(AND(ACOMPANHAMENTO="PLE",ISNUMBER($F29)),
                SUMIF((OFFSET(CÁLCULO!$BC$15:$BU$15,$F29,0,OFFSET(ORÇAMENTO!$D$15,CRONO!$F29,0))),CRONO!AE$12,OFFSET(CÁLCULO!$AJ$15:$BB$15,$F29,0,OFFSET(ORÇAMENTO!$D$15,CRONO!$F29,0)))
                +IF(AND($F31&lt;&gt;"",$F31&lt;&gt;0),
                        SUMIF(CÁLCULO!$BC$15:$BU$165,CRONO!AE$12,CÁLCULO!$AJ$15:$BB$165)/(ORÇAMENTO!$X$15-_xlfn.SINGLE(CÁLCULO.TotalAdmLocal))*CRONO!$F31,
                        0),
                 AE30*$S29),
          SUMIF(OFFSET($S31,1,0,$R29-2),($M29+1)&amp;"$",OFFSET(AE31,1,0,$R29-2)))</f>
        <v>0</v>
      </c>
      <c r="AF31" s="202" cm="1">
        <f t="array" aca="1" ref="AF31" ca="1">IF($R29=2,
         IF(AND(ACOMPANHAMENTO="PLE",ISNUMBER($F29)),
                SUMIF((OFFSET(CÁLCULO!$BC$15:$BU$15,$F29,0,OFFSET(ORÇAMENTO!$D$15,CRONO!$F29,0))),CRONO!AF$12,OFFSET(CÁLCULO!$AJ$15:$BB$15,$F29,0,OFFSET(ORÇAMENTO!$D$15,CRONO!$F29,0)))
                +IF(AND($F31&lt;&gt;"",$F31&lt;&gt;0),
                        SUMIF(CÁLCULO!$BC$15:$BU$165,CRONO!AF$12,CÁLCULO!$AJ$15:$BB$165)/(ORÇAMENTO!$X$15-_xlfn.SINGLE(CÁLCULO.TotalAdmLocal))*CRONO!$F31,
                        0),
                 AF30*$S29),
          SUMIF(OFFSET($S31,1,0,$R29-2),($M29+1)&amp;"$",OFFSET(AF31,1,0,$R29-2)))</f>
        <v>0</v>
      </c>
      <c r="AG31" s="534"/>
    </row>
    <row r="32" spans="1:33" x14ac:dyDescent="0.25">
      <c r="A32" s="186" t="e">
        <f t="shared" ref="A32" ca="1" si="38">IF($M32&gt;1,_xlfn.CONCAT($I32," ",$J32),"")</f>
        <v>#NAME?</v>
      </c>
      <c r="B32" s="185">
        <f t="shared" ref="B32" ca="1" si="39">OFFSET(B32,-3,0)+1</f>
        <v>7</v>
      </c>
      <c r="C32" s="185">
        <f ca="1">IF($R32&lt;&gt;2,0,IF($S32=0,1,IF(F33&gt;0,OFFSET(QCI!$M$13,SUBSTITUTE(F33,".",""),0),OFFSET(ORÇAMENTO!$AA$15,CRONO!$F32,0))/$S32))</f>
        <v>0.27621385324224024</v>
      </c>
      <c r="D32" s="185">
        <f ca="1">IF($R32&lt;&gt;2,0,IF($S32=0,1,IF(F33&gt;0,OFFSET(QCI!$N$13,SUBSTITUTE(F33,".",""),0),OFFSET(ORÇAMENTO!$AB$15,CRONO!$F32,0))/$S32))</f>
        <v>0</v>
      </c>
      <c r="E32" s="188" cm="1">
        <f t="array" aca="1" ref="E32" ca="1">IF(AND($R32=2,ACOMPANHAMENTO="BM"),ROUND(E33,4),E34/$S32)</f>
        <v>0</v>
      </c>
      <c r="F32" s="185">
        <f ca="1">IF(B32&lt;=ORÇAMENTO.MáximoListaCrono,MATCH(B32,ORÇAMENTO.ListaCrono,0),NA())</f>
        <v>33</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SINALIZAÇÃO</v>
      </c>
      <c r="K32" s="191"/>
      <c r="L32" s="191"/>
      <c r="M32" s="192">
        <f ca="1">IF($F33=0,OFFSET(ORÇAMENTO!C$15,$F32,0),1)</f>
        <v>2</v>
      </c>
      <c r="N32" s="193">
        <f ca="1">IF($F33=-1,0,IF(N$13&lt;=$M32,IF(ISERROR(MATCH(N$13,OFFSET($M32,1,0,ROW($M$95)-ROW($M32)-1),0)),ROW($M$95)-ROW($M32)-1,MATCH(N$13,OFFSET($M32,1,0,ROW($M$95)-ROW($M32)-1),0)-1),0))</f>
        <v>5</v>
      </c>
      <c r="O32" s="193">
        <f ca="1">IF($F33=-1,0,IF(O$13&lt;=$M32,IF(ISERROR(MATCH(O$13,OFFSET($M32,1,0,ROW($M$95)-ROW($M32)-1),0)),ROW($M$95)-ROW($M32)-1,MATCH(O$13,OFFSET($M32,1,0,ROW($M$95)-ROW($M32)-1),0)-1),0))</f>
        <v>2</v>
      </c>
      <c r="P32" s="193">
        <f ca="1">IF($F33=-1,0,IF(P$13&lt;=$M32,IF(ISERROR(MATCH(P$13,OFFSET($M32,1,0,ROW($M$95)-ROW($M32)-1),0)),ROW($M$95)-ROW($M32)-1,MATCH(P$13,OFFSET($M32,1,0,ROW($M$95)-ROW($M32)-1),0)-1),0))</f>
        <v>0</v>
      </c>
      <c r="Q32" s="193">
        <f ca="1">IF($F33=-1,0,IF(Q$13&lt;=$M32,IF(ISERROR(MATCH(Q$13,OFFSET($M32,1,0,ROW($M$95)-ROW($M32)-1),0)),ROW($M$95)-ROW($M32)-1,MATCH(Q$13,OFFSET($M32,1,0,ROW($M$95)-ROW($M32)-1),0)-1),0))</f>
        <v>0</v>
      </c>
      <c r="R32" s="193">
        <f t="shared" ref="R32" ca="1" si="41">MIN(OFFSET(M32,0,1,,M32))</f>
        <v>2</v>
      </c>
      <c r="S32" s="194">
        <f ca="1">IF($F33=0,OFFSET(ORÇAMENTO!X$15,$F32,0),IF($F33&lt;&gt;-1,OFFSET(QCI!$O$13,$F33,0),""))</f>
        <v>6828.35</v>
      </c>
      <c r="T32" s="195" t="s">
        <v>785</v>
      </c>
      <c r="U32" s="188" cm="1">
        <f t="array" aca="1" ref="U32" ca="1">IF(AND($R32=2,ACOMPANHAMENTO="BM"),ROUND(U33,4),U34/$S32)</f>
        <v>0</v>
      </c>
      <c r="V32" s="188" cm="1">
        <f t="array" aca="1" ref="V32" ca="1">IF(AND($R32=2,ACOMPANHAMENTO="BM"),ROUND(V33,4),V34/$S32)</f>
        <v>1</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hidden="1" customHeight="1" x14ac:dyDescent="0.25">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5">
      <c r="D34" s="533"/>
      <c r="E34" s="202" cm="1">
        <f t="array" aca="1" ref="E34" ca="1">IF($R32=2,
         IF(AND(ACOMPANHAMENTO="PLE",ISNUMBER($F32)),
                SUMIF((OFFSET(CÁLCULO!$BC$15:$BU$15,$F32,0,OFFSET(ORÇAMENTO!$D$15,CRONO!$F32,0))),CRONO!E$12,OFFSET(CÁLCULO!$AJ$15:$BB$15,$F32,0,OFFSET(ORÇAMENTO!$D$15,CRONO!$F32,0)))
                +IF(AND($F34&lt;&gt;"",$F34&lt;&gt;0),
                        SUMIF(CÁLCULO!$BC$15:$BU$165,CRONO!E$12,CÁLCULO!$AJ$15:$BB$165)/(ORÇAMENTO!$X$15-_xlfn.SINGLE(CÁLCULO.TotalAdmLocal))*CRONO!$F34,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SUMIF((OFFSET(CÁLCULO!$BC$15:$BU$15,$F32,0,OFFSET(ORÇAMENTO!$D$15,CRONO!$F32,0))),CRONO!U$12,OFFSET(CÁLCULO!$AJ$15:$BB$15,$F32,0,OFFSET(ORÇAMENTO!$D$15,CRONO!$F32,0)))
                +IF(AND($F34&lt;&gt;"",$F34&lt;&gt;0),
                        SUMIF(CÁLCULO!$BC$15:$BU$165,CRONO!U$12,CÁLCULO!$AJ$15:$BB$165)/(ORÇAMENTO!$X$15-_xlfn.SINGLE(CÁLCULO.TotalAdmLocal))*CRONO!$F34,
                        0),
                 U33*$S32),
          SUMIF(OFFSET($S34,1,0,$R32-2),($M32+1)&amp;"$",OFFSET(U34,1,0,$R32-2)))</f>
        <v>0</v>
      </c>
      <c r="V34" s="202" cm="1">
        <f t="array" aca="1" ref="V34" ca="1">IF($R32=2,
         IF(AND(ACOMPANHAMENTO="PLE",ISNUMBER($F32)),
                SUMIF((OFFSET(CÁLCULO!$BC$15:$BU$15,$F32,0,OFFSET(ORÇAMENTO!$D$15,CRONO!$F32,0))),CRONO!V$12,OFFSET(CÁLCULO!$AJ$15:$BB$15,$F32,0,OFFSET(ORÇAMENTO!$D$15,CRONO!$F32,0)))
                +IF(AND($F34&lt;&gt;"",$F34&lt;&gt;0),
                        SUMIF(CÁLCULO!$BC$15:$BU$165,CRONO!V$12,CÁLCULO!$AJ$15:$BB$165)/(ORÇAMENTO!$X$15-_xlfn.SINGLE(CÁLCULO.TotalAdmLocal))*CRONO!$F34,
                        0),
                 V33*$S32),
          SUMIF(OFFSET($S34,1,0,$R32-2),($M32+1)&amp;"$",OFFSET(V34,1,0,$R32-2)))</f>
        <v>6828.35</v>
      </c>
      <c r="W34" s="202" cm="1">
        <f t="array" aca="1" ref="W34" ca="1">IF($R32=2,
         IF(AND(ACOMPANHAMENTO="PLE",ISNUMBER($F32)),
                SUMIF((OFFSET(CÁLCULO!$BC$15:$BU$15,$F32,0,OFFSET(ORÇAMENTO!$D$15,CRONO!$F32,0))),CRONO!W$12,OFFSET(CÁLCULO!$AJ$15:$BB$15,$F32,0,OFFSET(ORÇAMENTO!$D$15,CRONO!$F32,0)))
                +IF(AND($F34&lt;&gt;"",$F34&lt;&gt;0),
                        SUMIF(CÁLCULO!$BC$15:$BU$165,CRONO!W$12,CÁLCULO!$AJ$15:$BB$165)/(ORÇAMENTO!$X$15-_xlfn.SINGLE(CÁLCULO.TotalAdmLocal))*CRONO!$F34,
                        0),
                 W33*$S32),
          SUMIF(OFFSET($S34,1,0,$R32-2),($M32+1)&amp;"$",OFFSET(W34,1,0,$R32-2)))</f>
        <v>0</v>
      </c>
      <c r="X34" s="202" cm="1">
        <f t="array" aca="1" ref="X34" ca="1">IF($R32=2,
         IF(AND(ACOMPANHAMENTO="PLE",ISNUMBER($F32)),
                SUMIF((OFFSET(CÁLCULO!$BC$15:$BU$15,$F32,0,OFFSET(ORÇAMENTO!$D$15,CRONO!$F32,0))),CRONO!X$12,OFFSET(CÁLCULO!$AJ$15:$BB$15,$F32,0,OFFSET(ORÇAMENTO!$D$15,CRONO!$F32,0)))
                +IF(AND($F34&lt;&gt;"",$F34&lt;&gt;0),
                        SUMIF(CÁLCULO!$BC$15:$BU$165,CRONO!X$12,CÁLCULO!$AJ$15:$BB$165)/(ORÇAMENTO!$X$15-_xlfn.SINGLE(CÁLCULO.TotalAdmLocal))*CRONO!$F34,
                        0),
                 X33*$S32),
          SUMIF(OFFSET($S34,1,0,$R32-2),($M32+1)&amp;"$",OFFSET(X34,1,0,$R32-2)))</f>
        <v>0</v>
      </c>
      <c r="Y34" s="202" cm="1">
        <f t="array" aca="1" ref="Y34" ca="1">IF($R32=2,
         IF(AND(ACOMPANHAMENTO="PLE",ISNUMBER($F32)),
                SUMIF((OFFSET(CÁLCULO!$BC$15:$BU$15,$F32,0,OFFSET(ORÇAMENTO!$D$15,CRONO!$F32,0))),CRONO!Y$12,OFFSET(CÁLCULO!$AJ$15:$BB$15,$F32,0,OFFSET(ORÇAMENTO!$D$15,CRONO!$F32,0)))
                +IF(AND($F34&lt;&gt;"",$F34&lt;&gt;0),
                        SUMIF(CÁLCULO!$BC$15:$BU$165,CRONO!Y$12,CÁLCULO!$AJ$15:$BB$165)/(ORÇAMENTO!$X$15-_xlfn.SINGLE(CÁLCULO.TotalAdmLocal))*CRONO!$F34,
                        0),
                 Y33*$S32),
          SUMIF(OFFSET($S34,1,0,$R32-2),($M32+1)&amp;"$",OFFSET(Y34,1,0,$R32-2)))</f>
        <v>0</v>
      </c>
      <c r="Z34" s="202" cm="1">
        <f t="array" aca="1" ref="Z34" ca="1">IF($R32=2,
         IF(AND(ACOMPANHAMENTO="PLE",ISNUMBER($F32)),
                SUMIF((OFFSET(CÁLCULO!$BC$15:$BU$15,$F32,0,OFFSET(ORÇAMENTO!$D$15,CRONO!$F32,0))),CRONO!Z$12,OFFSET(CÁLCULO!$AJ$15:$BB$15,$F32,0,OFFSET(ORÇAMENTO!$D$15,CRONO!$F32,0)))
                +IF(AND($F34&lt;&gt;"",$F34&lt;&gt;0),
                        SUMIF(CÁLCULO!$BC$15:$BU$165,CRONO!Z$12,CÁLCULO!$AJ$15:$BB$165)/(ORÇAMENTO!$X$15-_xlfn.SINGLE(CÁLCULO.TotalAdmLocal))*CRONO!$F34,
                        0),
                 Z33*$S32),
          SUMIF(OFFSET($S34,1,0,$R32-2),($M32+1)&amp;"$",OFFSET(Z34,1,0,$R32-2)))</f>
        <v>0</v>
      </c>
      <c r="AA34" s="202" cm="1">
        <f t="array" aca="1" ref="AA34" ca="1">IF($R32=2,
         IF(AND(ACOMPANHAMENTO="PLE",ISNUMBER($F32)),
                SUMIF((OFFSET(CÁLCULO!$BC$15:$BU$15,$F32,0,OFFSET(ORÇAMENTO!$D$15,CRONO!$F32,0))),CRONO!AA$12,OFFSET(CÁLCULO!$AJ$15:$BB$15,$F32,0,OFFSET(ORÇAMENTO!$D$15,CRONO!$F32,0)))
                +IF(AND($F34&lt;&gt;"",$F34&lt;&gt;0),
                        SUMIF(CÁLCULO!$BC$15:$BU$165,CRONO!AA$12,CÁLCULO!$AJ$15:$BB$165)/(ORÇAMENTO!$X$15-_xlfn.SINGLE(CÁLCULO.TotalAdmLocal))*CRONO!$F34,
                        0),
                 AA33*$S32),
          SUMIF(OFFSET($S34,1,0,$R32-2),($M32+1)&amp;"$",OFFSET(AA34,1,0,$R32-2)))</f>
        <v>0</v>
      </c>
      <c r="AB34" s="202" cm="1">
        <f t="array" aca="1" ref="AB34" ca="1">IF($R32=2,
         IF(AND(ACOMPANHAMENTO="PLE",ISNUMBER($F32)),
                SUMIF((OFFSET(CÁLCULO!$BC$15:$BU$15,$F32,0,OFFSET(ORÇAMENTO!$D$15,CRONO!$F32,0))),CRONO!AB$12,OFFSET(CÁLCULO!$AJ$15:$BB$15,$F32,0,OFFSET(ORÇAMENTO!$D$15,CRONO!$F32,0)))
                +IF(AND($F34&lt;&gt;"",$F34&lt;&gt;0),
                        SUMIF(CÁLCULO!$BC$15:$BU$165,CRONO!AB$12,CÁLCULO!$AJ$15:$BB$165)/(ORÇAMENTO!$X$15-_xlfn.SINGLE(CÁLCULO.TotalAdmLocal))*CRONO!$F34,
                        0),
                 AB33*$S32),
          SUMIF(OFFSET($S34,1,0,$R32-2),($M32+1)&amp;"$",OFFSET(AB34,1,0,$R32-2)))</f>
        <v>0</v>
      </c>
      <c r="AC34" s="202" cm="1">
        <f t="array" aca="1" ref="AC34" ca="1">IF($R32=2,
         IF(AND(ACOMPANHAMENTO="PLE",ISNUMBER($F32)),
                SUMIF((OFFSET(CÁLCULO!$BC$15:$BU$15,$F32,0,OFFSET(ORÇAMENTO!$D$15,CRONO!$F32,0))),CRONO!AC$12,OFFSET(CÁLCULO!$AJ$15:$BB$15,$F32,0,OFFSET(ORÇAMENTO!$D$15,CRONO!$F32,0)))
                +IF(AND($F34&lt;&gt;"",$F34&lt;&gt;0),
                        SUMIF(CÁLCULO!$BC$15:$BU$165,CRONO!AC$12,CÁLCULO!$AJ$15:$BB$165)/(ORÇAMENTO!$X$15-_xlfn.SINGLE(CÁLCULO.TotalAdmLocal))*CRONO!$F34,
                        0),
                 AC33*$S32),
          SUMIF(OFFSET($S34,1,0,$R32-2),($M32+1)&amp;"$",OFFSET(AC34,1,0,$R32-2)))</f>
        <v>0</v>
      </c>
      <c r="AD34" s="202" cm="1">
        <f t="array" aca="1" ref="AD34" ca="1">IF($R32=2,
         IF(AND(ACOMPANHAMENTO="PLE",ISNUMBER($F32)),
                SUMIF((OFFSET(CÁLCULO!$BC$15:$BU$15,$F32,0,OFFSET(ORÇAMENTO!$D$15,CRONO!$F32,0))),CRONO!AD$12,OFFSET(CÁLCULO!$AJ$15:$BB$15,$F32,0,OFFSET(ORÇAMENTO!$D$15,CRONO!$F32,0)))
                +IF(AND($F34&lt;&gt;"",$F34&lt;&gt;0),
                        SUMIF(CÁLCULO!$BC$15:$BU$165,CRONO!AD$12,CÁLCULO!$AJ$15:$BB$165)/(ORÇAMENTO!$X$15-_xlfn.SINGLE(CÁLCULO.TotalAdmLocal))*CRONO!$F34,
                        0),
                 AD33*$S32),
          SUMIF(OFFSET($S34,1,0,$R32-2),($M32+1)&amp;"$",OFFSET(AD34,1,0,$R32-2)))</f>
        <v>0</v>
      </c>
      <c r="AE34" s="202" cm="1">
        <f t="array" aca="1" ref="AE34" ca="1">IF($R32=2,
         IF(AND(ACOMPANHAMENTO="PLE",ISNUMBER($F32)),
                SUMIF((OFFSET(CÁLCULO!$BC$15:$BU$15,$F32,0,OFFSET(ORÇAMENTO!$D$15,CRONO!$F32,0))),CRONO!AE$12,OFFSET(CÁLCULO!$AJ$15:$BB$15,$F32,0,OFFSET(ORÇAMENTO!$D$15,CRONO!$F32,0)))
                +IF(AND($F34&lt;&gt;"",$F34&lt;&gt;0),
                        SUMIF(CÁLCULO!$BC$15:$BU$165,CRONO!AE$12,CÁLCULO!$AJ$15:$BB$165)/(ORÇAMENTO!$X$15-_xlfn.SINGLE(CÁLCULO.TotalAdmLocal))*CRONO!$F34,
                        0),
                 AE33*$S32),
          SUMIF(OFFSET($S34,1,0,$R32-2),($M32+1)&amp;"$",OFFSET(AE34,1,0,$R32-2)))</f>
        <v>0</v>
      </c>
      <c r="AF34" s="202" cm="1">
        <f t="array" aca="1" ref="AF34" ca="1">IF($R32=2,
         IF(AND(ACOMPANHAMENTO="PLE",ISNUMBER($F32)),
                SUMIF((OFFSET(CÁLCULO!$BC$15:$BU$15,$F32,0,OFFSET(ORÇAMENTO!$D$15,CRONO!$F32,0))),CRONO!AF$12,OFFSET(CÁLCULO!$AJ$15:$BB$15,$F32,0,OFFSET(ORÇAMENTO!$D$15,CRONO!$F32,0)))
                +IF(AND($F34&lt;&gt;"",$F34&lt;&gt;0),
                        SUMIF(CÁLCULO!$BC$15:$BU$165,CRONO!AF$12,CÁLCULO!$AJ$15:$BB$165)/(ORÇAMENTO!$X$15-_xlfn.SINGLE(CÁLCULO.TotalAdmLocal))*CRONO!$F34,
                        0),
                 AF33*$S32),
          SUMIF(OFFSET($S34,1,0,$R32-2),($M32+1)&amp;"$",OFFSET(AF34,1,0,$R32-2)))</f>
        <v>0</v>
      </c>
      <c r="AG34" s="534"/>
    </row>
    <row r="35" spans="1:33" x14ac:dyDescent="0.25">
      <c r="A35" s="186" t="e">
        <f t="shared" ref="A35" ca="1" si="44">IF($M35&gt;1,_xlfn.CONCAT($I35," ",$J35),"")</f>
        <v>#NAME?</v>
      </c>
      <c r="B35" s="185">
        <f t="shared" ref="B35" ca="1" si="45">OFFSET(B35,-3,0)+1</f>
        <v>8</v>
      </c>
      <c r="C35" s="185">
        <f ca="1">IF($R35&lt;&gt;2,0,IF($S35=0,1,IF(F36&gt;0,OFFSET(QCI!$M$13,SUBSTITUTE(F36,".",""),0),OFFSET(ORÇAMENTO!$AA$15,CRONO!$F35,0))/$S35))</f>
        <v>0.27621385324224018</v>
      </c>
      <c r="D35" s="185">
        <f ca="1">IF($R35&lt;&gt;2,0,IF($S35=0,1,IF(F36&gt;0,OFFSET(QCI!$N$13,SUBSTITUTE(F36,".",""),0),OFFSET(ORÇAMENTO!$AB$15,CRONO!$F35,0))/$S35))</f>
        <v>0</v>
      </c>
      <c r="E35" s="188" cm="1">
        <f t="array" aca="1" ref="E35" ca="1">IF(AND($R35=2,ACOMPANHAMENTO="BM"),ROUND(E36,4),E37/$S35)</f>
        <v>1</v>
      </c>
      <c r="F35" s="185">
        <f ca="1">IF(B35&lt;=ORÇAMENTO.MáximoListaCrono,MATCH(B35,ORÇAMENTO.ListaCrono,0),NA())</f>
        <v>37</v>
      </c>
      <c r="G35" s="185" t="str">
        <f t="shared" ref="G35" ca="1" si="46">IF(AND($F36&lt;&gt;-1,$S35&gt;0),"F","")</f>
        <v>F</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 xml:space="preserve">ENSAIOS </v>
      </c>
      <c r="K35" s="191"/>
      <c r="L35" s="191"/>
      <c r="M35" s="192">
        <f ca="1">IF($F36=0,OFFSET(ORÇAMENTO!C$15,$F35,0),1)</f>
        <v>2</v>
      </c>
      <c r="N35" s="193">
        <f ca="1">IF($F36=-1,0,IF(N$13&lt;=$M35,IF(ISERROR(MATCH(N$13,OFFSET($M35,1,0,ROW($M$95)-ROW($M35)-1),0)),ROW($M$95)-ROW($M35)-1,MATCH(N$13,OFFSET($M35,1,0,ROW($M$95)-ROW($M35)-1),0)-1),0))</f>
        <v>2</v>
      </c>
      <c r="O35" s="193">
        <f ca="1">IF($F36=-1,0,IF(O$13&lt;=$M35,IF(ISERROR(MATCH(O$13,OFFSET($M35,1,0,ROW($M$95)-ROW($M35)-1),0)),ROW($M$95)-ROW($M35)-1,MATCH(O$13,OFFSET($M35,1,0,ROW($M$95)-ROW($M35)-1),0)-1),0))</f>
        <v>5</v>
      </c>
      <c r="P35" s="193">
        <f ca="1">IF($F36=-1,0,IF(P$13&lt;=$M35,IF(ISERROR(MATCH(P$13,OFFSET($M35,1,0,ROW($M$95)-ROW($M35)-1),0)),ROW($M$95)-ROW($M35)-1,MATCH(P$13,OFFSET($M35,1,0,ROW($M$95)-ROW($M35)-1),0)-1),0))</f>
        <v>0</v>
      </c>
      <c r="Q35" s="193">
        <f ca="1">IF($F36=-1,0,IF(Q$13&lt;=$M35,IF(ISERROR(MATCH(Q$13,OFFSET($M35,1,0,ROW($M$95)-ROW($M35)-1),0)),ROW($M$95)-ROW($M35)-1,MATCH(Q$13,OFFSET($M35,1,0,ROW($M$95)-ROW($M35)-1),0)-1),0))</f>
        <v>0</v>
      </c>
      <c r="R35" s="193">
        <f t="shared" ref="R35" ca="1" si="47">MIN(OFFSET(M35,0,1,,M35))</f>
        <v>2</v>
      </c>
      <c r="S35" s="194">
        <f ca="1">IF($F36=0,OFFSET(ORÇAMENTO!X$15,$F35,0),IF($F36&lt;&gt;-1,OFFSET(QCI!$O$13,$F36,0),""))</f>
        <v>1131.9100000000001</v>
      </c>
      <c r="T35" s="195" t="s">
        <v>785</v>
      </c>
      <c r="U35" s="188" cm="1">
        <f t="array" aca="1" ref="U35" ca="1">IF(AND($R35=2,ACOMPANHAMENTO="BM"),ROUND(U36,4),U37/$S35)</f>
        <v>1</v>
      </c>
      <c r="V35" s="188" cm="1">
        <f t="array" aca="1" ref="V35" ca="1">IF(AND($R35=2,ACOMPANHAMENTO="BM"),ROUND(V36,4),V37/$S35)</f>
        <v>0</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hidden="1" customHeight="1" x14ac:dyDescent="0.25">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calculada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5">
      <c r="D37" s="533"/>
      <c r="E37" s="202" cm="1">
        <f t="array" aca="1" ref="E37" ca="1">IF($R35=2,
         IF(AND(ACOMPANHAMENTO="PLE",ISNUMBER($F35)),
                SUMIF((OFFSET(CÁLCULO!$BC$15:$BU$15,$F35,0,OFFSET(ORÇAMENTO!$D$15,CRONO!$F35,0))),CRONO!E$12,OFFSET(CÁLCULO!$AJ$15:$BB$15,$F35,0,OFFSET(ORÇAMENTO!$D$15,CRONO!$F35,0)))
                +IF(AND($F37&lt;&gt;"",$F37&lt;&gt;0),
                        SUMIF(CÁLCULO!$BC$15:$BU$165,CRONO!E$12,CÁLCULO!$AJ$15:$BB$165)/(ORÇAMENTO!$X$15-_xlfn.SINGLE(CÁLCULO.TotalAdmLocal))*CRONO!$F37,
                        0),
                 E36*$S35),
          SUMIF(OFFSET($S37,1,0,$R35-2),($M35+1)&amp;"$",OFFSET(E37,1,0,$R35-2)))</f>
        <v>1131.9100000000001</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SUMIF((OFFSET(CÁLCULO!$BC$15:$BU$15,$F35,0,OFFSET(ORÇAMENTO!$D$15,CRONO!$F35,0))),CRONO!U$12,OFFSET(CÁLCULO!$AJ$15:$BB$15,$F35,0,OFFSET(ORÇAMENTO!$D$15,CRONO!$F35,0)))
                +IF(AND($F37&lt;&gt;"",$F37&lt;&gt;0),
                        SUMIF(CÁLCULO!$BC$15:$BU$165,CRONO!U$12,CÁLCULO!$AJ$15:$BB$165)/(ORÇAMENTO!$X$15-_xlfn.SINGLE(CÁLCULO.TotalAdmLocal))*CRONO!$F37,
                        0),
                 U36*$S35),
          SUMIF(OFFSET($S37,1,0,$R35-2),($M35+1)&amp;"$",OFFSET(U37,1,0,$R35-2)))</f>
        <v>1131.9100000000001</v>
      </c>
      <c r="V37" s="202" cm="1">
        <f t="array" aca="1" ref="V37" ca="1">IF($R35=2,
         IF(AND(ACOMPANHAMENTO="PLE",ISNUMBER($F35)),
                SUMIF((OFFSET(CÁLCULO!$BC$15:$BU$15,$F35,0,OFFSET(ORÇAMENTO!$D$15,CRONO!$F35,0))),CRONO!V$12,OFFSET(CÁLCULO!$AJ$15:$BB$15,$F35,0,OFFSET(ORÇAMENTO!$D$15,CRONO!$F35,0)))
                +IF(AND($F37&lt;&gt;"",$F37&lt;&gt;0),
                        SUMIF(CÁLCULO!$BC$15:$BU$165,CRONO!V$12,CÁLCULO!$AJ$15:$BB$165)/(ORÇAMENTO!$X$15-_xlfn.SINGLE(CÁLCULO.TotalAdmLocal))*CRONO!$F37,
                        0),
                 V36*$S35),
          SUMIF(OFFSET($S37,1,0,$R35-2),($M35+1)&amp;"$",OFFSET(V37,1,0,$R35-2)))</f>
        <v>0</v>
      </c>
      <c r="W37" s="202" cm="1">
        <f t="array" aca="1" ref="W37" ca="1">IF($R35=2,
         IF(AND(ACOMPANHAMENTO="PLE",ISNUMBER($F35)),
                SUMIF((OFFSET(CÁLCULO!$BC$15:$BU$15,$F35,0,OFFSET(ORÇAMENTO!$D$15,CRONO!$F35,0))),CRONO!W$12,OFFSET(CÁLCULO!$AJ$15:$BB$15,$F35,0,OFFSET(ORÇAMENTO!$D$15,CRONO!$F35,0)))
                +IF(AND($F37&lt;&gt;"",$F37&lt;&gt;0),
                        SUMIF(CÁLCULO!$BC$15:$BU$165,CRONO!W$12,CÁLCULO!$AJ$15:$BB$165)/(ORÇAMENTO!$X$15-_xlfn.SINGLE(CÁLCULO.TotalAdmLocal))*CRONO!$F37,
                        0),
                 W36*$S35),
          SUMIF(OFFSET($S37,1,0,$R35-2),($M35+1)&amp;"$",OFFSET(W37,1,0,$R35-2)))</f>
        <v>0</v>
      </c>
      <c r="X37" s="202" cm="1">
        <f t="array" aca="1" ref="X37" ca="1">IF($R35=2,
         IF(AND(ACOMPANHAMENTO="PLE",ISNUMBER($F35)),
                SUMIF((OFFSET(CÁLCULO!$BC$15:$BU$15,$F35,0,OFFSET(ORÇAMENTO!$D$15,CRONO!$F35,0))),CRONO!X$12,OFFSET(CÁLCULO!$AJ$15:$BB$15,$F35,0,OFFSET(ORÇAMENTO!$D$15,CRONO!$F35,0)))
                +IF(AND($F37&lt;&gt;"",$F37&lt;&gt;0),
                        SUMIF(CÁLCULO!$BC$15:$BU$165,CRONO!X$12,CÁLCULO!$AJ$15:$BB$165)/(ORÇAMENTO!$X$15-_xlfn.SINGLE(CÁLCULO.TotalAdmLocal))*CRONO!$F37,
                        0),
                 X36*$S35),
          SUMIF(OFFSET($S37,1,0,$R35-2),($M35+1)&amp;"$",OFFSET(X37,1,0,$R35-2)))</f>
        <v>0</v>
      </c>
      <c r="Y37" s="202" cm="1">
        <f t="array" aca="1" ref="Y37" ca="1">IF($R35=2,
         IF(AND(ACOMPANHAMENTO="PLE",ISNUMBER($F35)),
                SUMIF((OFFSET(CÁLCULO!$BC$15:$BU$15,$F35,0,OFFSET(ORÇAMENTO!$D$15,CRONO!$F35,0))),CRONO!Y$12,OFFSET(CÁLCULO!$AJ$15:$BB$15,$F35,0,OFFSET(ORÇAMENTO!$D$15,CRONO!$F35,0)))
                +IF(AND($F37&lt;&gt;"",$F37&lt;&gt;0),
                        SUMIF(CÁLCULO!$BC$15:$BU$165,CRONO!Y$12,CÁLCULO!$AJ$15:$BB$165)/(ORÇAMENTO!$X$15-_xlfn.SINGLE(CÁLCULO.TotalAdmLocal))*CRONO!$F37,
                        0),
                 Y36*$S35),
          SUMIF(OFFSET($S37,1,0,$R35-2),($M35+1)&amp;"$",OFFSET(Y37,1,0,$R35-2)))</f>
        <v>0</v>
      </c>
      <c r="Z37" s="202" cm="1">
        <f t="array" aca="1" ref="Z37" ca="1">IF($R35=2,
         IF(AND(ACOMPANHAMENTO="PLE",ISNUMBER($F35)),
                SUMIF((OFFSET(CÁLCULO!$BC$15:$BU$15,$F35,0,OFFSET(ORÇAMENTO!$D$15,CRONO!$F35,0))),CRONO!Z$12,OFFSET(CÁLCULO!$AJ$15:$BB$15,$F35,0,OFFSET(ORÇAMENTO!$D$15,CRONO!$F35,0)))
                +IF(AND($F37&lt;&gt;"",$F37&lt;&gt;0),
                        SUMIF(CÁLCULO!$BC$15:$BU$165,CRONO!Z$12,CÁLCULO!$AJ$15:$BB$165)/(ORÇAMENTO!$X$15-_xlfn.SINGLE(CÁLCULO.TotalAdmLocal))*CRONO!$F37,
                        0),
                 Z36*$S35),
          SUMIF(OFFSET($S37,1,0,$R35-2),($M35+1)&amp;"$",OFFSET(Z37,1,0,$R35-2)))</f>
        <v>0</v>
      </c>
      <c r="AA37" s="202" cm="1">
        <f t="array" aca="1" ref="AA37" ca="1">IF($R35=2,
         IF(AND(ACOMPANHAMENTO="PLE",ISNUMBER($F35)),
                SUMIF((OFFSET(CÁLCULO!$BC$15:$BU$15,$F35,0,OFFSET(ORÇAMENTO!$D$15,CRONO!$F35,0))),CRONO!AA$12,OFFSET(CÁLCULO!$AJ$15:$BB$15,$F35,0,OFFSET(ORÇAMENTO!$D$15,CRONO!$F35,0)))
                +IF(AND($F37&lt;&gt;"",$F37&lt;&gt;0),
                        SUMIF(CÁLCULO!$BC$15:$BU$165,CRONO!AA$12,CÁLCULO!$AJ$15:$BB$165)/(ORÇAMENTO!$X$15-_xlfn.SINGLE(CÁLCULO.TotalAdmLocal))*CRONO!$F37,
                        0),
                 AA36*$S35),
          SUMIF(OFFSET($S37,1,0,$R35-2),($M35+1)&amp;"$",OFFSET(AA37,1,0,$R35-2)))</f>
        <v>0</v>
      </c>
      <c r="AB37" s="202" cm="1">
        <f t="array" aca="1" ref="AB37" ca="1">IF($R35=2,
         IF(AND(ACOMPANHAMENTO="PLE",ISNUMBER($F35)),
                SUMIF((OFFSET(CÁLCULO!$BC$15:$BU$15,$F35,0,OFFSET(ORÇAMENTO!$D$15,CRONO!$F35,0))),CRONO!AB$12,OFFSET(CÁLCULO!$AJ$15:$BB$15,$F35,0,OFFSET(ORÇAMENTO!$D$15,CRONO!$F35,0)))
                +IF(AND($F37&lt;&gt;"",$F37&lt;&gt;0),
                        SUMIF(CÁLCULO!$BC$15:$BU$165,CRONO!AB$12,CÁLCULO!$AJ$15:$BB$165)/(ORÇAMENTO!$X$15-_xlfn.SINGLE(CÁLCULO.TotalAdmLocal))*CRONO!$F37,
                        0),
                 AB36*$S35),
          SUMIF(OFFSET($S37,1,0,$R35-2),($M35+1)&amp;"$",OFFSET(AB37,1,0,$R35-2)))</f>
        <v>0</v>
      </c>
      <c r="AC37" s="202" cm="1">
        <f t="array" aca="1" ref="AC37" ca="1">IF($R35=2,
         IF(AND(ACOMPANHAMENTO="PLE",ISNUMBER($F35)),
                SUMIF((OFFSET(CÁLCULO!$BC$15:$BU$15,$F35,0,OFFSET(ORÇAMENTO!$D$15,CRONO!$F35,0))),CRONO!AC$12,OFFSET(CÁLCULO!$AJ$15:$BB$15,$F35,0,OFFSET(ORÇAMENTO!$D$15,CRONO!$F35,0)))
                +IF(AND($F37&lt;&gt;"",$F37&lt;&gt;0),
                        SUMIF(CÁLCULO!$BC$15:$BU$165,CRONO!AC$12,CÁLCULO!$AJ$15:$BB$165)/(ORÇAMENTO!$X$15-_xlfn.SINGLE(CÁLCULO.TotalAdmLocal))*CRONO!$F37,
                        0),
                 AC36*$S35),
          SUMIF(OFFSET($S37,1,0,$R35-2),($M35+1)&amp;"$",OFFSET(AC37,1,0,$R35-2)))</f>
        <v>0</v>
      </c>
      <c r="AD37" s="202" cm="1">
        <f t="array" aca="1" ref="AD37" ca="1">IF($R35=2,
         IF(AND(ACOMPANHAMENTO="PLE",ISNUMBER($F35)),
                SUMIF((OFFSET(CÁLCULO!$BC$15:$BU$15,$F35,0,OFFSET(ORÇAMENTO!$D$15,CRONO!$F35,0))),CRONO!AD$12,OFFSET(CÁLCULO!$AJ$15:$BB$15,$F35,0,OFFSET(ORÇAMENTO!$D$15,CRONO!$F35,0)))
                +IF(AND($F37&lt;&gt;"",$F37&lt;&gt;0),
                        SUMIF(CÁLCULO!$BC$15:$BU$165,CRONO!AD$12,CÁLCULO!$AJ$15:$BB$165)/(ORÇAMENTO!$X$15-_xlfn.SINGLE(CÁLCULO.TotalAdmLocal))*CRONO!$F37,
                        0),
                 AD36*$S35),
          SUMIF(OFFSET($S37,1,0,$R35-2),($M35+1)&amp;"$",OFFSET(AD37,1,0,$R35-2)))</f>
        <v>0</v>
      </c>
      <c r="AE37" s="202" cm="1">
        <f t="array" aca="1" ref="AE37" ca="1">IF($R35=2,
         IF(AND(ACOMPANHAMENTO="PLE",ISNUMBER($F35)),
                SUMIF((OFFSET(CÁLCULO!$BC$15:$BU$15,$F35,0,OFFSET(ORÇAMENTO!$D$15,CRONO!$F35,0))),CRONO!AE$12,OFFSET(CÁLCULO!$AJ$15:$BB$15,$F35,0,OFFSET(ORÇAMENTO!$D$15,CRONO!$F35,0)))
                +IF(AND($F37&lt;&gt;"",$F37&lt;&gt;0),
                        SUMIF(CÁLCULO!$BC$15:$BU$165,CRONO!AE$12,CÁLCULO!$AJ$15:$BB$165)/(ORÇAMENTO!$X$15-_xlfn.SINGLE(CÁLCULO.TotalAdmLocal))*CRONO!$F37,
                        0),
                 AE36*$S35),
          SUMIF(OFFSET($S37,1,0,$R35-2),($M35+1)&amp;"$",OFFSET(AE37,1,0,$R35-2)))</f>
        <v>0</v>
      </c>
      <c r="AF37" s="202" cm="1">
        <f t="array" aca="1" ref="AF37" ca="1">IF($R35=2,
         IF(AND(ACOMPANHAMENTO="PLE",ISNUMBER($F35)),
                SUMIF((OFFSET(CÁLCULO!$BC$15:$BU$15,$F35,0,OFFSET(ORÇAMENTO!$D$15,CRONO!$F35,0))),CRONO!AF$12,OFFSET(CÁLCULO!$AJ$15:$BB$15,$F35,0,OFFSET(ORÇAMENTO!$D$15,CRONO!$F35,0)))
                +IF(AND($F37&lt;&gt;"",$F37&lt;&gt;0),
                        SUMIF(CÁLCULO!$BC$15:$BU$165,CRONO!AF$12,CÁLCULO!$AJ$15:$BB$165)/(ORÇAMENTO!$X$15-_xlfn.SINGLE(CÁLCULO.TotalAdmLocal))*CRONO!$F37,
                        0),
                 AF36*$S35),
          SUMIF(OFFSET($S37,1,0,$R35-2),($M35+1)&amp;"$",OFFSET(AF37,1,0,$R35-2)))</f>
        <v>0</v>
      </c>
      <c r="AG37" s="534"/>
    </row>
    <row r="38" spans="1:33" x14ac:dyDescent="0.25">
      <c r="A38" s="186" t="str">
        <f t="shared" ref="A38" ca="1" si="50">IF($M38&gt;1,_xlfn.CONCAT($I38," ",$J38),"")</f>
        <v/>
      </c>
      <c r="B38" s="185">
        <f t="shared" ref="B38" ca="1" si="51">OFFSET(B38,-3,0)+1</f>
        <v>9</v>
      </c>
      <c r="C38" s="185">
        <f ca="1">IF($R38&lt;&gt;2,0,IF($S38=0,1,IF(F39&gt;0,OFFSET(QCI!$M$13,SUBSTITUTE(F39,".",""),0),OFFSET(ORÇAMENTO!$AA$15,CRONO!$F38,0))/$S38))</f>
        <v>0</v>
      </c>
      <c r="D38" s="185">
        <f ca="1">IF($R38&lt;&gt;2,0,IF($S38=0,1,IF(F39&gt;0,OFFSET(QCI!$N$13,SUBSTITUTE(F39,".",""),0),OFFSET(ORÇAMENTO!$AB$15,CRONO!$F38,0))/$S38))</f>
        <v>0</v>
      </c>
      <c r="E38" s="188" cm="1">
        <f t="array" aca="1" ref="E38" ca="1">IF(AND($R38=2,ACOMPANHAMENTO="BM"),ROUND(E39,4),E40/$S38)</f>
        <v>0.89580639122107175</v>
      </c>
      <c r="F38" s="185">
        <f ca="1">IF(B38&lt;=ORÇAMENTO.MáximoListaCrono,MATCH(B38,ORÇAMENTO.ListaCrono,0),NA())</f>
        <v>42</v>
      </c>
      <c r="G38" s="185" t="str">
        <f t="shared" ref="G38" ca="1" si="52">IF(AND($F39&lt;&gt;-1,$S38&gt;0),"F","")</f>
        <v>F</v>
      </c>
      <c r="H38" s="189" t="str" cm="1">
        <f t="array" aca="1" ref="H38" ca="1">IF(OR(S38=0,S38=""),"Linha",IF(AND(OR(ACOMPANHAMENTO="PLE",$R38&lt;&gt;2),$F39=0),"Linha",ROUND(1-SUM(U38:AG38),4)))</f>
        <v>Linha</v>
      </c>
      <c r="I38" s="190" t="str">
        <f ca="1">IF($F39=0,OFFSET(ORÇAMENTO!O$15,$F38,0),IF($F39&lt;&gt;-1,OFFSET(QCI!$D$13,$F39,0),""))</f>
        <v>2.</v>
      </c>
      <c r="J38" s="191" t="str">
        <f ca="1">IF($F39=0,OFFSET(ORÇAMENTO!R$15,$F38,0),IF($F39&lt;&gt;-1,OFFSET(QCI!$G$13,$F39,0),""))</f>
        <v>REPERFILAMENTO EM CBUQ SOBRE CALÇAMENTO ESTRADA DE ACESSO À SANGA DO LEÃO (TRECHO 3)</v>
      </c>
      <c r="K38" s="191"/>
      <c r="L38" s="191"/>
      <c r="M38" s="192">
        <f ca="1">IF($F39=0,OFFSET(ORÇAMENTO!C$15,$F38,0),1)</f>
        <v>1</v>
      </c>
      <c r="N38" s="193">
        <f ca="1">IF($F39=-1,0,IF(N$13&lt;=$M38,IF(ISERROR(MATCH(N$13,OFFSET($M38,1,0,ROW($M$95)-ROW($M38)-1),0)),ROW($M$95)-ROW($M38)-1,MATCH(N$13,OFFSET($M38,1,0,ROW($M$95)-ROW($M38)-1),0)-1),0))</f>
        <v>20</v>
      </c>
      <c r="O38" s="193">
        <f ca="1">IF($F39=-1,0,IF(O$13&lt;=$M38,IF(ISERROR(MATCH(O$13,OFFSET($M38,1,0,ROW($M$95)-ROW($M38)-1),0)),ROW($M$95)-ROW($M38)-1,MATCH(O$13,OFFSET($M38,1,0,ROW($M$95)-ROW($M38)-1),0)-1),0))</f>
        <v>0</v>
      </c>
      <c r="P38" s="193">
        <f ca="1">IF($F39=-1,0,IF(P$13&lt;=$M38,IF(ISERROR(MATCH(P$13,OFFSET($M38,1,0,ROW($M$95)-ROW($M38)-1),0)),ROW($M$95)-ROW($M38)-1,MATCH(P$13,OFFSET($M38,1,0,ROW($M$95)-ROW($M38)-1),0)-1),0))</f>
        <v>0</v>
      </c>
      <c r="Q38" s="193">
        <f ca="1">IF($F39=-1,0,IF(Q$13&lt;=$M38,IF(ISERROR(MATCH(Q$13,OFFSET($M38,1,0,ROW($M$95)-ROW($M38)-1),0)),ROW($M$95)-ROW($M38)-1,MATCH(Q$13,OFFSET($M38,1,0,ROW($M$95)-ROW($M38)-1),0)-1),0))</f>
        <v>0</v>
      </c>
      <c r="R38" s="193">
        <f t="shared" ref="R38" ca="1" si="53">MIN(OFFSET(M38,0,1,,M38))</f>
        <v>20</v>
      </c>
      <c r="S38" s="194">
        <f ca="1">IF($F39=0,OFFSET(ORÇAMENTO!X$15,$F38,0),IF($F39&lt;&gt;-1,OFFSET(QCI!$O$13,$F39,0),""))</f>
        <v>138878</v>
      </c>
      <c r="T38" s="195" t="s">
        <v>785</v>
      </c>
      <c r="U38" s="188" cm="1">
        <f t="array" aca="1" ref="U38" ca="1">IF(AND($R38=2,ACOMPANHAMENTO="BM"),ROUND(U39,4),U40/$S38)</f>
        <v>0.89580639122107175</v>
      </c>
      <c r="V38" s="188" cm="1">
        <f t="array" aca="1" ref="V38" ca="1">IF(AND($R38=2,ACOMPANHAMENTO="BM"),ROUND(V39,4),V40/$S38)</f>
        <v>0.10419360877892826</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hidden="1" customHeight="1" x14ac:dyDescent="0.25">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calculada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5">
      <c r="D40" s="533"/>
      <c r="E40" s="202" cm="1">
        <f t="array" aca="1" ref="E40" ca="1">IF($R38=2,
         IF(AND(ACOMPANHAMENTO="PLE",ISNUMBER($F38)),
                SUMIF((OFFSET(CÁLCULO!$BC$15:$BU$15,$F38,0,OFFSET(ORÇAMENTO!$D$15,CRONO!$F38,0))),CRONO!E$12,OFFSET(CÁLCULO!$AJ$15:$BB$15,$F38,0,OFFSET(ORÇAMENTO!$D$15,CRONO!$F38,0)))
                +IF(AND($F40&lt;&gt;"",$F40&lt;&gt;0),
                        SUMIF(CÁLCULO!$BC$15:$BU$165,CRONO!E$12,CÁLCULO!$AJ$15:$BB$165)/(ORÇAMENTO!$X$15-_xlfn.SINGLE(CÁLCULO.TotalAdmLocal))*CRONO!$F40,
                        0),
                 E39*$S38),
          SUMIF(OFFSET($S40,1,0,$R38-2),($M38+1)&amp;"$",OFFSET(E40,1,0,$R38-2)))</f>
        <v>124407.8</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1$</v>
      </c>
      <c r="T40" s="205"/>
      <c r="U40" s="202" cm="1">
        <f t="array" aca="1" ref="U40" ca="1">IF($R38=2,
         IF(AND(ACOMPANHAMENTO="PLE",ISNUMBER($F38)),
                SUMIF((OFFSET(CÁLCULO!$BC$15:$BU$15,$F38,0,OFFSET(ORÇAMENTO!$D$15,CRONO!$F38,0))),CRONO!U$12,OFFSET(CÁLCULO!$AJ$15:$BB$15,$F38,0,OFFSET(ORÇAMENTO!$D$15,CRONO!$F38,0)))
                +IF(AND($F40&lt;&gt;"",$F40&lt;&gt;0),
                        SUMIF(CÁLCULO!$BC$15:$BU$165,CRONO!U$12,CÁLCULO!$AJ$15:$BB$165)/(ORÇAMENTO!$X$15-_xlfn.SINGLE(CÁLCULO.TotalAdmLocal))*CRONO!$F40,
                        0),
                 U39*$S38),
          SUMIF(OFFSET($S40,1,0,$R38-2),($M38+1)&amp;"$",OFFSET(U40,1,0,$R38-2)))</f>
        <v>124407.8</v>
      </c>
      <c r="V40" s="202" cm="1">
        <f t="array" aca="1" ref="V40" ca="1">IF($R38=2,
         IF(AND(ACOMPANHAMENTO="PLE",ISNUMBER($F38)),
                SUMIF((OFFSET(CÁLCULO!$BC$15:$BU$15,$F38,0,OFFSET(ORÇAMENTO!$D$15,CRONO!$F38,0))),CRONO!V$12,OFFSET(CÁLCULO!$AJ$15:$BB$15,$F38,0,OFFSET(ORÇAMENTO!$D$15,CRONO!$F38,0)))
                +IF(AND($F40&lt;&gt;"",$F40&lt;&gt;0),
                        SUMIF(CÁLCULO!$BC$15:$BU$165,CRONO!V$12,CÁLCULO!$AJ$15:$BB$165)/(ORÇAMENTO!$X$15-_xlfn.SINGLE(CÁLCULO.TotalAdmLocal))*CRONO!$F40,
                        0),
                 V39*$S38),
          SUMIF(OFFSET($S40,1,0,$R38-2),($M38+1)&amp;"$",OFFSET(V40,1,0,$R38-2)))</f>
        <v>14470.199999999999</v>
      </c>
      <c r="W40" s="202" cm="1">
        <f t="array" aca="1" ref="W40" ca="1">IF($R38=2,
         IF(AND(ACOMPANHAMENTO="PLE",ISNUMBER($F38)),
                SUMIF((OFFSET(CÁLCULO!$BC$15:$BU$15,$F38,0,OFFSET(ORÇAMENTO!$D$15,CRONO!$F38,0))),CRONO!W$12,OFFSET(CÁLCULO!$AJ$15:$BB$15,$F38,0,OFFSET(ORÇAMENTO!$D$15,CRONO!$F38,0)))
                +IF(AND($F40&lt;&gt;"",$F40&lt;&gt;0),
                        SUMIF(CÁLCULO!$BC$15:$BU$165,CRONO!W$12,CÁLCULO!$AJ$15:$BB$165)/(ORÇAMENTO!$X$15-_xlfn.SINGLE(CÁLCULO.TotalAdmLocal))*CRONO!$F40,
                        0),
                 W39*$S38),
          SUMIF(OFFSET($S40,1,0,$R38-2),($M38+1)&amp;"$",OFFSET(W40,1,0,$R38-2)))</f>
        <v>0</v>
      </c>
      <c r="X40" s="202" cm="1">
        <f t="array" aca="1" ref="X40" ca="1">IF($R38=2,
         IF(AND(ACOMPANHAMENTO="PLE",ISNUMBER($F38)),
                SUMIF((OFFSET(CÁLCULO!$BC$15:$BU$15,$F38,0,OFFSET(ORÇAMENTO!$D$15,CRONO!$F38,0))),CRONO!X$12,OFFSET(CÁLCULO!$AJ$15:$BB$15,$F38,0,OFFSET(ORÇAMENTO!$D$15,CRONO!$F38,0)))
                +IF(AND($F40&lt;&gt;"",$F40&lt;&gt;0),
                        SUMIF(CÁLCULO!$BC$15:$BU$165,CRONO!X$12,CÁLCULO!$AJ$15:$BB$165)/(ORÇAMENTO!$X$15-_xlfn.SINGLE(CÁLCULO.TotalAdmLocal))*CRONO!$F40,
                        0),
                 X39*$S38),
          SUMIF(OFFSET($S40,1,0,$R38-2),($M38+1)&amp;"$",OFFSET(X40,1,0,$R38-2)))</f>
        <v>0</v>
      </c>
      <c r="Y40" s="202" cm="1">
        <f t="array" aca="1" ref="Y40" ca="1">IF($R38=2,
         IF(AND(ACOMPANHAMENTO="PLE",ISNUMBER($F38)),
                SUMIF((OFFSET(CÁLCULO!$BC$15:$BU$15,$F38,0,OFFSET(ORÇAMENTO!$D$15,CRONO!$F38,0))),CRONO!Y$12,OFFSET(CÁLCULO!$AJ$15:$BB$15,$F38,0,OFFSET(ORÇAMENTO!$D$15,CRONO!$F38,0)))
                +IF(AND($F40&lt;&gt;"",$F40&lt;&gt;0),
                        SUMIF(CÁLCULO!$BC$15:$BU$165,CRONO!Y$12,CÁLCULO!$AJ$15:$BB$165)/(ORÇAMENTO!$X$15-_xlfn.SINGLE(CÁLCULO.TotalAdmLocal))*CRONO!$F40,
                        0),
                 Y39*$S38),
          SUMIF(OFFSET($S40,1,0,$R38-2),($M38+1)&amp;"$",OFFSET(Y40,1,0,$R38-2)))</f>
        <v>0</v>
      </c>
      <c r="Z40" s="202" cm="1">
        <f t="array" aca="1" ref="Z40" ca="1">IF($R38=2,
         IF(AND(ACOMPANHAMENTO="PLE",ISNUMBER($F38)),
                SUMIF((OFFSET(CÁLCULO!$BC$15:$BU$15,$F38,0,OFFSET(ORÇAMENTO!$D$15,CRONO!$F38,0))),CRONO!Z$12,OFFSET(CÁLCULO!$AJ$15:$BB$15,$F38,0,OFFSET(ORÇAMENTO!$D$15,CRONO!$F38,0)))
                +IF(AND($F40&lt;&gt;"",$F40&lt;&gt;0),
                        SUMIF(CÁLCULO!$BC$15:$BU$165,CRONO!Z$12,CÁLCULO!$AJ$15:$BB$165)/(ORÇAMENTO!$X$15-_xlfn.SINGLE(CÁLCULO.TotalAdmLocal))*CRONO!$F40,
                        0),
                 Z39*$S38),
          SUMIF(OFFSET($S40,1,0,$R38-2),($M38+1)&amp;"$",OFFSET(Z40,1,0,$R38-2)))</f>
        <v>0</v>
      </c>
      <c r="AA40" s="202" cm="1">
        <f t="array" aca="1" ref="AA40" ca="1">IF($R38=2,
         IF(AND(ACOMPANHAMENTO="PLE",ISNUMBER($F38)),
                SUMIF((OFFSET(CÁLCULO!$BC$15:$BU$15,$F38,0,OFFSET(ORÇAMENTO!$D$15,CRONO!$F38,0))),CRONO!AA$12,OFFSET(CÁLCULO!$AJ$15:$BB$15,$F38,0,OFFSET(ORÇAMENTO!$D$15,CRONO!$F38,0)))
                +IF(AND($F40&lt;&gt;"",$F40&lt;&gt;0),
                        SUMIF(CÁLCULO!$BC$15:$BU$165,CRONO!AA$12,CÁLCULO!$AJ$15:$BB$165)/(ORÇAMENTO!$X$15-_xlfn.SINGLE(CÁLCULO.TotalAdmLocal))*CRONO!$F40,
                        0),
                 AA39*$S38),
          SUMIF(OFFSET($S40,1,0,$R38-2),($M38+1)&amp;"$",OFFSET(AA40,1,0,$R38-2)))</f>
        <v>0</v>
      </c>
      <c r="AB40" s="202" cm="1">
        <f t="array" aca="1" ref="AB40" ca="1">IF($R38=2,
         IF(AND(ACOMPANHAMENTO="PLE",ISNUMBER($F38)),
                SUMIF((OFFSET(CÁLCULO!$BC$15:$BU$15,$F38,0,OFFSET(ORÇAMENTO!$D$15,CRONO!$F38,0))),CRONO!AB$12,OFFSET(CÁLCULO!$AJ$15:$BB$15,$F38,0,OFFSET(ORÇAMENTO!$D$15,CRONO!$F38,0)))
                +IF(AND($F40&lt;&gt;"",$F40&lt;&gt;0),
                        SUMIF(CÁLCULO!$BC$15:$BU$165,CRONO!AB$12,CÁLCULO!$AJ$15:$BB$165)/(ORÇAMENTO!$X$15-_xlfn.SINGLE(CÁLCULO.TotalAdmLocal))*CRONO!$F40,
                        0),
                 AB39*$S38),
          SUMIF(OFFSET($S40,1,0,$R38-2),($M38+1)&amp;"$",OFFSET(AB40,1,0,$R38-2)))</f>
        <v>0</v>
      </c>
      <c r="AC40" s="202" cm="1">
        <f t="array" aca="1" ref="AC40" ca="1">IF($R38=2,
         IF(AND(ACOMPANHAMENTO="PLE",ISNUMBER($F38)),
                SUMIF((OFFSET(CÁLCULO!$BC$15:$BU$15,$F38,0,OFFSET(ORÇAMENTO!$D$15,CRONO!$F38,0))),CRONO!AC$12,OFFSET(CÁLCULO!$AJ$15:$BB$15,$F38,0,OFFSET(ORÇAMENTO!$D$15,CRONO!$F38,0)))
                +IF(AND($F40&lt;&gt;"",$F40&lt;&gt;0),
                        SUMIF(CÁLCULO!$BC$15:$BU$165,CRONO!AC$12,CÁLCULO!$AJ$15:$BB$165)/(ORÇAMENTO!$X$15-_xlfn.SINGLE(CÁLCULO.TotalAdmLocal))*CRONO!$F40,
                        0),
                 AC39*$S38),
          SUMIF(OFFSET($S40,1,0,$R38-2),($M38+1)&amp;"$",OFFSET(AC40,1,0,$R38-2)))</f>
        <v>0</v>
      </c>
      <c r="AD40" s="202" cm="1">
        <f t="array" aca="1" ref="AD40" ca="1">IF($R38=2,
         IF(AND(ACOMPANHAMENTO="PLE",ISNUMBER($F38)),
                SUMIF((OFFSET(CÁLCULO!$BC$15:$BU$15,$F38,0,OFFSET(ORÇAMENTO!$D$15,CRONO!$F38,0))),CRONO!AD$12,OFFSET(CÁLCULO!$AJ$15:$BB$15,$F38,0,OFFSET(ORÇAMENTO!$D$15,CRONO!$F38,0)))
                +IF(AND($F40&lt;&gt;"",$F40&lt;&gt;0),
                        SUMIF(CÁLCULO!$BC$15:$BU$165,CRONO!AD$12,CÁLCULO!$AJ$15:$BB$165)/(ORÇAMENTO!$X$15-_xlfn.SINGLE(CÁLCULO.TotalAdmLocal))*CRONO!$F40,
                        0),
                 AD39*$S38),
          SUMIF(OFFSET($S40,1,0,$R38-2),($M38+1)&amp;"$",OFFSET(AD40,1,0,$R38-2)))</f>
        <v>0</v>
      </c>
      <c r="AE40" s="202" cm="1">
        <f t="array" aca="1" ref="AE40" ca="1">IF($R38=2,
         IF(AND(ACOMPANHAMENTO="PLE",ISNUMBER($F38)),
                SUMIF((OFFSET(CÁLCULO!$BC$15:$BU$15,$F38,0,OFFSET(ORÇAMENTO!$D$15,CRONO!$F38,0))),CRONO!AE$12,OFFSET(CÁLCULO!$AJ$15:$BB$15,$F38,0,OFFSET(ORÇAMENTO!$D$15,CRONO!$F38,0)))
                +IF(AND($F40&lt;&gt;"",$F40&lt;&gt;0),
                        SUMIF(CÁLCULO!$BC$15:$BU$165,CRONO!AE$12,CÁLCULO!$AJ$15:$BB$165)/(ORÇAMENTO!$X$15-_xlfn.SINGLE(CÁLCULO.TotalAdmLocal))*CRONO!$F40,
                        0),
                 AE39*$S38),
          SUMIF(OFFSET($S40,1,0,$R38-2),($M38+1)&amp;"$",OFFSET(AE40,1,0,$R38-2)))</f>
        <v>0</v>
      </c>
      <c r="AF40" s="202" cm="1">
        <f t="array" aca="1" ref="AF40" ca="1">IF($R38=2,
         IF(AND(ACOMPANHAMENTO="PLE",ISNUMBER($F38)),
                SUMIF((OFFSET(CÁLCULO!$BC$15:$BU$15,$F38,0,OFFSET(ORÇAMENTO!$D$15,CRONO!$F38,0))),CRONO!AF$12,OFFSET(CÁLCULO!$AJ$15:$BB$15,$F38,0,OFFSET(ORÇAMENTO!$D$15,CRONO!$F38,0)))
                +IF(AND($F40&lt;&gt;"",$F40&lt;&gt;0),
                        SUMIF(CÁLCULO!$BC$15:$BU$165,CRONO!AF$12,CÁLCULO!$AJ$15:$BB$165)/(ORÇAMENTO!$X$15-_xlfn.SINGLE(CÁLCULO.TotalAdmLocal))*CRONO!$F40,
                        0),
                 AF39*$S38),
          SUMIF(OFFSET($S40,1,0,$R38-2),($M38+1)&amp;"$",OFFSET(AF40,1,0,$R38-2)))</f>
        <v>0</v>
      </c>
      <c r="AG40" s="534"/>
    </row>
    <row r="41" spans="1:33" x14ac:dyDescent="0.25">
      <c r="A41" s="186" t="e">
        <f ca="1">IF($M41&gt;1,_xlfn.CONCAT($I41," ",$J41),"")</f>
        <v>#NAME?</v>
      </c>
      <c r="B41" s="185">
        <f t="shared" ref="B41" ca="1" si="56">OFFSET(B41,-3,0)+1</f>
        <v>10</v>
      </c>
      <c r="C41" s="185">
        <f ca="1">IF($R41&lt;&gt;2,0,IF($S41=0,1,IF(F42&gt;0,OFFSET(QCI!$M$13,SUBSTITUTE(F42,".",""),0),OFFSET(ORÇAMENTO!$AA$15,CRONO!$F41,0))/$S41))</f>
        <v>0.27621385324224024</v>
      </c>
      <c r="D41" s="185">
        <f ca="1">IF($R41&lt;&gt;2,0,IF($S41=0,1,IF(F42&gt;0,OFFSET(QCI!$N$13,SUBSTITUTE(F42,".",""),0),OFFSET(ORÇAMENTO!$AB$15,CRONO!$F41,0))/$S41))</f>
        <v>0</v>
      </c>
      <c r="E41" s="188" cm="1">
        <f t="array" aca="1" ref="E41" ca="1">IF(AND($R41=2,ACOMPANHAMENTO="BM"),ROUND(E42,4),E43/$S41)</f>
        <v>1</v>
      </c>
      <c r="F41" s="185">
        <f ca="1">IF(B41&lt;=ORÇAMENTO.MáximoListaCrono,MATCH(B41,ORÇAMENTO.ListaCrono,0),NA())</f>
        <v>43</v>
      </c>
      <c r="G41" s="185" t="str">
        <f t="shared" ref="G41" ca="1" si="57">IF(AND($F42&lt;&gt;-1,$S41&gt;0),"F","")</f>
        <v>F</v>
      </c>
      <c r="H41" s="189" t="str" cm="1">
        <f t="array" aca="1" ref="H41" ca="1">IF(OR(S41=0,S41=""),"Linha",IF(AND(OR(ACOMPANHAMENTO="PLE",$R41&lt;&gt;2),$F42=0),"Linha",ROUND(1-SUM(U41:AG41),4)))</f>
        <v>Linha</v>
      </c>
      <c r="I41" s="190" t="str">
        <f ca="1">IF($F42=0,OFFSET(ORÇAMENTO!O$15,$F41,0),IF($F42&lt;&gt;-1,OFFSET(QCI!$D$13,$F42,0),""))</f>
        <v>2.1.</v>
      </c>
      <c r="J41" s="191" t="str">
        <f ca="1">IF($F42=0,OFFSET(ORÇAMENTO!R$15,$F41,0),IF($F42&lt;&gt;-1,OFFSET(QCI!$G$13,$F42,0),""))</f>
        <v>SERVIÇOS INICIAIS</v>
      </c>
      <c r="K41" s="191"/>
      <c r="L41" s="191"/>
      <c r="M41" s="192">
        <f ca="1">IF($F42=0,OFFSET(ORÇAMENTO!C$15,$F41,0),1)</f>
        <v>2</v>
      </c>
      <c r="N41" s="193">
        <f ca="1">IF($F42=-1,0,IF(N$13&lt;=$M41,IF(ISERROR(MATCH(N$13,OFFSET($M41,1,0,ROW($M$95)-ROW($M41)-1),0)),ROW($M$95)-ROW($M41)-1,MATCH(N$13,OFFSET($M41,1,0,ROW($M$95)-ROW($M41)-1),0)-1),0))</f>
        <v>17</v>
      </c>
      <c r="O41" s="193">
        <f ca="1">IF($F42=-1,0,IF(O$13&lt;=$M41,IF(ISERROR(MATCH(O$13,OFFSET($M41,1,0,ROW($M$95)-ROW($M41)-1),0)),ROW($M$95)-ROW($M41)-1,MATCH(O$13,OFFSET($M41,1,0,ROW($M$95)-ROW($M41)-1),0)-1),0))</f>
        <v>2</v>
      </c>
      <c r="P41" s="193">
        <f ca="1">IF($F42=-1,0,IF(P$13&lt;=$M41,IF(ISERROR(MATCH(P$13,OFFSET($M41,1,0,ROW($M$95)-ROW($M41)-1),0)),ROW($M$95)-ROW($M41)-1,MATCH(P$13,OFFSET($M41,1,0,ROW($M$95)-ROW($M41)-1),0)-1),0))</f>
        <v>0</v>
      </c>
      <c r="Q41" s="193">
        <f ca="1">IF($F42=-1,0,IF(Q$13&lt;=$M41,IF(ISERROR(MATCH(Q$13,OFFSET($M41,1,0,ROW($M$95)-ROW($M41)-1),0)),ROW($M$95)-ROW($M41)-1,MATCH(Q$13,OFFSET($M41,1,0,ROW($M$95)-ROW($M41)-1),0)-1),0))</f>
        <v>0</v>
      </c>
      <c r="R41" s="193">
        <f t="shared" ref="R41" ca="1" si="58">MIN(OFFSET(M41,0,1,,M41))</f>
        <v>2</v>
      </c>
      <c r="S41" s="194">
        <f ca="1">IF($F42=0,OFFSET(ORÇAMENTO!X$15,$F41,0),IF($F42&lt;&gt;-1,OFFSET(QCI!$O$13,$F42,0),""))</f>
        <v>4693.45</v>
      </c>
      <c r="T41" s="195" t="s">
        <v>785</v>
      </c>
      <c r="U41" s="188" cm="1">
        <f t="array" aca="1" ref="U41" ca="1">IF(AND($R41=2,ACOMPANHAMENTO="BM"),ROUND(U42,4),U43/$S41)</f>
        <v>1</v>
      </c>
      <c r="V41" s="188" cm="1">
        <f t="array" aca="1" ref="V41" ca="1">IF(AND($R41=2,ACOMPANHAMENTO="BM"),ROUND(V42,4),V43/$S41)</f>
        <v>0</v>
      </c>
      <c r="W41" s="188" cm="1">
        <f t="array" aca="1" ref="W41" ca="1">IF(AND($R41=2,ACOMPANHAMENTO="BM"),ROUND(W42,4),W43/$S41)</f>
        <v>0</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hidden="1" customHeight="1" x14ac:dyDescent="0.25">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calculada</v>
      </c>
      <c r="I42" s="197"/>
      <c r="J42" s="198" t="str">
        <f t="shared" ref="J42" ca="1" si="59">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hidden="1" customHeight="1" x14ac:dyDescent="0.25">
      <c r="D43" s="533"/>
      <c r="E43" s="202" cm="1">
        <f t="array" aca="1" ref="E43" ca="1">IF($R41=2,
         IF(AND(ACOMPANHAMENTO="PLE",ISNUMBER($F41)),
                SUMIF((OFFSET(CÁLCULO!$BC$15:$BU$15,$F41,0,OFFSET(ORÇAMENTO!$D$15,CRONO!$F41,0))),CRONO!E$12,OFFSET(CÁLCULO!$AJ$15:$BB$15,$F41,0,OFFSET(ORÇAMENTO!$D$15,CRONO!$F41,0)))
                +IF(AND($F43&lt;&gt;"",$F43&lt;&gt;0),
                        SUMIF(CÁLCULO!$BC$15:$BU$165,CRONO!E$12,CÁLCULO!$AJ$15:$BB$165)/(ORÇAMENTO!$X$15-_xlfn.SINGLE(CÁLCULO.TotalAdmLocal))*CRONO!$F43,
                        0),
                 E42*$S41),
          SUMIF(OFFSET($S43,1,0,$R41-2),($M41+1)&amp;"$",OFFSET(E43,1,0,$R41-2)))</f>
        <v>4693.45</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0">M41&amp;"$"</f>
        <v>2$</v>
      </c>
      <c r="T43" s="205"/>
      <c r="U43" s="202" cm="1">
        <f t="array" aca="1" ref="U43" ca="1">IF($R41=2,
         IF(AND(ACOMPANHAMENTO="PLE",ISNUMBER($F41)),
                SUMIF((OFFSET(CÁLCULO!$BC$15:$BU$15,$F41,0,OFFSET(ORÇAMENTO!$D$15,CRONO!$F41,0))),CRONO!U$12,OFFSET(CÁLCULO!$AJ$15:$BB$15,$F41,0,OFFSET(ORÇAMENTO!$D$15,CRONO!$F41,0)))
                +IF(AND($F43&lt;&gt;"",$F43&lt;&gt;0),
                        SUMIF(CÁLCULO!$BC$15:$BU$165,CRONO!U$12,CÁLCULO!$AJ$15:$BB$165)/(ORÇAMENTO!$X$15-_xlfn.SINGLE(CÁLCULO.TotalAdmLocal))*CRONO!$F43,
                        0),
                 U42*$S41),
          SUMIF(OFFSET($S43,1,0,$R41-2),($M41+1)&amp;"$",OFFSET(U43,1,0,$R41-2)))</f>
        <v>4693.45</v>
      </c>
      <c r="V43" s="202" cm="1">
        <f t="array" aca="1" ref="V43" ca="1">IF($R41=2,
         IF(AND(ACOMPANHAMENTO="PLE",ISNUMBER($F41)),
                SUMIF((OFFSET(CÁLCULO!$BC$15:$BU$15,$F41,0,OFFSET(ORÇAMENTO!$D$15,CRONO!$F41,0))),CRONO!V$12,OFFSET(CÁLCULO!$AJ$15:$BB$15,$F41,0,OFFSET(ORÇAMENTO!$D$15,CRONO!$F41,0)))
                +IF(AND($F43&lt;&gt;"",$F43&lt;&gt;0),
                        SUMIF(CÁLCULO!$BC$15:$BU$165,CRONO!V$12,CÁLCULO!$AJ$15:$BB$165)/(ORÇAMENTO!$X$15-_xlfn.SINGLE(CÁLCULO.TotalAdmLocal))*CRONO!$F43,
                        0),
                 V42*$S41),
          SUMIF(OFFSET($S43,1,0,$R41-2),($M41+1)&amp;"$",OFFSET(V43,1,0,$R41-2)))</f>
        <v>0</v>
      </c>
      <c r="W43" s="202" cm="1">
        <f t="array" aca="1" ref="W43" ca="1">IF($R41=2,
         IF(AND(ACOMPANHAMENTO="PLE",ISNUMBER($F41)),
                SUMIF((OFFSET(CÁLCULO!$BC$15:$BU$15,$F41,0,OFFSET(ORÇAMENTO!$D$15,CRONO!$F41,0))),CRONO!W$12,OFFSET(CÁLCULO!$AJ$15:$BB$15,$F41,0,OFFSET(ORÇAMENTO!$D$15,CRONO!$F41,0)))
                +IF(AND($F43&lt;&gt;"",$F43&lt;&gt;0),
                        SUMIF(CÁLCULO!$BC$15:$BU$165,CRONO!W$12,CÁLCULO!$AJ$15:$BB$165)/(ORÇAMENTO!$X$15-_xlfn.SINGLE(CÁLCULO.TotalAdmLocal))*CRONO!$F43,
                        0),
                 W42*$S41),
          SUMIF(OFFSET($S43,1,0,$R41-2),($M41+1)&amp;"$",OFFSET(W43,1,0,$R41-2)))</f>
        <v>0</v>
      </c>
      <c r="X43" s="202" cm="1">
        <f t="array" aca="1" ref="X43" ca="1">IF($R41=2,
         IF(AND(ACOMPANHAMENTO="PLE",ISNUMBER($F41)),
                SUMIF((OFFSET(CÁLCULO!$BC$15:$BU$15,$F41,0,OFFSET(ORÇAMENTO!$D$15,CRONO!$F41,0))),CRONO!X$12,OFFSET(CÁLCULO!$AJ$15:$BB$15,$F41,0,OFFSET(ORÇAMENTO!$D$15,CRONO!$F41,0)))
                +IF(AND($F43&lt;&gt;"",$F43&lt;&gt;0),
                        SUMIF(CÁLCULO!$BC$15:$BU$165,CRONO!X$12,CÁLCULO!$AJ$15:$BB$165)/(ORÇAMENTO!$X$15-_xlfn.SINGLE(CÁLCULO.TotalAdmLocal))*CRONO!$F43,
                        0),
                 X42*$S41),
          SUMIF(OFFSET($S43,1,0,$R41-2),($M41+1)&amp;"$",OFFSET(X43,1,0,$R41-2)))</f>
        <v>0</v>
      </c>
      <c r="Y43" s="202" cm="1">
        <f t="array" aca="1" ref="Y43" ca="1">IF($R41=2,
         IF(AND(ACOMPANHAMENTO="PLE",ISNUMBER($F41)),
                SUMIF((OFFSET(CÁLCULO!$BC$15:$BU$15,$F41,0,OFFSET(ORÇAMENTO!$D$15,CRONO!$F41,0))),CRONO!Y$12,OFFSET(CÁLCULO!$AJ$15:$BB$15,$F41,0,OFFSET(ORÇAMENTO!$D$15,CRONO!$F41,0)))
                +IF(AND($F43&lt;&gt;"",$F43&lt;&gt;0),
                        SUMIF(CÁLCULO!$BC$15:$BU$165,CRONO!Y$12,CÁLCULO!$AJ$15:$BB$165)/(ORÇAMENTO!$X$15-_xlfn.SINGLE(CÁLCULO.TotalAdmLocal))*CRONO!$F43,
                        0),
                 Y42*$S41),
          SUMIF(OFFSET($S43,1,0,$R41-2),($M41+1)&amp;"$",OFFSET(Y43,1,0,$R41-2)))</f>
        <v>0</v>
      </c>
      <c r="Z43" s="202" cm="1">
        <f t="array" aca="1" ref="Z43" ca="1">IF($R41=2,
         IF(AND(ACOMPANHAMENTO="PLE",ISNUMBER($F41)),
                SUMIF((OFFSET(CÁLCULO!$BC$15:$BU$15,$F41,0,OFFSET(ORÇAMENTO!$D$15,CRONO!$F41,0))),CRONO!Z$12,OFFSET(CÁLCULO!$AJ$15:$BB$15,$F41,0,OFFSET(ORÇAMENTO!$D$15,CRONO!$F41,0)))
                +IF(AND($F43&lt;&gt;"",$F43&lt;&gt;0),
                        SUMIF(CÁLCULO!$BC$15:$BU$165,CRONO!Z$12,CÁLCULO!$AJ$15:$BB$165)/(ORÇAMENTO!$X$15-_xlfn.SINGLE(CÁLCULO.TotalAdmLocal))*CRONO!$F43,
                        0),
                 Z42*$S41),
          SUMIF(OFFSET($S43,1,0,$R41-2),($M41+1)&amp;"$",OFFSET(Z43,1,0,$R41-2)))</f>
        <v>0</v>
      </c>
      <c r="AA43" s="202" cm="1">
        <f t="array" aca="1" ref="AA43" ca="1">IF($R41=2,
         IF(AND(ACOMPANHAMENTO="PLE",ISNUMBER($F41)),
                SUMIF((OFFSET(CÁLCULO!$BC$15:$BU$15,$F41,0,OFFSET(ORÇAMENTO!$D$15,CRONO!$F41,0))),CRONO!AA$12,OFFSET(CÁLCULO!$AJ$15:$BB$15,$F41,0,OFFSET(ORÇAMENTO!$D$15,CRONO!$F41,0)))
                +IF(AND($F43&lt;&gt;"",$F43&lt;&gt;0),
                        SUMIF(CÁLCULO!$BC$15:$BU$165,CRONO!AA$12,CÁLCULO!$AJ$15:$BB$165)/(ORÇAMENTO!$X$15-_xlfn.SINGLE(CÁLCULO.TotalAdmLocal))*CRONO!$F43,
                        0),
                 AA42*$S41),
          SUMIF(OFFSET($S43,1,0,$R41-2),($M41+1)&amp;"$",OFFSET(AA43,1,0,$R41-2)))</f>
        <v>0</v>
      </c>
      <c r="AB43" s="202" cm="1">
        <f t="array" aca="1" ref="AB43" ca="1">IF($R41=2,
         IF(AND(ACOMPANHAMENTO="PLE",ISNUMBER($F41)),
                SUMIF((OFFSET(CÁLCULO!$BC$15:$BU$15,$F41,0,OFFSET(ORÇAMENTO!$D$15,CRONO!$F41,0))),CRONO!AB$12,OFFSET(CÁLCULO!$AJ$15:$BB$15,$F41,0,OFFSET(ORÇAMENTO!$D$15,CRONO!$F41,0)))
                +IF(AND($F43&lt;&gt;"",$F43&lt;&gt;0),
                        SUMIF(CÁLCULO!$BC$15:$BU$165,CRONO!AB$12,CÁLCULO!$AJ$15:$BB$165)/(ORÇAMENTO!$X$15-_xlfn.SINGLE(CÁLCULO.TotalAdmLocal))*CRONO!$F43,
                        0),
                 AB42*$S41),
          SUMIF(OFFSET($S43,1,0,$R41-2),($M41+1)&amp;"$",OFFSET(AB43,1,0,$R41-2)))</f>
        <v>0</v>
      </c>
      <c r="AC43" s="202" cm="1">
        <f t="array" aca="1" ref="AC43" ca="1">IF($R41=2,
         IF(AND(ACOMPANHAMENTO="PLE",ISNUMBER($F41)),
                SUMIF((OFFSET(CÁLCULO!$BC$15:$BU$15,$F41,0,OFFSET(ORÇAMENTO!$D$15,CRONO!$F41,0))),CRONO!AC$12,OFFSET(CÁLCULO!$AJ$15:$BB$15,$F41,0,OFFSET(ORÇAMENTO!$D$15,CRONO!$F41,0)))
                +IF(AND($F43&lt;&gt;"",$F43&lt;&gt;0),
                        SUMIF(CÁLCULO!$BC$15:$BU$165,CRONO!AC$12,CÁLCULO!$AJ$15:$BB$165)/(ORÇAMENTO!$X$15-_xlfn.SINGLE(CÁLCULO.TotalAdmLocal))*CRONO!$F43,
                        0),
                 AC42*$S41),
          SUMIF(OFFSET($S43,1,0,$R41-2),($M41+1)&amp;"$",OFFSET(AC43,1,0,$R41-2)))</f>
        <v>0</v>
      </c>
      <c r="AD43" s="202" cm="1">
        <f t="array" aca="1" ref="AD43" ca="1">IF($R41=2,
         IF(AND(ACOMPANHAMENTO="PLE",ISNUMBER($F41)),
                SUMIF((OFFSET(CÁLCULO!$BC$15:$BU$15,$F41,0,OFFSET(ORÇAMENTO!$D$15,CRONO!$F41,0))),CRONO!AD$12,OFFSET(CÁLCULO!$AJ$15:$BB$15,$F41,0,OFFSET(ORÇAMENTO!$D$15,CRONO!$F41,0)))
                +IF(AND($F43&lt;&gt;"",$F43&lt;&gt;0),
                        SUMIF(CÁLCULO!$BC$15:$BU$165,CRONO!AD$12,CÁLCULO!$AJ$15:$BB$165)/(ORÇAMENTO!$X$15-_xlfn.SINGLE(CÁLCULO.TotalAdmLocal))*CRONO!$F43,
                        0),
                 AD42*$S41),
          SUMIF(OFFSET($S43,1,0,$R41-2),($M41+1)&amp;"$",OFFSET(AD43,1,0,$R41-2)))</f>
        <v>0</v>
      </c>
      <c r="AE43" s="202" cm="1">
        <f t="array" aca="1" ref="AE43" ca="1">IF($R41=2,
         IF(AND(ACOMPANHAMENTO="PLE",ISNUMBER($F41)),
                SUMIF((OFFSET(CÁLCULO!$BC$15:$BU$15,$F41,0,OFFSET(ORÇAMENTO!$D$15,CRONO!$F41,0))),CRONO!AE$12,OFFSET(CÁLCULO!$AJ$15:$BB$15,$F41,0,OFFSET(ORÇAMENTO!$D$15,CRONO!$F41,0)))
                +IF(AND($F43&lt;&gt;"",$F43&lt;&gt;0),
                        SUMIF(CÁLCULO!$BC$15:$BU$165,CRONO!AE$12,CÁLCULO!$AJ$15:$BB$165)/(ORÇAMENTO!$X$15-_xlfn.SINGLE(CÁLCULO.TotalAdmLocal))*CRONO!$F43,
                        0),
                 AE42*$S41),
          SUMIF(OFFSET($S43,1,0,$R41-2),($M41+1)&amp;"$",OFFSET(AE43,1,0,$R41-2)))</f>
        <v>0</v>
      </c>
      <c r="AF43" s="202" cm="1">
        <f t="array" aca="1" ref="AF43" ca="1">IF($R41=2,
         IF(AND(ACOMPANHAMENTO="PLE",ISNUMBER($F41)),
                SUMIF((OFFSET(CÁLCULO!$BC$15:$BU$15,$F41,0,OFFSET(ORÇAMENTO!$D$15,CRONO!$F41,0))),CRONO!AF$12,OFFSET(CÁLCULO!$AJ$15:$BB$15,$F41,0,OFFSET(ORÇAMENTO!$D$15,CRONO!$F41,0)))
                +IF(AND($F43&lt;&gt;"",$F43&lt;&gt;0),
                        SUMIF(CÁLCULO!$BC$15:$BU$165,CRONO!AF$12,CÁLCULO!$AJ$15:$BB$165)/(ORÇAMENTO!$X$15-_xlfn.SINGLE(CÁLCULO.TotalAdmLocal))*CRONO!$F43,
                        0),
                 AF42*$S41),
          SUMIF(OFFSET($S43,1,0,$R41-2),($M41+1)&amp;"$",OFFSET(AF43,1,0,$R41-2)))</f>
        <v>0</v>
      </c>
      <c r="AG43" s="534"/>
    </row>
    <row r="44" spans="1:33" x14ac:dyDescent="0.25">
      <c r="A44" s="186" t="e">
        <f ca="1">IF($M44&gt;1,_xlfn.CONCAT($I44," ",$J44),"")</f>
        <v>#NAME?</v>
      </c>
      <c r="B44" s="185">
        <f t="shared" ref="B44" ca="1" si="61">OFFSET(B44,-3,0)+1</f>
        <v>11</v>
      </c>
      <c r="C44" s="185">
        <f ca="1">IF($R44&lt;&gt;2,0,IF($S44=0,1,IF(F45&gt;0,OFFSET(QCI!$M$13,SUBSTITUTE(F45,".",""),0),OFFSET(ORÇAMENTO!$AA$15,CRONO!$F44,0))/$S44))</f>
        <v>0.27621385324224024</v>
      </c>
      <c r="D44" s="185">
        <f ca="1">IF($R44&lt;&gt;2,0,IF($S44=0,1,IF(F45&gt;0,OFFSET(QCI!$N$13,SUBSTITUTE(F45,".",""),0),OFFSET(ORÇAMENTO!$AB$15,CRONO!$F44,0))/$S44))</f>
        <v>0</v>
      </c>
      <c r="E44" s="188" cm="1">
        <f t="array" aca="1" ref="E44" ca="1">IF(AND($R44=2,ACOMPANHAMENTO="BM"),ROUND(E45,4),E46/$S44)</f>
        <v>1.0000000000000002</v>
      </c>
      <c r="F44" s="185">
        <f ca="1">IF(B44&lt;=ORÇAMENTO.MáximoListaCrono,MATCH(B44,ORÇAMENTO.ListaCrono,0),NA())</f>
        <v>45</v>
      </c>
      <c r="G44" s="185" t="str">
        <f t="shared" ref="G44" ca="1" si="62">IF(AND($F45&lt;&gt;-1,$S44&gt;0),"F","")</f>
        <v>F</v>
      </c>
      <c r="H44" s="189" t="str" cm="1">
        <f t="array" aca="1" ref="H44" ca="1">IF(OR(S44=0,S44=""),"Linha",IF(AND(OR(ACOMPANHAMENTO="PLE",$R44&lt;&gt;2),$F45=0),"Linha",ROUND(1-SUM(U44:AG44),4)))</f>
        <v>Linha</v>
      </c>
      <c r="I44" s="190" t="str">
        <f ca="1">IF($F45=0,OFFSET(ORÇAMENTO!O$15,$F44,0),IF($F45&lt;&gt;-1,OFFSET(QCI!$D$13,$F45,0),""))</f>
        <v>2.2.</v>
      </c>
      <c r="J44" s="191" t="str">
        <f ca="1">IF($F45=0,OFFSET(ORÇAMENTO!R$15,$F44,0),IF($F45&lt;&gt;-1,OFFSET(QCI!$G$13,$F45,0),""))</f>
        <v>DRENAGEM</v>
      </c>
      <c r="K44" s="191"/>
      <c r="L44" s="191"/>
      <c r="M44" s="192">
        <f ca="1">IF($F45=0,OFFSET(ORÇAMENTO!C$15,$F44,0),1)</f>
        <v>2</v>
      </c>
      <c r="N44" s="193">
        <f ca="1">IF($F45=-1,0,IF(N$13&lt;=$M44,IF(ISERROR(MATCH(N$13,OFFSET($M44,1,0,ROW($M$95)-ROW($M44)-1),0)),ROW($M$95)-ROW($M44)-1,MATCH(N$13,OFFSET($M44,1,0,ROW($M$95)-ROW($M44)-1),0)-1),0))</f>
        <v>14</v>
      </c>
      <c r="O44" s="193">
        <f ca="1">IF($F45=-1,0,IF(O$13&lt;=$M44,IF(ISERROR(MATCH(O$13,OFFSET($M44,1,0,ROW($M$95)-ROW($M44)-1),0)),ROW($M$95)-ROW($M44)-1,MATCH(O$13,OFFSET($M44,1,0,ROW($M$95)-ROW($M44)-1),0)-1),0))</f>
        <v>2</v>
      </c>
      <c r="P44" s="193">
        <f ca="1">IF($F45=-1,0,IF(P$13&lt;=$M44,IF(ISERROR(MATCH(P$13,OFFSET($M44,1,0,ROW($M$95)-ROW($M44)-1),0)),ROW($M$95)-ROW($M44)-1,MATCH(P$13,OFFSET($M44,1,0,ROW($M$95)-ROW($M44)-1),0)-1),0))</f>
        <v>0</v>
      </c>
      <c r="Q44" s="193">
        <f ca="1">IF($F45=-1,0,IF(Q$13&lt;=$M44,IF(ISERROR(MATCH(Q$13,OFFSET($M44,1,0,ROW($M$95)-ROW($M44)-1),0)),ROW($M$95)-ROW($M44)-1,MATCH(Q$13,OFFSET($M44,1,0,ROW($M$95)-ROW($M44)-1),0)-1),0))</f>
        <v>0</v>
      </c>
      <c r="R44" s="193">
        <f t="shared" ref="R44" ca="1" si="63">MIN(OFFSET(M44,0,1,,M44))</f>
        <v>2</v>
      </c>
      <c r="S44" s="194">
        <f ca="1">IF($F45=0,OFFSET(ORÇAMENTO!X$15,$F44,0),IF($F45&lt;&gt;-1,OFFSET(QCI!$O$13,$F45,0),""))</f>
        <v>25925.55</v>
      </c>
      <c r="T44" s="195" t="s">
        <v>785</v>
      </c>
      <c r="U44" s="188" cm="1">
        <f t="array" aca="1" ref="U44" ca="1">IF(AND($R44=2,ACOMPANHAMENTO="BM"),ROUND(U45,4),U46/$S44)</f>
        <v>1.0000000000000002</v>
      </c>
      <c r="V44" s="188" cm="1">
        <f t="array" aca="1" ref="V44" ca="1">IF(AND($R44=2,ACOMPANHAMENTO="BM"),ROUND(V45,4),V46/$S44)</f>
        <v>0</v>
      </c>
      <c r="W44" s="188" cm="1">
        <f t="array" aca="1" ref="W44" ca="1">IF(AND($R44=2,ACOMPANHAMENTO="BM"),ROUND(W45,4),W46/$S44)</f>
        <v>0</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hidden="1" customHeight="1" x14ac:dyDescent="0.25">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calculada</v>
      </c>
      <c r="I45" s="197"/>
      <c r="J45" s="198" t="str">
        <f t="shared" ref="J45" ca="1" si="64">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hidden="1" customHeight="1" x14ac:dyDescent="0.25">
      <c r="D46" s="533"/>
      <c r="E46" s="202" cm="1">
        <f t="array" aca="1" ref="E46" ca="1">IF($R44=2,
         IF(AND(ACOMPANHAMENTO="PLE",ISNUMBER($F44)),
                SUMIF((OFFSET(CÁLCULO!$BC$15:$BU$15,$F44,0,OFFSET(ORÇAMENTO!$D$15,CRONO!$F44,0))),CRONO!E$12,OFFSET(CÁLCULO!$AJ$15:$BB$15,$F44,0,OFFSET(ORÇAMENTO!$D$15,CRONO!$F44,0)))
                +IF(AND($F46&lt;&gt;"",$F46&lt;&gt;0),
                        SUMIF(CÁLCULO!$BC$15:$BU$165,CRONO!E$12,CÁLCULO!$AJ$15:$BB$165)/(ORÇAMENTO!$X$15-_xlfn.SINGLE(CÁLCULO.TotalAdmLocal))*CRONO!$F46,
                        0),
                 E45*$S44),
          SUMIF(OFFSET($S46,1,0,$R44-2),($M44+1)&amp;"$",OFFSET(E46,1,0,$R44-2)))</f>
        <v>25925.550000000003</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5">M44&amp;"$"</f>
        <v>2$</v>
      </c>
      <c r="T46" s="205"/>
      <c r="U46" s="202" cm="1">
        <f t="array" aca="1" ref="U46" ca="1">IF($R44=2,
         IF(AND(ACOMPANHAMENTO="PLE",ISNUMBER($F44)),
                SUMIF((OFFSET(CÁLCULO!$BC$15:$BU$15,$F44,0,OFFSET(ORÇAMENTO!$D$15,CRONO!$F44,0))),CRONO!U$12,OFFSET(CÁLCULO!$AJ$15:$BB$15,$F44,0,OFFSET(ORÇAMENTO!$D$15,CRONO!$F44,0)))
                +IF(AND($F46&lt;&gt;"",$F46&lt;&gt;0),
                        SUMIF(CÁLCULO!$BC$15:$BU$165,CRONO!U$12,CÁLCULO!$AJ$15:$BB$165)/(ORÇAMENTO!$X$15-_xlfn.SINGLE(CÁLCULO.TotalAdmLocal))*CRONO!$F46,
                        0),
                 U45*$S44),
          SUMIF(OFFSET($S46,1,0,$R44-2),($M44+1)&amp;"$",OFFSET(U46,1,0,$R44-2)))</f>
        <v>25925.550000000003</v>
      </c>
      <c r="V46" s="202" cm="1">
        <f t="array" aca="1" ref="V46" ca="1">IF($R44=2,
         IF(AND(ACOMPANHAMENTO="PLE",ISNUMBER($F44)),
                SUMIF((OFFSET(CÁLCULO!$BC$15:$BU$15,$F44,0,OFFSET(ORÇAMENTO!$D$15,CRONO!$F44,0))),CRONO!V$12,OFFSET(CÁLCULO!$AJ$15:$BB$15,$F44,0,OFFSET(ORÇAMENTO!$D$15,CRONO!$F44,0)))
                +IF(AND($F46&lt;&gt;"",$F46&lt;&gt;0),
                        SUMIF(CÁLCULO!$BC$15:$BU$165,CRONO!V$12,CÁLCULO!$AJ$15:$BB$165)/(ORÇAMENTO!$X$15-_xlfn.SINGLE(CÁLCULO.TotalAdmLocal))*CRONO!$F46,
                        0),
                 V45*$S44),
          SUMIF(OFFSET($S46,1,0,$R44-2),($M44+1)&amp;"$",OFFSET(V46,1,0,$R44-2)))</f>
        <v>0</v>
      </c>
      <c r="W46" s="202" cm="1">
        <f t="array" aca="1" ref="W46" ca="1">IF($R44=2,
         IF(AND(ACOMPANHAMENTO="PLE",ISNUMBER($F44)),
                SUMIF((OFFSET(CÁLCULO!$BC$15:$BU$15,$F44,0,OFFSET(ORÇAMENTO!$D$15,CRONO!$F44,0))),CRONO!W$12,OFFSET(CÁLCULO!$AJ$15:$BB$15,$F44,0,OFFSET(ORÇAMENTO!$D$15,CRONO!$F44,0)))
                +IF(AND($F46&lt;&gt;"",$F46&lt;&gt;0),
                        SUMIF(CÁLCULO!$BC$15:$BU$165,CRONO!W$12,CÁLCULO!$AJ$15:$BB$165)/(ORÇAMENTO!$X$15-_xlfn.SINGLE(CÁLCULO.TotalAdmLocal))*CRONO!$F46,
                        0),
                 W45*$S44),
          SUMIF(OFFSET($S46,1,0,$R44-2),($M44+1)&amp;"$",OFFSET(W46,1,0,$R44-2)))</f>
        <v>0</v>
      </c>
      <c r="X46" s="202" cm="1">
        <f t="array" aca="1" ref="X46" ca="1">IF($R44=2,
         IF(AND(ACOMPANHAMENTO="PLE",ISNUMBER($F44)),
                SUMIF((OFFSET(CÁLCULO!$BC$15:$BU$15,$F44,0,OFFSET(ORÇAMENTO!$D$15,CRONO!$F44,0))),CRONO!X$12,OFFSET(CÁLCULO!$AJ$15:$BB$15,$F44,0,OFFSET(ORÇAMENTO!$D$15,CRONO!$F44,0)))
                +IF(AND($F46&lt;&gt;"",$F46&lt;&gt;0),
                        SUMIF(CÁLCULO!$BC$15:$BU$165,CRONO!X$12,CÁLCULO!$AJ$15:$BB$165)/(ORÇAMENTO!$X$15-_xlfn.SINGLE(CÁLCULO.TotalAdmLocal))*CRONO!$F46,
                        0),
                 X45*$S44),
          SUMIF(OFFSET($S46,1,0,$R44-2),($M44+1)&amp;"$",OFFSET(X46,1,0,$R44-2)))</f>
        <v>0</v>
      </c>
      <c r="Y46" s="202" cm="1">
        <f t="array" aca="1" ref="Y46" ca="1">IF($R44=2,
         IF(AND(ACOMPANHAMENTO="PLE",ISNUMBER($F44)),
                SUMIF((OFFSET(CÁLCULO!$BC$15:$BU$15,$F44,0,OFFSET(ORÇAMENTO!$D$15,CRONO!$F44,0))),CRONO!Y$12,OFFSET(CÁLCULO!$AJ$15:$BB$15,$F44,0,OFFSET(ORÇAMENTO!$D$15,CRONO!$F44,0)))
                +IF(AND($F46&lt;&gt;"",$F46&lt;&gt;0),
                        SUMIF(CÁLCULO!$BC$15:$BU$165,CRONO!Y$12,CÁLCULO!$AJ$15:$BB$165)/(ORÇAMENTO!$X$15-_xlfn.SINGLE(CÁLCULO.TotalAdmLocal))*CRONO!$F46,
                        0),
                 Y45*$S44),
          SUMIF(OFFSET($S46,1,0,$R44-2),($M44+1)&amp;"$",OFFSET(Y46,1,0,$R44-2)))</f>
        <v>0</v>
      </c>
      <c r="Z46" s="202" cm="1">
        <f t="array" aca="1" ref="Z46" ca="1">IF($R44=2,
         IF(AND(ACOMPANHAMENTO="PLE",ISNUMBER($F44)),
                SUMIF((OFFSET(CÁLCULO!$BC$15:$BU$15,$F44,0,OFFSET(ORÇAMENTO!$D$15,CRONO!$F44,0))),CRONO!Z$12,OFFSET(CÁLCULO!$AJ$15:$BB$15,$F44,0,OFFSET(ORÇAMENTO!$D$15,CRONO!$F44,0)))
                +IF(AND($F46&lt;&gt;"",$F46&lt;&gt;0),
                        SUMIF(CÁLCULO!$BC$15:$BU$165,CRONO!Z$12,CÁLCULO!$AJ$15:$BB$165)/(ORÇAMENTO!$X$15-_xlfn.SINGLE(CÁLCULO.TotalAdmLocal))*CRONO!$F46,
                        0),
                 Z45*$S44),
          SUMIF(OFFSET($S46,1,0,$R44-2),($M44+1)&amp;"$",OFFSET(Z46,1,0,$R44-2)))</f>
        <v>0</v>
      </c>
      <c r="AA46" s="202" cm="1">
        <f t="array" aca="1" ref="AA46" ca="1">IF($R44=2,
         IF(AND(ACOMPANHAMENTO="PLE",ISNUMBER($F44)),
                SUMIF((OFFSET(CÁLCULO!$BC$15:$BU$15,$F44,0,OFFSET(ORÇAMENTO!$D$15,CRONO!$F44,0))),CRONO!AA$12,OFFSET(CÁLCULO!$AJ$15:$BB$15,$F44,0,OFFSET(ORÇAMENTO!$D$15,CRONO!$F44,0)))
                +IF(AND($F46&lt;&gt;"",$F46&lt;&gt;0),
                        SUMIF(CÁLCULO!$BC$15:$BU$165,CRONO!AA$12,CÁLCULO!$AJ$15:$BB$165)/(ORÇAMENTO!$X$15-_xlfn.SINGLE(CÁLCULO.TotalAdmLocal))*CRONO!$F46,
                        0),
                 AA45*$S44),
          SUMIF(OFFSET($S46,1,0,$R44-2),($M44+1)&amp;"$",OFFSET(AA46,1,0,$R44-2)))</f>
        <v>0</v>
      </c>
      <c r="AB46" s="202" cm="1">
        <f t="array" aca="1" ref="AB46" ca="1">IF($R44=2,
         IF(AND(ACOMPANHAMENTO="PLE",ISNUMBER($F44)),
                SUMIF((OFFSET(CÁLCULO!$BC$15:$BU$15,$F44,0,OFFSET(ORÇAMENTO!$D$15,CRONO!$F44,0))),CRONO!AB$12,OFFSET(CÁLCULO!$AJ$15:$BB$15,$F44,0,OFFSET(ORÇAMENTO!$D$15,CRONO!$F44,0)))
                +IF(AND($F46&lt;&gt;"",$F46&lt;&gt;0),
                        SUMIF(CÁLCULO!$BC$15:$BU$165,CRONO!AB$12,CÁLCULO!$AJ$15:$BB$165)/(ORÇAMENTO!$X$15-_xlfn.SINGLE(CÁLCULO.TotalAdmLocal))*CRONO!$F46,
                        0),
                 AB45*$S44),
          SUMIF(OFFSET($S46,1,0,$R44-2),($M44+1)&amp;"$",OFFSET(AB46,1,0,$R44-2)))</f>
        <v>0</v>
      </c>
      <c r="AC46" s="202" cm="1">
        <f t="array" aca="1" ref="AC46" ca="1">IF($R44=2,
         IF(AND(ACOMPANHAMENTO="PLE",ISNUMBER($F44)),
                SUMIF((OFFSET(CÁLCULO!$BC$15:$BU$15,$F44,0,OFFSET(ORÇAMENTO!$D$15,CRONO!$F44,0))),CRONO!AC$12,OFFSET(CÁLCULO!$AJ$15:$BB$15,$F44,0,OFFSET(ORÇAMENTO!$D$15,CRONO!$F44,0)))
                +IF(AND($F46&lt;&gt;"",$F46&lt;&gt;0),
                        SUMIF(CÁLCULO!$BC$15:$BU$165,CRONO!AC$12,CÁLCULO!$AJ$15:$BB$165)/(ORÇAMENTO!$X$15-_xlfn.SINGLE(CÁLCULO.TotalAdmLocal))*CRONO!$F46,
                        0),
                 AC45*$S44),
          SUMIF(OFFSET($S46,1,0,$R44-2),($M44+1)&amp;"$",OFFSET(AC46,1,0,$R44-2)))</f>
        <v>0</v>
      </c>
      <c r="AD46" s="202" cm="1">
        <f t="array" aca="1" ref="AD46" ca="1">IF($R44=2,
         IF(AND(ACOMPANHAMENTO="PLE",ISNUMBER($F44)),
                SUMIF((OFFSET(CÁLCULO!$BC$15:$BU$15,$F44,0,OFFSET(ORÇAMENTO!$D$15,CRONO!$F44,0))),CRONO!AD$12,OFFSET(CÁLCULO!$AJ$15:$BB$15,$F44,0,OFFSET(ORÇAMENTO!$D$15,CRONO!$F44,0)))
                +IF(AND($F46&lt;&gt;"",$F46&lt;&gt;0),
                        SUMIF(CÁLCULO!$BC$15:$BU$165,CRONO!AD$12,CÁLCULO!$AJ$15:$BB$165)/(ORÇAMENTO!$X$15-_xlfn.SINGLE(CÁLCULO.TotalAdmLocal))*CRONO!$F46,
                        0),
                 AD45*$S44),
          SUMIF(OFFSET($S46,1,0,$R44-2),($M44+1)&amp;"$",OFFSET(AD46,1,0,$R44-2)))</f>
        <v>0</v>
      </c>
      <c r="AE46" s="202" cm="1">
        <f t="array" aca="1" ref="AE46" ca="1">IF($R44=2,
         IF(AND(ACOMPANHAMENTO="PLE",ISNUMBER($F44)),
                SUMIF((OFFSET(CÁLCULO!$BC$15:$BU$15,$F44,0,OFFSET(ORÇAMENTO!$D$15,CRONO!$F44,0))),CRONO!AE$12,OFFSET(CÁLCULO!$AJ$15:$BB$15,$F44,0,OFFSET(ORÇAMENTO!$D$15,CRONO!$F44,0)))
                +IF(AND($F46&lt;&gt;"",$F46&lt;&gt;0),
                        SUMIF(CÁLCULO!$BC$15:$BU$165,CRONO!AE$12,CÁLCULO!$AJ$15:$BB$165)/(ORÇAMENTO!$X$15-_xlfn.SINGLE(CÁLCULO.TotalAdmLocal))*CRONO!$F46,
                        0),
                 AE45*$S44),
          SUMIF(OFFSET($S46,1,0,$R44-2),($M44+1)&amp;"$",OFFSET(AE46,1,0,$R44-2)))</f>
        <v>0</v>
      </c>
      <c r="AF46" s="202" cm="1">
        <f t="array" aca="1" ref="AF46" ca="1">IF($R44=2,
         IF(AND(ACOMPANHAMENTO="PLE",ISNUMBER($F44)),
                SUMIF((OFFSET(CÁLCULO!$BC$15:$BU$15,$F44,0,OFFSET(ORÇAMENTO!$D$15,CRONO!$F44,0))),CRONO!AF$12,OFFSET(CÁLCULO!$AJ$15:$BB$15,$F44,0,OFFSET(ORÇAMENTO!$D$15,CRONO!$F44,0)))
                +IF(AND($F46&lt;&gt;"",$F46&lt;&gt;0),
                        SUMIF(CÁLCULO!$BC$15:$BU$165,CRONO!AF$12,CÁLCULO!$AJ$15:$BB$165)/(ORÇAMENTO!$X$15-_xlfn.SINGLE(CÁLCULO.TotalAdmLocal))*CRONO!$F46,
                        0),
                 AF45*$S44),
          SUMIF(OFFSET($S46,1,0,$R44-2),($M44+1)&amp;"$",OFFSET(AF46,1,0,$R44-2)))</f>
        <v>0</v>
      </c>
      <c r="AG46" s="534"/>
    </row>
    <row r="47" spans="1:33" x14ac:dyDescent="0.25">
      <c r="A47" s="186" t="e">
        <f ca="1">IF($M47&gt;1,_xlfn.CONCAT($I47," ",$J47),"")</f>
        <v>#NAME?</v>
      </c>
      <c r="B47" s="185">
        <f t="shared" ref="B47" ca="1" si="66">OFFSET(B47,-3,0)+1</f>
        <v>12</v>
      </c>
      <c r="C47" s="185">
        <f ca="1">IF($R47&lt;&gt;2,0,IF($S47=0,1,IF(F48&gt;0,OFFSET(QCI!$M$13,SUBSTITUTE(F48,".",""),0),OFFSET(ORÇAMENTO!$AA$15,CRONO!$F47,0))/$S47))</f>
        <v>0.27621385324224024</v>
      </c>
      <c r="D47" s="185">
        <f ca="1">IF($R47&lt;&gt;2,0,IF($S47=0,1,IF(F48&gt;0,OFFSET(QCI!$N$13,SUBSTITUTE(F48,".",""),0),OFFSET(ORÇAMENTO!$AB$15,CRONO!$F47,0))/$S47))</f>
        <v>0</v>
      </c>
      <c r="E47" s="188" cm="1">
        <f t="array" aca="1" ref="E47" ca="1">IF(AND($R47=2,ACOMPANHAMENTO="BM"),ROUND(E48,4),E49/$S47)</f>
        <v>1</v>
      </c>
      <c r="F47" s="185">
        <f ca="1">IF(B47&lt;=ORÇAMENTO.MáximoListaCrono,MATCH(B47,ORÇAMENTO.ListaCrono,0),NA())</f>
        <v>51</v>
      </c>
      <c r="G47" s="185" t="str">
        <f t="shared" ref="G47" ca="1" si="67">IF(AND($F48&lt;&gt;-1,$S47&gt;0),"F","")</f>
        <v>F</v>
      </c>
      <c r="H47" s="189" t="str" cm="1">
        <f t="array" aca="1" ref="H47" ca="1">IF(OR(S47=0,S47=""),"Linha",IF(AND(OR(ACOMPANHAMENTO="PLE",$R47&lt;&gt;2),$F48=0),"Linha",ROUND(1-SUM(U47:AG47),4)))</f>
        <v>Linha</v>
      </c>
      <c r="I47" s="190" t="str">
        <f ca="1">IF($F48=0,OFFSET(ORÇAMENTO!O$15,$F47,0),IF($F48&lt;&gt;-1,OFFSET(QCI!$D$13,$F48,0),""))</f>
        <v>2.3.</v>
      </c>
      <c r="J47" s="191" t="str">
        <f ca="1">IF($F48=0,OFFSET(ORÇAMENTO!R$15,$F47,0),IF($F48&lt;&gt;-1,OFFSET(QCI!$G$13,$F48,0),""))</f>
        <v>CAMADA DE REPERFILAMENTO</v>
      </c>
      <c r="K47" s="191"/>
      <c r="L47" s="191"/>
      <c r="M47" s="192">
        <f ca="1">IF($F48=0,OFFSET(ORÇAMENTO!C$15,$F47,0),1)</f>
        <v>2</v>
      </c>
      <c r="N47" s="193">
        <f ca="1">IF($F48=-1,0,IF(N$13&lt;=$M47,IF(ISERROR(MATCH(N$13,OFFSET($M47,1,0,ROW($M$95)-ROW($M47)-1),0)),ROW($M$95)-ROW($M47)-1,MATCH(N$13,OFFSET($M47,1,0,ROW($M$95)-ROW($M47)-1),0)-1),0))</f>
        <v>11</v>
      </c>
      <c r="O47" s="193">
        <f ca="1">IF($F48=-1,0,IF(O$13&lt;=$M47,IF(ISERROR(MATCH(O$13,OFFSET($M47,1,0,ROW($M$95)-ROW($M47)-1),0)),ROW($M$95)-ROW($M47)-1,MATCH(O$13,OFFSET($M47,1,0,ROW($M$95)-ROW($M47)-1),0)-1),0))</f>
        <v>2</v>
      </c>
      <c r="P47" s="193">
        <f ca="1">IF($F48=-1,0,IF(P$13&lt;=$M47,IF(ISERROR(MATCH(P$13,OFFSET($M47,1,0,ROW($M$95)-ROW($M47)-1),0)),ROW($M$95)-ROW($M47)-1,MATCH(P$13,OFFSET($M47,1,0,ROW($M$95)-ROW($M47)-1),0)-1),0))</f>
        <v>0</v>
      </c>
      <c r="Q47" s="193">
        <f ca="1">IF($F48=-1,0,IF(Q$13&lt;=$M47,IF(ISERROR(MATCH(Q$13,OFFSET($M47,1,0,ROW($M$95)-ROW($M47)-1),0)),ROW($M$95)-ROW($M47)-1,MATCH(Q$13,OFFSET($M47,1,0,ROW($M$95)-ROW($M47)-1),0)-1),0))</f>
        <v>0</v>
      </c>
      <c r="R47" s="193">
        <f t="shared" ref="R47" ca="1" si="68">MIN(OFFSET(M47,0,1,,M47))</f>
        <v>2</v>
      </c>
      <c r="S47" s="194">
        <f ca="1">IF($F48=0,OFFSET(ORÇAMENTO!X$15,$F47,0),IF($F48&lt;&gt;-1,OFFSET(QCI!$O$13,$F48,0),""))</f>
        <v>92656.89</v>
      </c>
      <c r="T47" s="195" t="s">
        <v>785</v>
      </c>
      <c r="U47" s="188" cm="1">
        <f t="array" aca="1" ref="U47" ca="1">IF(AND($R47=2,ACOMPANHAMENTO="BM"),ROUND(U48,4),U49/$S47)</f>
        <v>1</v>
      </c>
      <c r="V47" s="188" cm="1">
        <f t="array" aca="1" ref="V47" ca="1">IF(AND($R47=2,ACOMPANHAMENTO="BM"),ROUND(V48,4),V49/$S47)</f>
        <v>0</v>
      </c>
      <c r="W47" s="188" cm="1">
        <f t="array" aca="1" ref="W47" ca="1">IF(AND($R47=2,ACOMPANHAMENTO="BM"),ROUND(W48,4),W49/$S47)</f>
        <v>0</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hidden="1" customHeight="1" x14ac:dyDescent="0.25">
      <c r="E48" s="587"/>
      <c r="F48" s="185">
        <f ca="1">IF(ISERROR(F47),IF(1+COUNTIF($M$13:OFFSET(M47,-1,0),1)&lt;=MAX(QCI!$D$13:$D$24),1+COUNTIF($M$13:OFFSET(M47,-1,0),1),-1),0)</f>
        <v>0</v>
      </c>
      <c r="G48" s="185" t="str" cm="1">
        <f t="array" aca="1" ref="G48" ca="1">IF(ACOMPANHAMENTO="BM",OFFSET(G48,-1,0),"")</f>
        <v/>
      </c>
      <c r="H48" s="196" t="str" cm="1">
        <f t="array" aca="1" ref="H48" ca="1">IF(OR(S47=0,S47=""),"vazia",IF(AND(OR(ACOMPANHAMENTO="PLE",$R47&lt;&gt;2),$F48=0),"calculada","--&gt;"))</f>
        <v>calculada</v>
      </c>
      <c r="I48" s="197"/>
      <c r="J48" s="198" t="str">
        <f t="shared" ref="J48" ca="1" si="69">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hidden="1" customHeight="1" x14ac:dyDescent="0.25">
      <c r="D49" s="533"/>
      <c r="E49" s="202" cm="1">
        <f t="array" aca="1" ref="E49" ca="1">IF($R47=2,
         IF(AND(ACOMPANHAMENTO="PLE",ISNUMBER($F47)),
                SUMIF((OFFSET(CÁLCULO!$BC$15:$BU$15,$F47,0,OFFSET(ORÇAMENTO!$D$15,CRONO!$F47,0))),CRONO!E$12,OFFSET(CÁLCULO!$AJ$15:$BB$15,$F47,0,OFFSET(ORÇAMENTO!$D$15,CRONO!$F47,0)))
                +IF(AND($F49&lt;&gt;"",$F49&lt;&gt;0),
                        SUMIF(CÁLCULO!$BC$15:$BU$165,CRONO!E$12,CÁLCULO!$AJ$15:$BB$165)/(ORÇAMENTO!$X$15-_xlfn.SINGLE(CÁLCULO.TotalAdmLocal))*CRONO!$F49,
                        0),
                 E48*$S47),
          SUMIF(OFFSET($S49,1,0,$R47-2),($M47+1)&amp;"$",OFFSET(E49,1,0,$R47-2)))</f>
        <v>92656.89</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0">M47&amp;"$"</f>
        <v>2$</v>
      </c>
      <c r="T49" s="205"/>
      <c r="U49" s="202" cm="1">
        <f t="array" aca="1" ref="U49" ca="1">IF($R47=2,
         IF(AND(ACOMPANHAMENTO="PLE",ISNUMBER($F47)),
                SUMIF((OFFSET(CÁLCULO!$BC$15:$BU$15,$F47,0,OFFSET(ORÇAMENTO!$D$15,CRONO!$F47,0))),CRONO!U$12,OFFSET(CÁLCULO!$AJ$15:$BB$15,$F47,0,OFFSET(ORÇAMENTO!$D$15,CRONO!$F47,0)))
                +IF(AND($F49&lt;&gt;"",$F49&lt;&gt;0),
                        SUMIF(CÁLCULO!$BC$15:$BU$165,CRONO!U$12,CÁLCULO!$AJ$15:$BB$165)/(ORÇAMENTO!$X$15-_xlfn.SINGLE(CÁLCULO.TotalAdmLocal))*CRONO!$F49,
                        0),
                 U48*$S47),
          SUMIF(OFFSET($S49,1,0,$R47-2),($M47+1)&amp;"$",OFFSET(U49,1,0,$R47-2)))</f>
        <v>92656.89</v>
      </c>
      <c r="V49" s="202" cm="1">
        <f t="array" aca="1" ref="V49" ca="1">IF($R47=2,
         IF(AND(ACOMPANHAMENTO="PLE",ISNUMBER($F47)),
                SUMIF((OFFSET(CÁLCULO!$BC$15:$BU$15,$F47,0,OFFSET(ORÇAMENTO!$D$15,CRONO!$F47,0))),CRONO!V$12,OFFSET(CÁLCULO!$AJ$15:$BB$15,$F47,0,OFFSET(ORÇAMENTO!$D$15,CRONO!$F47,0)))
                +IF(AND($F49&lt;&gt;"",$F49&lt;&gt;0),
                        SUMIF(CÁLCULO!$BC$15:$BU$165,CRONO!V$12,CÁLCULO!$AJ$15:$BB$165)/(ORÇAMENTO!$X$15-_xlfn.SINGLE(CÁLCULO.TotalAdmLocal))*CRONO!$F49,
                        0),
                 V48*$S47),
          SUMIF(OFFSET($S49,1,0,$R47-2),($M47+1)&amp;"$",OFFSET(V49,1,0,$R47-2)))</f>
        <v>0</v>
      </c>
      <c r="W49" s="202" cm="1">
        <f t="array" aca="1" ref="W49" ca="1">IF($R47=2,
         IF(AND(ACOMPANHAMENTO="PLE",ISNUMBER($F47)),
                SUMIF((OFFSET(CÁLCULO!$BC$15:$BU$15,$F47,0,OFFSET(ORÇAMENTO!$D$15,CRONO!$F47,0))),CRONO!W$12,OFFSET(CÁLCULO!$AJ$15:$BB$15,$F47,0,OFFSET(ORÇAMENTO!$D$15,CRONO!$F47,0)))
                +IF(AND($F49&lt;&gt;"",$F49&lt;&gt;0),
                        SUMIF(CÁLCULO!$BC$15:$BU$165,CRONO!W$12,CÁLCULO!$AJ$15:$BB$165)/(ORÇAMENTO!$X$15-_xlfn.SINGLE(CÁLCULO.TotalAdmLocal))*CRONO!$F49,
                        0),
                 W48*$S47),
          SUMIF(OFFSET($S49,1,0,$R47-2),($M47+1)&amp;"$",OFFSET(W49,1,0,$R47-2)))</f>
        <v>0</v>
      </c>
      <c r="X49" s="202" cm="1">
        <f t="array" aca="1" ref="X49" ca="1">IF($R47=2,
         IF(AND(ACOMPANHAMENTO="PLE",ISNUMBER($F47)),
                SUMIF((OFFSET(CÁLCULO!$BC$15:$BU$15,$F47,0,OFFSET(ORÇAMENTO!$D$15,CRONO!$F47,0))),CRONO!X$12,OFFSET(CÁLCULO!$AJ$15:$BB$15,$F47,0,OFFSET(ORÇAMENTO!$D$15,CRONO!$F47,0)))
                +IF(AND($F49&lt;&gt;"",$F49&lt;&gt;0),
                        SUMIF(CÁLCULO!$BC$15:$BU$165,CRONO!X$12,CÁLCULO!$AJ$15:$BB$165)/(ORÇAMENTO!$X$15-_xlfn.SINGLE(CÁLCULO.TotalAdmLocal))*CRONO!$F49,
                        0),
                 X48*$S47),
          SUMIF(OFFSET($S49,1,0,$R47-2),($M47+1)&amp;"$",OFFSET(X49,1,0,$R47-2)))</f>
        <v>0</v>
      </c>
      <c r="Y49" s="202" cm="1">
        <f t="array" aca="1" ref="Y49" ca="1">IF($R47=2,
         IF(AND(ACOMPANHAMENTO="PLE",ISNUMBER($F47)),
                SUMIF((OFFSET(CÁLCULO!$BC$15:$BU$15,$F47,0,OFFSET(ORÇAMENTO!$D$15,CRONO!$F47,0))),CRONO!Y$12,OFFSET(CÁLCULO!$AJ$15:$BB$15,$F47,0,OFFSET(ORÇAMENTO!$D$15,CRONO!$F47,0)))
                +IF(AND($F49&lt;&gt;"",$F49&lt;&gt;0),
                        SUMIF(CÁLCULO!$BC$15:$BU$165,CRONO!Y$12,CÁLCULO!$AJ$15:$BB$165)/(ORÇAMENTO!$X$15-_xlfn.SINGLE(CÁLCULO.TotalAdmLocal))*CRONO!$F49,
                        0),
                 Y48*$S47),
          SUMIF(OFFSET($S49,1,0,$R47-2),($M47+1)&amp;"$",OFFSET(Y49,1,0,$R47-2)))</f>
        <v>0</v>
      </c>
      <c r="Z49" s="202" cm="1">
        <f t="array" aca="1" ref="Z49" ca="1">IF($R47=2,
         IF(AND(ACOMPANHAMENTO="PLE",ISNUMBER($F47)),
                SUMIF((OFFSET(CÁLCULO!$BC$15:$BU$15,$F47,0,OFFSET(ORÇAMENTO!$D$15,CRONO!$F47,0))),CRONO!Z$12,OFFSET(CÁLCULO!$AJ$15:$BB$15,$F47,0,OFFSET(ORÇAMENTO!$D$15,CRONO!$F47,0)))
                +IF(AND($F49&lt;&gt;"",$F49&lt;&gt;0),
                        SUMIF(CÁLCULO!$BC$15:$BU$165,CRONO!Z$12,CÁLCULO!$AJ$15:$BB$165)/(ORÇAMENTO!$X$15-_xlfn.SINGLE(CÁLCULO.TotalAdmLocal))*CRONO!$F49,
                        0),
                 Z48*$S47),
          SUMIF(OFFSET($S49,1,0,$R47-2),($M47+1)&amp;"$",OFFSET(Z49,1,0,$R47-2)))</f>
        <v>0</v>
      </c>
      <c r="AA49" s="202" cm="1">
        <f t="array" aca="1" ref="AA49" ca="1">IF($R47=2,
         IF(AND(ACOMPANHAMENTO="PLE",ISNUMBER($F47)),
                SUMIF((OFFSET(CÁLCULO!$BC$15:$BU$15,$F47,0,OFFSET(ORÇAMENTO!$D$15,CRONO!$F47,0))),CRONO!AA$12,OFFSET(CÁLCULO!$AJ$15:$BB$15,$F47,0,OFFSET(ORÇAMENTO!$D$15,CRONO!$F47,0)))
                +IF(AND($F49&lt;&gt;"",$F49&lt;&gt;0),
                        SUMIF(CÁLCULO!$BC$15:$BU$165,CRONO!AA$12,CÁLCULO!$AJ$15:$BB$165)/(ORÇAMENTO!$X$15-_xlfn.SINGLE(CÁLCULO.TotalAdmLocal))*CRONO!$F49,
                        0),
                 AA48*$S47),
          SUMIF(OFFSET($S49,1,0,$R47-2),($M47+1)&amp;"$",OFFSET(AA49,1,0,$R47-2)))</f>
        <v>0</v>
      </c>
      <c r="AB49" s="202" cm="1">
        <f t="array" aca="1" ref="AB49" ca="1">IF($R47=2,
         IF(AND(ACOMPANHAMENTO="PLE",ISNUMBER($F47)),
                SUMIF((OFFSET(CÁLCULO!$BC$15:$BU$15,$F47,0,OFFSET(ORÇAMENTO!$D$15,CRONO!$F47,0))),CRONO!AB$12,OFFSET(CÁLCULO!$AJ$15:$BB$15,$F47,0,OFFSET(ORÇAMENTO!$D$15,CRONO!$F47,0)))
                +IF(AND($F49&lt;&gt;"",$F49&lt;&gt;0),
                        SUMIF(CÁLCULO!$BC$15:$BU$165,CRONO!AB$12,CÁLCULO!$AJ$15:$BB$165)/(ORÇAMENTO!$X$15-_xlfn.SINGLE(CÁLCULO.TotalAdmLocal))*CRONO!$F49,
                        0),
                 AB48*$S47),
          SUMIF(OFFSET($S49,1,0,$R47-2),($M47+1)&amp;"$",OFFSET(AB49,1,0,$R47-2)))</f>
        <v>0</v>
      </c>
      <c r="AC49" s="202" cm="1">
        <f t="array" aca="1" ref="AC49" ca="1">IF($R47=2,
         IF(AND(ACOMPANHAMENTO="PLE",ISNUMBER($F47)),
                SUMIF((OFFSET(CÁLCULO!$BC$15:$BU$15,$F47,0,OFFSET(ORÇAMENTO!$D$15,CRONO!$F47,0))),CRONO!AC$12,OFFSET(CÁLCULO!$AJ$15:$BB$15,$F47,0,OFFSET(ORÇAMENTO!$D$15,CRONO!$F47,0)))
                +IF(AND($F49&lt;&gt;"",$F49&lt;&gt;0),
                        SUMIF(CÁLCULO!$BC$15:$BU$165,CRONO!AC$12,CÁLCULO!$AJ$15:$BB$165)/(ORÇAMENTO!$X$15-_xlfn.SINGLE(CÁLCULO.TotalAdmLocal))*CRONO!$F49,
                        0),
                 AC48*$S47),
          SUMIF(OFFSET($S49,1,0,$R47-2),($M47+1)&amp;"$",OFFSET(AC49,1,0,$R47-2)))</f>
        <v>0</v>
      </c>
      <c r="AD49" s="202" cm="1">
        <f t="array" aca="1" ref="AD49" ca="1">IF($R47=2,
         IF(AND(ACOMPANHAMENTO="PLE",ISNUMBER($F47)),
                SUMIF((OFFSET(CÁLCULO!$BC$15:$BU$15,$F47,0,OFFSET(ORÇAMENTO!$D$15,CRONO!$F47,0))),CRONO!AD$12,OFFSET(CÁLCULO!$AJ$15:$BB$15,$F47,0,OFFSET(ORÇAMENTO!$D$15,CRONO!$F47,0)))
                +IF(AND($F49&lt;&gt;"",$F49&lt;&gt;0),
                        SUMIF(CÁLCULO!$BC$15:$BU$165,CRONO!AD$12,CÁLCULO!$AJ$15:$BB$165)/(ORÇAMENTO!$X$15-_xlfn.SINGLE(CÁLCULO.TotalAdmLocal))*CRONO!$F49,
                        0),
                 AD48*$S47),
          SUMIF(OFFSET($S49,1,0,$R47-2),($M47+1)&amp;"$",OFFSET(AD49,1,0,$R47-2)))</f>
        <v>0</v>
      </c>
      <c r="AE49" s="202" cm="1">
        <f t="array" aca="1" ref="AE49" ca="1">IF($R47=2,
         IF(AND(ACOMPANHAMENTO="PLE",ISNUMBER($F47)),
                SUMIF((OFFSET(CÁLCULO!$BC$15:$BU$15,$F47,0,OFFSET(ORÇAMENTO!$D$15,CRONO!$F47,0))),CRONO!AE$12,OFFSET(CÁLCULO!$AJ$15:$BB$15,$F47,0,OFFSET(ORÇAMENTO!$D$15,CRONO!$F47,0)))
                +IF(AND($F49&lt;&gt;"",$F49&lt;&gt;0),
                        SUMIF(CÁLCULO!$BC$15:$BU$165,CRONO!AE$12,CÁLCULO!$AJ$15:$BB$165)/(ORÇAMENTO!$X$15-_xlfn.SINGLE(CÁLCULO.TotalAdmLocal))*CRONO!$F49,
                        0),
                 AE48*$S47),
          SUMIF(OFFSET($S49,1,0,$R47-2),($M47+1)&amp;"$",OFFSET(AE49,1,0,$R47-2)))</f>
        <v>0</v>
      </c>
      <c r="AF49" s="202" cm="1">
        <f t="array" aca="1" ref="AF49" ca="1">IF($R47=2,
         IF(AND(ACOMPANHAMENTO="PLE",ISNUMBER($F47)),
                SUMIF((OFFSET(CÁLCULO!$BC$15:$BU$15,$F47,0,OFFSET(ORÇAMENTO!$D$15,CRONO!$F47,0))),CRONO!AF$12,OFFSET(CÁLCULO!$AJ$15:$BB$15,$F47,0,OFFSET(ORÇAMENTO!$D$15,CRONO!$F47,0)))
                +IF(AND($F49&lt;&gt;"",$F49&lt;&gt;0),
                        SUMIF(CÁLCULO!$BC$15:$BU$165,CRONO!AF$12,CÁLCULO!$AJ$15:$BB$165)/(ORÇAMENTO!$X$15-_xlfn.SINGLE(CÁLCULO.TotalAdmLocal))*CRONO!$F49,
                        0),
                 AF48*$S47),
          SUMIF(OFFSET($S49,1,0,$R47-2),($M47+1)&amp;"$",OFFSET(AF49,1,0,$R47-2)))</f>
        <v>0</v>
      </c>
      <c r="AG49" s="534"/>
    </row>
    <row r="50" spans="1:33" x14ac:dyDescent="0.25">
      <c r="A50" s="186" t="e">
        <f ca="1">IF($M50&gt;1,_xlfn.CONCAT($I50," ",$J50),"")</f>
        <v>#NAME?</v>
      </c>
      <c r="B50" s="185">
        <f t="shared" ref="B50" ca="1" si="71">OFFSET(B50,-3,0)+1</f>
        <v>13</v>
      </c>
      <c r="C50" s="185">
        <f ca="1">IF($R50&lt;&gt;2,0,IF($S50=0,1,IF(F51&gt;0,OFFSET(QCI!$M$13,SUBSTITUTE(F51,".",""),0),OFFSET(ORÇAMENTO!$AA$15,CRONO!$F50,0))/$S50))</f>
        <v>0.27621385324224024</v>
      </c>
      <c r="D50" s="185">
        <f ca="1">IF($R50&lt;&gt;2,0,IF($S50=0,1,IF(F51&gt;0,OFFSET(QCI!$N$13,SUBSTITUTE(F51,".",""),0),OFFSET(ORÇAMENTO!$AB$15,CRONO!$F50,0))/$S50))</f>
        <v>0</v>
      </c>
      <c r="E50" s="188" cm="1">
        <f t="array" aca="1" ref="E50" ca="1">IF(AND($R50=2,ACOMPANHAMENTO="BM"),ROUND(E51,4),E52/$S50)</f>
        <v>0</v>
      </c>
      <c r="F50" s="185">
        <f ca="1">IF(B50&lt;=ORÇAMENTO.MáximoListaCrono,MATCH(B50,ORÇAMENTO.ListaCrono,0),NA())</f>
        <v>59</v>
      </c>
      <c r="G50" s="185" t="str">
        <f t="shared" ref="G50" ca="1" si="72">IF(AND($F51&lt;&gt;-1,$S50&gt;0),"F","")</f>
        <v>F</v>
      </c>
      <c r="H50" s="189" t="str" cm="1">
        <f t="array" aca="1" ref="H50" ca="1">IF(OR(S50=0,S50=""),"Linha",IF(AND(OR(ACOMPANHAMENTO="PLE",$R50&lt;&gt;2),$F51=0),"Linha",ROUND(1-SUM(U50:AG50),4)))</f>
        <v>Linha</v>
      </c>
      <c r="I50" s="190" t="str">
        <f ca="1">IF($F51=0,OFFSET(ORÇAMENTO!O$15,$F50,0),IF($F51&lt;&gt;-1,OFFSET(QCI!$D$13,$F51,0),""))</f>
        <v>2.4.</v>
      </c>
      <c r="J50" s="191" t="str">
        <f ca="1">IF($F51=0,OFFSET(ORÇAMENTO!R$15,$F50,0),IF($F51&lt;&gt;-1,OFFSET(QCI!$G$13,$F51,0),""))</f>
        <v>LOMBADAS TIPO A (3,70m de comprimento x 0,10m altura)</v>
      </c>
      <c r="K50" s="191"/>
      <c r="L50" s="191"/>
      <c r="M50" s="192">
        <f ca="1">IF($F51=0,OFFSET(ORÇAMENTO!C$15,$F50,0),1)</f>
        <v>2</v>
      </c>
      <c r="N50" s="193">
        <f ca="1">IF($F51=-1,0,IF(N$13&lt;=$M50,IF(ISERROR(MATCH(N$13,OFFSET($M50,1,0,ROW($M$95)-ROW($M50)-1),0)),ROW($M$95)-ROW($M50)-1,MATCH(N$13,OFFSET($M50,1,0,ROW($M$95)-ROW($M50)-1),0)-1),0))</f>
        <v>8</v>
      </c>
      <c r="O50" s="193">
        <f ca="1">IF($F51=-1,0,IF(O$13&lt;=$M50,IF(ISERROR(MATCH(O$13,OFFSET($M50,1,0,ROW($M$95)-ROW($M50)-1),0)),ROW($M$95)-ROW($M50)-1,MATCH(O$13,OFFSET($M50,1,0,ROW($M$95)-ROW($M50)-1),0)-1),0))</f>
        <v>2</v>
      </c>
      <c r="P50" s="193">
        <f ca="1">IF($F51=-1,0,IF(P$13&lt;=$M50,IF(ISERROR(MATCH(P$13,OFFSET($M50,1,0,ROW($M$95)-ROW($M50)-1),0)),ROW($M$95)-ROW($M50)-1,MATCH(P$13,OFFSET($M50,1,0,ROW($M$95)-ROW($M50)-1),0)-1),0))</f>
        <v>0</v>
      </c>
      <c r="Q50" s="193">
        <f ca="1">IF($F51=-1,0,IF(Q$13&lt;=$M50,IF(ISERROR(MATCH(Q$13,OFFSET($M50,1,0,ROW($M$95)-ROW($M50)-1),0)),ROW($M$95)-ROW($M50)-1,MATCH(Q$13,OFFSET($M50,1,0,ROW($M$95)-ROW($M50)-1),0)-1),0))</f>
        <v>0</v>
      </c>
      <c r="R50" s="193">
        <f t="shared" ref="R50" ca="1" si="73">MIN(OFFSET(M50,0,1,,M50))</f>
        <v>2</v>
      </c>
      <c r="S50" s="194">
        <f ca="1">IF($F51=0,OFFSET(ORÇAMENTO!X$15,$F50,0),IF($F51&lt;&gt;-1,OFFSET(QCI!$O$13,$F51,0),""))</f>
        <v>5117.83</v>
      </c>
      <c r="T50" s="195" t="s">
        <v>785</v>
      </c>
      <c r="U50" s="188" cm="1">
        <f t="array" aca="1" ref="U50" ca="1">IF(AND($R50=2,ACOMPANHAMENTO="BM"),ROUND(U51,4),U52/$S50)</f>
        <v>0</v>
      </c>
      <c r="V50" s="188" cm="1">
        <f t="array" aca="1" ref="V50" ca="1">IF(AND($R50=2,ACOMPANHAMENTO="BM"),ROUND(V51,4),V52/$S50)</f>
        <v>1</v>
      </c>
      <c r="W50" s="188" cm="1">
        <f t="array" aca="1" ref="W50" ca="1">IF(AND($R50=2,ACOMPANHAMENTO="BM"),ROUND(W51,4),W52/$S50)</f>
        <v>0</v>
      </c>
      <c r="X50" s="188" cm="1">
        <f t="array" aca="1" ref="X50" ca="1">IF(AND($R50=2,ACOMPANHAMENTO="BM"),ROUND(X51,4),X52/$S50)</f>
        <v>0</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hidden="1" customHeight="1" x14ac:dyDescent="0.25">
      <c r="E51" s="587"/>
      <c r="F51" s="185">
        <f ca="1">IF(ISERROR(F50),IF(1+COUNTIF($M$13:OFFSET(M50,-1,0),1)&lt;=MAX(QCI!$D$13:$D$24),1+COUNTIF($M$13:OFFSET(M50,-1,0),1),-1),0)</f>
        <v>0</v>
      </c>
      <c r="G51" s="185" t="str" cm="1">
        <f t="array" aca="1" ref="G51" ca="1">IF(ACOMPANHAMENTO="BM",OFFSET(G51,-1,0),"")</f>
        <v/>
      </c>
      <c r="H51" s="196" t="str" cm="1">
        <f t="array" aca="1" ref="H51" ca="1">IF(OR(S50=0,S50=""),"vazia",IF(AND(OR(ACOMPANHAMENTO="PLE",$R50&lt;&gt;2),$F51=0),"calculada","--&gt;"))</f>
        <v>calculada</v>
      </c>
      <c r="I51" s="197"/>
      <c r="J51" s="198" t="str">
        <f t="shared" ref="J51" ca="1" si="74">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hidden="1" customHeight="1" x14ac:dyDescent="0.25">
      <c r="D52" s="533"/>
      <c r="E52" s="202" cm="1">
        <f t="array" aca="1" ref="E52" ca="1">IF($R50=2,
         IF(AND(ACOMPANHAMENTO="PLE",ISNUMBER($F50)),
                SUMIF((OFFSET(CÁLCULO!$BC$15:$BU$15,$F50,0,OFFSET(ORÇAMENTO!$D$15,CRONO!$F50,0))),CRONO!E$12,OFFSET(CÁLCULO!$AJ$15:$BB$15,$F50,0,OFFSET(ORÇAMENTO!$D$15,CRONO!$F50,0)))
                +IF(AND($F52&lt;&gt;"",$F52&lt;&gt;0),
                        SUMIF(CÁLCULO!$BC$15:$BU$165,CRONO!E$12,CÁLCULO!$AJ$15:$BB$165)/(ORÇAMENTO!$X$15-_xlfn.SINGLE(CÁLCULO.TotalAdmLocal))*CRONO!$F52,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5">M50&amp;"$"</f>
        <v>2$</v>
      </c>
      <c r="T52" s="205"/>
      <c r="U52" s="202" cm="1">
        <f t="array" aca="1" ref="U52" ca="1">IF($R50=2,
         IF(AND(ACOMPANHAMENTO="PLE",ISNUMBER($F50)),
                SUMIF((OFFSET(CÁLCULO!$BC$15:$BU$15,$F50,0,OFFSET(ORÇAMENTO!$D$15,CRONO!$F50,0))),CRONO!U$12,OFFSET(CÁLCULO!$AJ$15:$BB$15,$F50,0,OFFSET(ORÇAMENTO!$D$15,CRONO!$F50,0)))
                +IF(AND($F52&lt;&gt;"",$F52&lt;&gt;0),
                        SUMIF(CÁLCULO!$BC$15:$BU$165,CRONO!U$12,CÁLCULO!$AJ$15:$BB$165)/(ORÇAMENTO!$X$15-_xlfn.SINGLE(CÁLCULO.TotalAdmLocal))*CRONO!$F52,
                        0),
                 U51*$S50),
          SUMIF(OFFSET($S52,1,0,$R50-2),($M50+1)&amp;"$",OFFSET(U52,1,0,$R50-2)))</f>
        <v>0</v>
      </c>
      <c r="V52" s="202" cm="1">
        <f t="array" aca="1" ref="V52" ca="1">IF($R50=2,
         IF(AND(ACOMPANHAMENTO="PLE",ISNUMBER($F50)),
                SUMIF((OFFSET(CÁLCULO!$BC$15:$BU$15,$F50,0,OFFSET(ORÇAMENTO!$D$15,CRONO!$F50,0))),CRONO!V$12,OFFSET(CÁLCULO!$AJ$15:$BB$15,$F50,0,OFFSET(ORÇAMENTO!$D$15,CRONO!$F50,0)))
                +IF(AND($F52&lt;&gt;"",$F52&lt;&gt;0),
                        SUMIF(CÁLCULO!$BC$15:$BU$165,CRONO!V$12,CÁLCULO!$AJ$15:$BB$165)/(ORÇAMENTO!$X$15-_xlfn.SINGLE(CÁLCULO.TotalAdmLocal))*CRONO!$F52,
                        0),
                 V51*$S50),
          SUMIF(OFFSET($S52,1,0,$R50-2),($M50+1)&amp;"$",OFFSET(V52,1,0,$R50-2)))</f>
        <v>5117.83</v>
      </c>
      <c r="W52" s="202" cm="1">
        <f t="array" aca="1" ref="W52" ca="1">IF($R50=2,
         IF(AND(ACOMPANHAMENTO="PLE",ISNUMBER($F50)),
                SUMIF((OFFSET(CÁLCULO!$BC$15:$BU$15,$F50,0,OFFSET(ORÇAMENTO!$D$15,CRONO!$F50,0))),CRONO!W$12,OFFSET(CÁLCULO!$AJ$15:$BB$15,$F50,0,OFFSET(ORÇAMENTO!$D$15,CRONO!$F50,0)))
                +IF(AND($F52&lt;&gt;"",$F52&lt;&gt;0),
                        SUMIF(CÁLCULO!$BC$15:$BU$165,CRONO!W$12,CÁLCULO!$AJ$15:$BB$165)/(ORÇAMENTO!$X$15-_xlfn.SINGLE(CÁLCULO.TotalAdmLocal))*CRONO!$F52,
                        0),
                 W51*$S50),
          SUMIF(OFFSET($S52,1,0,$R50-2),($M50+1)&amp;"$",OFFSET(W52,1,0,$R50-2)))</f>
        <v>0</v>
      </c>
      <c r="X52" s="202" cm="1">
        <f t="array" aca="1" ref="X52" ca="1">IF($R50=2,
         IF(AND(ACOMPANHAMENTO="PLE",ISNUMBER($F50)),
                SUMIF((OFFSET(CÁLCULO!$BC$15:$BU$15,$F50,0,OFFSET(ORÇAMENTO!$D$15,CRONO!$F50,0))),CRONO!X$12,OFFSET(CÁLCULO!$AJ$15:$BB$15,$F50,0,OFFSET(ORÇAMENTO!$D$15,CRONO!$F50,0)))
                +IF(AND($F52&lt;&gt;"",$F52&lt;&gt;0),
                        SUMIF(CÁLCULO!$BC$15:$BU$165,CRONO!X$12,CÁLCULO!$AJ$15:$BB$165)/(ORÇAMENTO!$X$15-_xlfn.SINGLE(CÁLCULO.TotalAdmLocal))*CRONO!$F52,
                        0),
                 X51*$S50),
          SUMIF(OFFSET($S52,1,0,$R50-2),($M50+1)&amp;"$",OFFSET(X52,1,0,$R50-2)))</f>
        <v>0</v>
      </c>
      <c r="Y52" s="202" cm="1">
        <f t="array" aca="1" ref="Y52" ca="1">IF($R50=2,
         IF(AND(ACOMPANHAMENTO="PLE",ISNUMBER($F50)),
                SUMIF((OFFSET(CÁLCULO!$BC$15:$BU$15,$F50,0,OFFSET(ORÇAMENTO!$D$15,CRONO!$F50,0))),CRONO!Y$12,OFFSET(CÁLCULO!$AJ$15:$BB$15,$F50,0,OFFSET(ORÇAMENTO!$D$15,CRONO!$F50,0)))
                +IF(AND($F52&lt;&gt;"",$F52&lt;&gt;0),
                        SUMIF(CÁLCULO!$BC$15:$BU$165,CRONO!Y$12,CÁLCULO!$AJ$15:$BB$165)/(ORÇAMENTO!$X$15-_xlfn.SINGLE(CÁLCULO.TotalAdmLocal))*CRONO!$F52,
                        0),
                 Y51*$S50),
          SUMIF(OFFSET($S52,1,0,$R50-2),($M50+1)&amp;"$",OFFSET(Y52,1,0,$R50-2)))</f>
        <v>0</v>
      </c>
      <c r="Z52" s="202" cm="1">
        <f t="array" aca="1" ref="Z52" ca="1">IF($R50=2,
         IF(AND(ACOMPANHAMENTO="PLE",ISNUMBER($F50)),
                SUMIF((OFFSET(CÁLCULO!$BC$15:$BU$15,$F50,0,OFFSET(ORÇAMENTO!$D$15,CRONO!$F50,0))),CRONO!Z$12,OFFSET(CÁLCULO!$AJ$15:$BB$15,$F50,0,OFFSET(ORÇAMENTO!$D$15,CRONO!$F50,0)))
                +IF(AND($F52&lt;&gt;"",$F52&lt;&gt;0),
                        SUMIF(CÁLCULO!$BC$15:$BU$165,CRONO!Z$12,CÁLCULO!$AJ$15:$BB$165)/(ORÇAMENTO!$X$15-_xlfn.SINGLE(CÁLCULO.TotalAdmLocal))*CRONO!$F52,
                        0),
                 Z51*$S50),
          SUMIF(OFFSET($S52,1,0,$R50-2),($M50+1)&amp;"$",OFFSET(Z52,1,0,$R50-2)))</f>
        <v>0</v>
      </c>
      <c r="AA52" s="202" cm="1">
        <f t="array" aca="1" ref="AA52" ca="1">IF($R50=2,
         IF(AND(ACOMPANHAMENTO="PLE",ISNUMBER($F50)),
                SUMIF((OFFSET(CÁLCULO!$BC$15:$BU$15,$F50,0,OFFSET(ORÇAMENTO!$D$15,CRONO!$F50,0))),CRONO!AA$12,OFFSET(CÁLCULO!$AJ$15:$BB$15,$F50,0,OFFSET(ORÇAMENTO!$D$15,CRONO!$F50,0)))
                +IF(AND($F52&lt;&gt;"",$F52&lt;&gt;0),
                        SUMIF(CÁLCULO!$BC$15:$BU$165,CRONO!AA$12,CÁLCULO!$AJ$15:$BB$165)/(ORÇAMENTO!$X$15-_xlfn.SINGLE(CÁLCULO.TotalAdmLocal))*CRONO!$F52,
                        0),
                 AA51*$S50),
          SUMIF(OFFSET($S52,1,0,$R50-2),($M50+1)&amp;"$",OFFSET(AA52,1,0,$R50-2)))</f>
        <v>0</v>
      </c>
      <c r="AB52" s="202" cm="1">
        <f t="array" aca="1" ref="AB52" ca="1">IF($R50=2,
         IF(AND(ACOMPANHAMENTO="PLE",ISNUMBER($F50)),
                SUMIF((OFFSET(CÁLCULO!$BC$15:$BU$15,$F50,0,OFFSET(ORÇAMENTO!$D$15,CRONO!$F50,0))),CRONO!AB$12,OFFSET(CÁLCULO!$AJ$15:$BB$15,$F50,0,OFFSET(ORÇAMENTO!$D$15,CRONO!$F50,0)))
                +IF(AND($F52&lt;&gt;"",$F52&lt;&gt;0),
                        SUMIF(CÁLCULO!$BC$15:$BU$165,CRONO!AB$12,CÁLCULO!$AJ$15:$BB$165)/(ORÇAMENTO!$X$15-_xlfn.SINGLE(CÁLCULO.TotalAdmLocal))*CRONO!$F52,
                        0),
                 AB51*$S50),
          SUMIF(OFFSET($S52,1,0,$R50-2),($M50+1)&amp;"$",OFFSET(AB52,1,0,$R50-2)))</f>
        <v>0</v>
      </c>
      <c r="AC52" s="202" cm="1">
        <f t="array" aca="1" ref="AC52" ca="1">IF($R50=2,
         IF(AND(ACOMPANHAMENTO="PLE",ISNUMBER($F50)),
                SUMIF((OFFSET(CÁLCULO!$BC$15:$BU$15,$F50,0,OFFSET(ORÇAMENTO!$D$15,CRONO!$F50,0))),CRONO!AC$12,OFFSET(CÁLCULO!$AJ$15:$BB$15,$F50,0,OFFSET(ORÇAMENTO!$D$15,CRONO!$F50,0)))
                +IF(AND($F52&lt;&gt;"",$F52&lt;&gt;0),
                        SUMIF(CÁLCULO!$BC$15:$BU$165,CRONO!AC$12,CÁLCULO!$AJ$15:$BB$165)/(ORÇAMENTO!$X$15-_xlfn.SINGLE(CÁLCULO.TotalAdmLocal))*CRONO!$F52,
                        0),
                 AC51*$S50),
          SUMIF(OFFSET($S52,1,0,$R50-2),($M50+1)&amp;"$",OFFSET(AC52,1,0,$R50-2)))</f>
        <v>0</v>
      </c>
      <c r="AD52" s="202" cm="1">
        <f t="array" aca="1" ref="AD52" ca="1">IF($R50=2,
         IF(AND(ACOMPANHAMENTO="PLE",ISNUMBER($F50)),
                SUMIF((OFFSET(CÁLCULO!$BC$15:$BU$15,$F50,0,OFFSET(ORÇAMENTO!$D$15,CRONO!$F50,0))),CRONO!AD$12,OFFSET(CÁLCULO!$AJ$15:$BB$15,$F50,0,OFFSET(ORÇAMENTO!$D$15,CRONO!$F50,0)))
                +IF(AND($F52&lt;&gt;"",$F52&lt;&gt;0),
                        SUMIF(CÁLCULO!$BC$15:$BU$165,CRONO!AD$12,CÁLCULO!$AJ$15:$BB$165)/(ORÇAMENTO!$X$15-_xlfn.SINGLE(CÁLCULO.TotalAdmLocal))*CRONO!$F52,
                        0),
                 AD51*$S50),
          SUMIF(OFFSET($S52,1,0,$R50-2),($M50+1)&amp;"$",OFFSET(AD52,1,0,$R50-2)))</f>
        <v>0</v>
      </c>
      <c r="AE52" s="202" cm="1">
        <f t="array" aca="1" ref="AE52" ca="1">IF($R50=2,
         IF(AND(ACOMPANHAMENTO="PLE",ISNUMBER($F50)),
                SUMIF((OFFSET(CÁLCULO!$BC$15:$BU$15,$F50,0,OFFSET(ORÇAMENTO!$D$15,CRONO!$F50,0))),CRONO!AE$12,OFFSET(CÁLCULO!$AJ$15:$BB$15,$F50,0,OFFSET(ORÇAMENTO!$D$15,CRONO!$F50,0)))
                +IF(AND($F52&lt;&gt;"",$F52&lt;&gt;0),
                        SUMIF(CÁLCULO!$BC$15:$BU$165,CRONO!AE$12,CÁLCULO!$AJ$15:$BB$165)/(ORÇAMENTO!$X$15-_xlfn.SINGLE(CÁLCULO.TotalAdmLocal))*CRONO!$F52,
                        0),
                 AE51*$S50),
          SUMIF(OFFSET($S52,1,0,$R50-2),($M50+1)&amp;"$",OFFSET(AE52,1,0,$R50-2)))</f>
        <v>0</v>
      </c>
      <c r="AF52" s="202" cm="1">
        <f t="array" aca="1" ref="AF52" ca="1">IF($R50=2,
         IF(AND(ACOMPANHAMENTO="PLE",ISNUMBER($F50)),
                SUMIF((OFFSET(CÁLCULO!$BC$15:$BU$15,$F50,0,OFFSET(ORÇAMENTO!$D$15,CRONO!$F50,0))),CRONO!AF$12,OFFSET(CÁLCULO!$AJ$15:$BB$15,$F50,0,OFFSET(ORÇAMENTO!$D$15,CRONO!$F50,0)))
                +IF(AND($F52&lt;&gt;"",$F52&lt;&gt;0),
                        SUMIF(CÁLCULO!$BC$15:$BU$165,CRONO!AF$12,CÁLCULO!$AJ$15:$BB$165)/(ORÇAMENTO!$X$15-_xlfn.SINGLE(CÁLCULO.TotalAdmLocal))*CRONO!$F52,
                        0),
                 AF51*$S50),
          SUMIF(OFFSET($S52,1,0,$R50-2),($M50+1)&amp;"$",OFFSET(AF52,1,0,$R50-2)))</f>
        <v>0</v>
      </c>
      <c r="AG52" s="534"/>
    </row>
    <row r="53" spans="1:33" x14ac:dyDescent="0.25">
      <c r="A53" s="186" t="e">
        <f ca="1">IF($M53&gt;1,_xlfn.CONCAT($I53," ",$J53),"")</f>
        <v>#NAME?</v>
      </c>
      <c r="B53" s="185">
        <f t="shared" ref="B53" ca="1" si="76">OFFSET(B53,-3,0)+1</f>
        <v>14</v>
      </c>
      <c r="C53" s="185">
        <f ca="1">IF($R53&lt;&gt;2,0,IF($S53=0,1,IF(F54&gt;0,OFFSET(QCI!$M$13,SUBSTITUTE(F54,".",""),0),OFFSET(ORÇAMENTO!$AA$15,CRONO!$F53,0))/$S53))</f>
        <v>0.27621385324224018</v>
      </c>
      <c r="D53" s="185">
        <f ca="1">IF($R53&lt;&gt;2,0,IF($S53=0,1,IF(F54&gt;0,OFFSET(QCI!$N$13,SUBSTITUTE(F54,".",""),0),OFFSET(ORÇAMENTO!$AB$15,CRONO!$F53,0))/$S53))</f>
        <v>0</v>
      </c>
      <c r="E53" s="188" cm="1">
        <f t="array" aca="1" ref="E53" ca="1">IF(AND($R53=2,ACOMPANHAMENTO="BM"),ROUND(E54,4),E55/$S53)</f>
        <v>0</v>
      </c>
      <c r="F53" s="185">
        <f ca="1">IF(B53&lt;=ORÇAMENTO.MáximoListaCrono,MATCH(B53,ORÇAMENTO.ListaCrono,0),NA())</f>
        <v>67</v>
      </c>
      <c r="G53" s="185" t="str">
        <f t="shared" ref="G53" ca="1" si="77">IF(AND($F54&lt;&gt;-1,$S53&gt;0),"F","")</f>
        <v>F</v>
      </c>
      <c r="H53" s="189" t="str" cm="1">
        <f t="array" aca="1" ref="H53" ca="1">IF(OR(S53=0,S53=""),"Linha",IF(AND(OR(ACOMPANHAMENTO="PLE",$R53&lt;&gt;2),$F54=0),"Linha",ROUND(1-SUM(U53:AG53),4)))</f>
        <v>Linha</v>
      </c>
      <c r="I53" s="190" t="str">
        <f ca="1">IF($F54=0,OFFSET(ORÇAMENTO!O$15,$F53,0),IF($F54&lt;&gt;-1,OFFSET(QCI!$D$13,$F54,0),""))</f>
        <v>2.5.</v>
      </c>
      <c r="J53" s="191" t="str">
        <f ca="1">IF($F54=0,OFFSET(ORÇAMENTO!R$15,$F53,0),IF($F54&lt;&gt;-1,OFFSET(QCI!$G$13,$F54,0),""))</f>
        <v>SINALIZAÇÃO</v>
      </c>
      <c r="K53" s="191"/>
      <c r="L53" s="191"/>
      <c r="M53" s="192">
        <f ca="1">IF($F54=0,OFFSET(ORÇAMENTO!C$15,$F53,0),1)</f>
        <v>2</v>
      </c>
      <c r="N53" s="193">
        <f ca="1">IF($F54=-1,0,IF(N$13&lt;=$M53,IF(ISERROR(MATCH(N$13,OFFSET($M53,1,0,ROW($M$95)-ROW($M53)-1),0)),ROW($M$95)-ROW($M53)-1,MATCH(N$13,OFFSET($M53,1,0,ROW($M$95)-ROW($M53)-1),0)-1),0))</f>
        <v>5</v>
      </c>
      <c r="O53" s="193">
        <f ca="1">IF($F54=-1,0,IF(O$13&lt;=$M53,IF(ISERROR(MATCH(O$13,OFFSET($M53,1,0,ROW($M$95)-ROW($M53)-1),0)),ROW($M$95)-ROW($M53)-1,MATCH(O$13,OFFSET($M53,1,0,ROW($M$95)-ROW($M53)-1),0)-1),0))</f>
        <v>2</v>
      </c>
      <c r="P53" s="193">
        <f ca="1">IF($F54=-1,0,IF(P$13&lt;=$M53,IF(ISERROR(MATCH(P$13,OFFSET($M53,1,0,ROW($M$95)-ROW($M53)-1),0)),ROW($M$95)-ROW($M53)-1,MATCH(P$13,OFFSET($M53,1,0,ROW($M$95)-ROW($M53)-1),0)-1),0))</f>
        <v>0</v>
      </c>
      <c r="Q53" s="193">
        <f ca="1">IF($F54=-1,0,IF(Q$13&lt;=$M53,IF(ISERROR(MATCH(Q$13,OFFSET($M53,1,0,ROW($M$95)-ROW($M53)-1),0)),ROW($M$95)-ROW($M53)-1,MATCH(Q$13,OFFSET($M53,1,0,ROW($M$95)-ROW($M53)-1),0)-1),0))</f>
        <v>0</v>
      </c>
      <c r="R53" s="193">
        <f t="shared" ref="R53" ca="1" si="78">MIN(OFFSET(M53,0,1,,M53))</f>
        <v>2</v>
      </c>
      <c r="S53" s="194">
        <f ca="1">IF($F54=0,OFFSET(ORÇAMENTO!X$15,$F53,0),IF($F54&lt;&gt;-1,OFFSET(QCI!$O$13,$F54,0),""))</f>
        <v>9352.3700000000008</v>
      </c>
      <c r="T53" s="195" t="s">
        <v>785</v>
      </c>
      <c r="U53" s="188" cm="1">
        <f t="array" aca="1" ref="U53" ca="1">IF(AND($R53=2,ACOMPANHAMENTO="BM"),ROUND(U54,4),U55/$S53)</f>
        <v>0</v>
      </c>
      <c r="V53" s="188" cm="1">
        <f t="array" aca="1" ref="V53" ca="1">IF(AND($R53=2,ACOMPANHAMENTO="BM"),ROUND(V54,4),V55/$S53)</f>
        <v>0.99999999999999978</v>
      </c>
      <c r="W53" s="188" cm="1">
        <f t="array" aca="1" ref="W53" ca="1">IF(AND($R53=2,ACOMPANHAMENTO="BM"),ROUND(W54,4),W55/$S53)</f>
        <v>0</v>
      </c>
      <c r="X53" s="188" cm="1">
        <f t="array" aca="1" ref="X53" ca="1">IF(AND($R53=2,ACOMPANHAMENTO="BM"),ROUND(X54,4),X55/$S53)</f>
        <v>0</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hidden="1" customHeight="1" x14ac:dyDescent="0.25">
      <c r="E54" s="587"/>
      <c r="F54" s="185">
        <f ca="1">IF(ISERROR(F53),IF(1+COUNTIF($M$13:OFFSET(M53,-1,0),1)&lt;=MAX(QCI!$D$13:$D$24),1+COUNTIF($M$13:OFFSET(M53,-1,0),1),-1),0)</f>
        <v>0</v>
      </c>
      <c r="G54" s="185" t="str" cm="1">
        <f t="array" aca="1" ref="G54" ca="1">IF(ACOMPANHAMENTO="BM",OFFSET(G54,-1,0),"")</f>
        <v/>
      </c>
      <c r="H54" s="196" t="str" cm="1">
        <f t="array" aca="1" ref="H54" ca="1">IF(OR(S53=0,S53=""),"vazia",IF(AND(OR(ACOMPANHAMENTO="PLE",$R53&lt;&gt;2),$F54=0),"calculada","--&gt;"))</f>
        <v>calculada</v>
      </c>
      <c r="I54" s="197"/>
      <c r="J54" s="198" t="str">
        <f t="shared" ref="J54" ca="1" si="79">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hidden="1" customHeight="1" x14ac:dyDescent="0.25">
      <c r="D55" s="533"/>
      <c r="E55" s="202" cm="1">
        <f t="array" aca="1" ref="E55" ca="1">IF($R53=2,
         IF(AND(ACOMPANHAMENTO="PLE",ISNUMBER($F53)),
                SUMIF((OFFSET(CÁLCULO!$BC$15:$BU$15,$F53,0,OFFSET(ORÇAMENTO!$D$15,CRONO!$F53,0))),CRONO!E$12,OFFSET(CÁLCULO!$AJ$15:$BB$15,$F53,0,OFFSET(ORÇAMENTO!$D$15,CRONO!$F53,0)))
                +IF(AND($F55&lt;&gt;"",$F55&lt;&gt;0),
                        SUMIF(CÁLCULO!$BC$15:$BU$165,CRONO!E$12,CÁLCULO!$AJ$15:$BB$165)/(ORÇAMENTO!$X$15-_xlfn.SINGLE(CÁLCULO.TotalAdmLocal))*CRONO!$F55,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0">M53&amp;"$"</f>
        <v>2$</v>
      </c>
      <c r="T55" s="205"/>
      <c r="U55" s="202" cm="1">
        <f t="array" aca="1" ref="U55" ca="1">IF($R53=2,
         IF(AND(ACOMPANHAMENTO="PLE",ISNUMBER($F53)),
                SUMIF((OFFSET(CÁLCULO!$BC$15:$BU$15,$F53,0,OFFSET(ORÇAMENTO!$D$15,CRONO!$F53,0))),CRONO!U$12,OFFSET(CÁLCULO!$AJ$15:$BB$15,$F53,0,OFFSET(ORÇAMENTO!$D$15,CRONO!$F53,0)))
                +IF(AND($F55&lt;&gt;"",$F55&lt;&gt;0),
                        SUMIF(CÁLCULO!$BC$15:$BU$165,CRONO!U$12,CÁLCULO!$AJ$15:$BB$165)/(ORÇAMENTO!$X$15-_xlfn.SINGLE(CÁLCULO.TotalAdmLocal))*CRONO!$F55,
                        0),
                 U54*$S53),
          SUMIF(OFFSET($S55,1,0,$R53-2),($M53+1)&amp;"$",OFFSET(U55,1,0,$R53-2)))</f>
        <v>0</v>
      </c>
      <c r="V55" s="202" cm="1">
        <f t="array" aca="1" ref="V55" ca="1">IF($R53=2,
         IF(AND(ACOMPANHAMENTO="PLE",ISNUMBER($F53)),
                SUMIF((OFFSET(CÁLCULO!$BC$15:$BU$15,$F53,0,OFFSET(ORÇAMENTO!$D$15,CRONO!$F53,0))),CRONO!V$12,OFFSET(CÁLCULO!$AJ$15:$BB$15,$F53,0,OFFSET(ORÇAMENTO!$D$15,CRONO!$F53,0)))
                +IF(AND($F55&lt;&gt;"",$F55&lt;&gt;0),
                        SUMIF(CÁLCULO!$BC$15:$BU$165,CRONO!V$12,CÁLCULO!$AJ$15:$BB$165)/(ORÇAMENTO!$X$15-_xlfn.SINGLE(CÁLCULO.TotalAdmLocal))*CRONO!$F55,
                        0),
                 V54*$S53),
          SUMIF(OFFSET($S55,1,0,$R53-2),($M53+1)&amp;"$",OFFSET(V55,1,0,$R53-2)))</f>
        <v>9352.369999999999</v>
      </c>
      <c r="W55" s="202" cm="1">
        <f t="array" aca="1" ref="W55" ca="1">IF($R53=2,
         IF(AND(ACOMPANHAMENTO="PLE",ISNUMBER($F53)),
                SUMIF((OFFSET(CÁLCULO!$BC$15:$BU$15,$F53,0,OFFSET(ORÇAMENTO!$D$15,CRONO!$F53,0))),CRONO!W$12,OFFSET(CÁLCULO!$AJ$15:$BB$15,$F53,0,OFFSET(ORÇAMENTO!$D$15,CRONO!$F53,0)))
                +IF(AND($F55&lt;&gt;"",$F55&lt;&gt;0),
                        SUMIF(CÁLCULO!$BC$15:$BU$165,CRONO!W$12,CÁLCULO!$AJ$15:$BB$165)/(ORÇAMENTO!$X$15-_xlfn.SINGLE(CÁLCULO.TotalAdmLocal))*CRONO!$F55,
                        0),
                 W54*$S53),
          SUMIF(OFFSET($S55,1,0,$R53-2),($M53+1)&amp;"$",OFFSET(W55,1,0,$R53-2)))</f>
        <v>0</v>
      </c>
      <c r="X55" s="202" cm="1">
        <f t="array" aca="1" ref="X55" ca="1">IF($R53=2,
         IF(AND(ACOMPANHAMENTO="PLE",ISNUMBER($F53)),
                SUMIF((OFFSET(CÁLCULO!$BC$15:$BU$15,$F53,0,OFFSET(ORÇAMENTO!$D$15,CRONO!$F53,0))),CRONO!X$12,OFFSET(CÁLCULO!$AJ$15:$BB$15,$F53,0,OFFSET(ORÇAMENTO!$D$15,CRONO!$F53,0)))
                +IF(AND($F55&lt;&gt;"",$F55&lt;&gt;0),
                        SUMIF(CÁLCULO!$BC$15:$BU$165,CRONO!X$12,CÁLCULO!$AJ$15:$BB$165)/(ORÇAMENTO!$X$15-_xlfn.SINGLE(CÁLCULO.TotalAdmLocal))*CRONO!$F55,
                        0),
                 X54*$S53),
          SUMIF(OFFSET($S55,1,0,$R53-2),($M53+1)&amp;"$",OFFSET(X55,1,0,$R53-2)))</f>
        <v>0</v>
      </c>
      <c r="Y55" s="202" cm="1">
        <f t="array" aca="1" ref="Y55" ca="1">IF($R53=2,
         IF(AND(ACOMPANHAMENTO="PLE",ISNUMBER($F53)),
                SUMIF((OFFSET(CÁLCULO!$BC$15:$BU$15,$F53,0,OFFSET(ORÇAMENTO!$D$15,CRONO!$F53,0))),CRONO!Y$12,OFFSET(CÁLCULO!$AJ$15:$BB$15,$F53,0,OFFSET(ORÇAMENTO!$D$15,CRONO!$F53,0)))
                +IF(AND($F55&lt;&gt;"",$F55&lt;&gt;0),
                        SUMIF(CÁLCULO!$BC$15:$BU$165,CRONO!Y$12,CÁLCULO!$AJ$15:$BB$165)/(ORÇAMENTO!$X$15-_xlfn.SINGLE(CÁLCULO.TotalAdmLocal))*CRONO!$F55,
                        0),
                 Y54*$S53),
          SUMIF(OFFSET($S55,1,0,$R53-2),($M53+1)&amp;"$",OFFSET(Y55,1,0,$R53-2)))</f>
        <v>0</v>
      </c>
      <c r="Z55" s="202" cm="1">
        <f t="array" aca="1" ref="Z55" ca="1">IF($R53=2,
         IF(AND(ACOMPANHAMENTO="PLE",ISNUMBER($F53)),
                SUMIF((OFFSET(CÁLCULO!$BC$15:$BU$15,$F53,0,OFFSET(ORÇAMENTO!$D$15,CRONO!$F53,0))),CRONO!Z$12,OFFSET(CÁLCULO!$AJ$15:$BB$15,$F53,0,OFFSET(ORÇAMENTO!$D$15,CRONO!$F53,0)))
                +IF(AND($F55&lt;&gt;"",$F55&lt;&gt;0),
                        SUMIF(CÁLCULO!$BC$15:$BU$165,CRONO!Z$12,CÁLCULO!$AJ$15:$BB$165)/(ORÇAMENTO!$X$15-_xlfn.SINGLE(CÁLCULO.TotalAdmLocal))*CRONO!$F55,
                        0),
                 Z54*$S53),
          SUMIF(OFFSET($S55,1,0,$R53-2),($M53+1)&amp;"$",OFFSET(Z55,1,0,$R53-2)))</f>
        <v>0</v>
      </c>
      <c r="AA55" s="202" cm="1">
        <f t="array" aca="1" ref="AA55" ca="1">IF($R53=2,
         IF(AND(ACOMPANHAMENTO="PLE",ISNUMBER($F53)),
                SUMIF((OFFSET(CÁLCULO!$BC$15:$BU$15,$F53,0,OFFSET(ORÇAMENTO!$D$15,CRONO!$F53,0))),CRONO!AA$12,OFFSET(CÁLCULO!$AJ$15:$BB$15,$F53,0,OFFSET(ORÇAMENTO!$D$15,CRONO!$F53,0)))
                +IF(AND($F55&lt;&gt;"",$F55&lt;&gt;0),
                        SUMIF(CÁLCULO!$BC$15:$BU$165,CRONO!AA$12,CÁLCULO!$AJ$15:$BB$165)/(ORÇAMENTO!$X$15-_xlfn.SINGLE(CÁLCULO.TotalAdmLocal))*CRONO!$F55,
                        0),
                 AA54*$S53),
          SUMIF(OFFSET($S55,1,0,$R53-2),($M53+1)&amp;"$",OFFSET(AA55,1,0,$R53-2)))</f>
        <v>0</v>
      </c>
      <c r="AB55" s="202" cm="1">
        <f t="array" aca="1" ref="AB55" ca="1">IF($R53=2,
         IF(AND(ACOMPANHAMENTO="PLE",ISNUMBER($F53)),
                SUMIF((OFFSET(CÁLCULO!$BC$15:$BU$15,$F53,0,OFFSET(ORÇAMENTO!$D$15,CRONO!$F53,0))),CRONO!AB$12,OFFSET(CÁLCULO!$AJ$15:$BB$15,$F53,0,OFFSET(ORÇAMENTO!$D$15,CRONO!$F53,0)))
                +IF(AND($F55&lt;&gt;"",$F55&lt;&gt;0),
                        SUMIF(CÁLCULO!$BC$15:$BU$165,CRONO!AB$12,CÁLCULO!$AJ$15:$BB$165)/(ORÇAMENTO!$X$15-_xlfn.SINGLE(CÁLCULO.TotalAdmLocal))*CRONO!$F55,
                        0),
                 AB54*$S53),
          SUMIF(OFFSET($S55,1,0,$R53-2),($M53+1)&amp;"$",OFFSET(AB55,1,0,$R53-2)))</f>
        <v>0</v>
      </c>
      <c r="AC55" s="202" cm="1">
        <f t="array" aca="1" ref="AC55" ca="1">IF($R53=2,
         IF(AND(ACOMPANHAMENTO="PLE",ISNUMBER($F53)),
                SUMIF((OFFSET(CÁLCULO!$BC$15:$BU$15,$F53,0,OFFSET(ORÇAMENTO!$D$15,CRONO!$F53,0))),CRONO!AC$12,OFFSET(CÁLCULO!$AJ$15:$BB$15,$F53,0,OFFSET(ORÇAMENTO!$D$15,CRONO!$F53,0)))
                +IF(AND($F55&lt;&gt;"",$F55&lt;&gt;0),
                        SUMIF(CÁLCULO!$BC$15:$BU$165,CRONO!AC$12,CÁLCULO!$AJ$15:$BB$165)/(ORÇAMENTO!$X$15-_xlfn.SINGLE(CÁLCULO.TotalAdmLocal))*CRONO!$F55,
                        0),
                 AC54*$S53),
          SUMIF(OFFSET($S55,1,0,$R53-2),($M53+1)&amp;"$",OFFSET(AC55,1,0,$R53-2)))</f>
        <v>0</v>
      </c>
      <c r="AD55" s="202" cm="1">
        <f t="array" aca="1" ref="AD55" ca="1">IF($R53=2,
         IF(AND(ACOMPANHAMENTO="PLE",ISNUMBER($F53)),
                SUMIF((OFFSET(CÁLCULO!$BC$15:$BU$15,$F53,0,OFFSET(ORÇAMENTO!$D$15,CRONO!$F53,0))),CRONO!AD$12,OFFSET(CÁLCULO!$AJ$15:$BB$15,$F53,0,OFFSET(ORÇAMENTO!$D$15,CRONO!$F53,0)))
                +IF(AND($F55&lt;&gt;"",$F55&lt;&gt;0),
                        SUMIF(CÁLCULO!$BC$15:$BU$165,CRONO!AD$12,CÁLCULO!$AJ$15:$BB$165)/(ORÇAMENTO!$X$15-_xlfn.SINGLE(CÁLCULO.TotalAdmLocal))*CRONO!$F55,
                        0),
                 AD54*$S53),
          SUMIF(OFFSET($S55,1,0,$R53-2),($M53+1)&amp;"$",OFFSET(AD55,1,0,$R53-2)))</f>
        <v>0</v>
      </c>
      <c r="AE55" s="202" cm="1">
        <f t="array" aca="1" ref="AE55" ca="1">IF($R53=2,
         IF(AND(ACOMPANHAMENTO="PLE",ISNUMBER($F53)),
                SUMIF((OFFSET(CÁLCULO!$BC$15:$BU$15,$F53,0,OFFSET(ORÇAMENTO!$D$15,CRONO!$F53,0))),CRONO!AE$12,OFFSET(CÁLCULO!$AJ$15:$BB$15,$F53,0,OFFSET(ORÇAMENTO!$D$15,CRONO!$F53,0)))
                +IF(AND($F55&lt;&gt;"",$F55&lt;&gt;0),
                        SUMIF(CÁLCULO!$BC$15:$BU$165,CRONO!AE$12,CÁLCULO!$AJ$15:$BB$165)/(ORÇAMENTO!$X$15-_xlfn.SINGLE(CÁLCULO.TotalAdmLocal))*CRONO!$F55,
                        0),
                 AE54*$S53),
          SUMIF(OFFSET($S55,1,0,$R53-2),($M53+1)&amp;"$",OFFSET(AE55,1,0,$R53-2)))</f>
        <v>0</v>
      </c>
      <c r="AF55" s="202" cm="1">
        <f t="array" aca="1" ref="AF55" ca="1">IF($R53=2,
         IF(AND(ACOMPANHAMENTO="PLE",ISNUMBER($F53)),
                SUMIF((OFFSET(CÁLCULO!$BC$15:$BU$15,$F53,0,OFFSET(ORÇAMENTO!$D$15,CRONO!$F53,0))),CRONO!AF$12,OFFSET(CÁLCULO!$AJ$15:$BB$15,$F53,0,OFFSET(ORÇAMENTO!$D$15,CRONO!$F53,0)))
                +IF(AND($F55&lt;&gt;"",$F55&lt;&gt;0),
                        SUMIF(CÁLCULO!$BC$15:$BU$165,CRONO!AF$12,CÁLCULO!$AJ$15:$BB$165)/(ORÇAMENTO!$X$15-_xlfn.SINGLE(CÁLCULO.TotalAdmLocal))*CRONO!$F55,
                        0),
                 AF54*$S53),
          SUMIF(OFFSET($S55,1,0,$R53-2),($M53+1)&amp;"$",OFFSET(AF55,1,0,$R53-2)))</f>
        <v>0</v>
      </c>
      <c r="AG55" s="534"/>
    </row>
    <row r="56" spans="1:33" x14ac:dyDescent="0.25">
      <c r="A56" s="186" t="e">
        <f ca="1">IF($M56&gt;1,_xlfn.CONCAT($I56," ",$J56),"")</f>
        <v>#NAME?</v>
      </c>
      <c r="B56" s="185">
        <f t="shared" ref="B56" ca="1" si="81">OFFSET(B56,-3,0)+1</f>
        <v>15</v>
      </c>
      <c r="C56" s="185">
        <f ca="1">IF($R56&lt;&gt;2,0,IF($S56=0,1,IF(F57&gt;0,OFFSET(QCI!$M$13,SUBSTITUTE(F57,".",""),0),OFFSET(ORÇAMENTO!$AA$15,CRONO!$F56,0))/$S56))</f>
        <v>0.27621385324224018</v>
      </c>
      <c r="D56" s="185">
        <f ca="1">IF($R56&lt;&gt;2,0,IF($S56=0,1,IF(F57&gt;0,OFFSET(QCI!$N$13,SUBSTITUTE(F57,".",""),0),OFFSET(ORÇAMENTO!$AB$15,CRONO!$F56,0))/$S56))</f>
        <v>0</v>
      </c>
      <c r="E56" s="188" cm="1">
        <f t="array" aca="1" ref="E56" ca="1">IF(AND($R56=2,ACOMPANHAMENTO="BM"),ROUND(E57,4),E58/$S56)</f>
        <v>1</v>
      </c>
      <c r="F56" s="185">
        <f ca="1">IF(B56&lt;=ORÇAMENTO.MáximoListaCrono,MATCH(B56,ORÇAMENTO.ListaCrono,0),NA())</f>
        <v>73</v>
      </c>
      <c r="G56" s="185" t="str">
        <f t="shared" ref="G56" ca="1" si="82">IF(AND($F57&lt;&gt;-1,$S56&gt;0),"F","")</f>
        <v>F</v>
      </c>
      <c r="H56" s="189" t="str" cm="1">
        <f t="array" aca="1" ref="H56" ca="1">IF(OR(S56=0,S56=""),"Linha",IF(AND(OR(ACOMPANHAMENTO="PLE",$R56&lt;&gt;2),$F57=0),"Linha",ROUND(1-SUM(U56:AG56),4)))</f>
        <v>Linha</v>
      </c>
      <c r="I56" s="190" t="str">
        <f ca="1">IF($F57=0,OFFSET(ORÇAMENTO!O$15,$F56,0),IF($F57&lt;&gt;-1,OFFSET(QCI!$D$13,$F57,0),""))</f>
        <v>2.6.</v>
      </c>
      <c r="J56" s="191" t="str">
        <f ca="1">IF($F57=0,OFFSET(ORÇAMENTO!R$15,$F56,0),IF($F57&lt;&gt;-1,OFFSET(QCI!$G$13,$F57,0),""))</f>
        <v>ENSAIOS</v>
      </c>
      <c r="K56" s="191"/>
      <c r="L56" s="191"/>
      <c r="M56" s="192">
        <f ca="1">IF($F57=0,OFFSET(ORÇAMENTO!C$15,$F56,0),1)</f>
        <v>2</v>
      </c>
      <c r="N56" s="193">
        <f ca="1">IF($F57=-1,0,IF(N$13&lt;=$M56,IF(ISERROR(MATCH(N$13,OFFSET($M56,1,0,ROW($M$95)-ROW($M56)-1),0)),ROW($M$95)-ROW($M56)-1,MATCH(N$13,OFFSET($M56,1,0,ROW($M$95)-ROW($M56)-1),0)-1),0))</f>
        <v>2</v>
      </c>
      <c r="O56" s="193">
        <f ca="1">IF($F57=-1,0,IF(O$13&lt;=$M56,IF(ISERROR(MATCH(O$13,OFFSET($M56,1,0,ROW($M$95)-ROW($M56)-1),0)),ROW($M$95)-ROW($M56)-1,MATCH(O$13,OFFSET($M56,1,0,ROW($M$95)-ROW($M56)-1),0)-1),0))</f>
        <v>5</v>
      </c>
      <c r="P56" s="193">
        <f ca="1">IF($F57=-1,0,IF(P$13&lt;=$M56,IF(ISERROR(MATCH(P$13,OFFSET($M56,1,0,ROW($M$95)-ROW($M56)-1),0)),ROW($M$95)-ROW($M56)-1,MATCH(P$13,OFFSET($M56,1,0,ROW($M$95)-ROW($M56)-1),0)-1),0))</f>
        <v>0</v>
      </c>
      <c r="Q56" s="193">
        <f ca="1">IF($F57=-1,0,IF(Q$13&lt;=$M56,IF(ISERROR(MATCH(Q$13,OFFSET($M56,1,0,ROW($M$95)-ROW($M56)-1),0)),ROW($M$95)-ROW($M56)-1,MATCH(Q$13,OFFSET($M56,1,0,ROW($M$95)-ROW($M56)-1),0)-1),0))</f>
        <v>0</v>
      </c>
      <c r="R56" s="193">
        <f t="shared" ref="R56" ca="1" si="83">MIN(OFFSET(M56,0,1,,M56))</f>
        <v>2</v>
      </c>
      <c r="S56" s="194">
        <f ca="1">IF($F57=0,OFFSET(ORÇAMENTO!X$15,$F56,0),IF($F57&lt;&gt;-1,OFFSET(QCI!$O$13,$F57,0),""))</f>
        <v>1131.9100000000001</v>
      </c>
      <c r="T56" s="195" t="s">
        <v>785</v>
      </c>
      <c r="U56" s="188" cm="1">
        <f t="array" aca="1" ref="U56" ca="1">IF(AND($R56=2,ACOMPANHAMENTO="BM"),ROUND(U57,4),U58/$S56)</f>
        <v>1</v>
      </c>
      <c r="V56" s="188" cm="1">
        <f t="array" aca="1" ref="V56" ca="1">IF(AND($R56=2,ACOMPANHAMENTO="BM"),ROUND(V57,4),V58/$S56)</f>
        <v>0</v>
      </c>
      <c r="W56" s="188" cm="1">
        <f t="array" aca="1" ref="W56" ca="1">IF(AND($R56=2,ACOMPANHAMENTO="BM"),ROUND(W57,4),W58/$S56)</f>
        <v>0</v>
      </c>
      <c r="X56" s="188" cm="1">
        <f t="array" aca="1" ref="X56" ca="1">IF(AND($R56=2,ACOMPANHAMENTO="BM"),ROUND(X57,4),X58/$S56)</f>
        <v>0</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hidden="1" customHeight="1" x14ac:dyDescent="0.25">
      <c r="E57" s="587"/>
      <c r="F57" s="185">
        <f ca="1">IF(ISERROR(F56),IF(1+COUNTIF($M$13:OFFSET(M56,-1,0),1)&lt;=MAX(QCI!$D$13:$D$24),1+COUNTIF($M$13:OFFSET(M56,-1,0),1),-1),0)</f>
        <v>0</v>
      </c>
      <c r="G57" s="185" t="str" cm="1">
        <f t="array" aca="1" ref="G57" ca="1">IF(ACOMPANHAMENTO="BM",OFFSET(G57,-1,0),"")</f>
        <v/>
      </c>
      <c r="H57" s="196" t="str" cm="1">
        <f t="array" aca="1" ref="H57" ca="1">IF(OR(S56=0,S56=""),"vazia",IF(AND(OR(ACOMPANHAMENTO="PLE",$R56&lt;&gt;2),$F57=0),"calculada","--&gt;"))</f>
        <v>calculada</v>
      </c>
      <c r="I57" s="197"/>
      <c r="J57" s="198" t="str">
        <f t="shared" ref="J57" ca="1" si="84">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hidden="1" customHeight="1" x14ac:dyDescent="0.25">
      <c r="D58" s="533"/>
      <c r="E58" s="202" cm="1">
        <f t="array" aca="1" ref="E58" ca="1">IF($R56=2,
         IF(AND(ACOMPANHAMENTO="PLE",ISNUMBER($F56)),
                SUMIF((OFFSET(CÁLCULO!$BC$15:$BU$15,$F56,0,OFFSET(ORÇAMENTO!$D$15,CRONO!$F56,0))),CRONO!E$12,OFFSET(CÁLCULO!$AJ$15:$BB$15,$F56,0,OFFSET(ORÇAMENTO!$D$15,CRONO!$F56,0)))
                +IF(AND($F58&lt;&gt;"",$F58&lt;&gt;0),
                        SUMIF(CÁLCULO!$BC$15:$BU$165,CRONO!E$12,CÁLCULO!$AJ$15:$BB$165)/(ORÇAMENTO!$X$15-_xlfn.SINGLE(CÁLCULO.TotalAdmLocal))*CRONO!$F58,
                        0),
                 E57*$S56),
          SUMIF(OFFSET($S58,1,0,$R56-2),($M56+1)&amp;"$",OFFSET(E58,1,0,$R56-2)))</f>
        <v>1131.9100000000001</v>
      </c>
      <c r="F58" s="185" t="str">
        <f ca="1">IF(OR($R56&lt;&gt;2,AUTOEVENTO&lt;&gt;"manual",$F57&gt;0),"",
        IF(Import.TipoArredondamento="Tradicional",
              SUMIF(OFFSET(CÁLCULO!$M$15,CRONO!$F56,0,OFFSET(ORÇAMENTO!$D$15,CRONO!$F56,0)),1,OFFSET(ORÇAMENTO!$X$15,CRONO!$F56,0,OFFSET(ORÇAMENTO!$D$15,CRONO!$F56,0))),
              0))</f>
        <v/>
      </c>
      <c r="H58" s="203"/>
      <c r="S58" s="204" t="str">
        <f t="shared" ref="S58" ca="1" si="85">M56&amp;"$"</f>
        <v>2$</v>
      </c>
      <c r="T58" s="205"/>
      <c r="U58" s="202" cm="1">
        <f t="array" aca="1" ref="U58" ca="1">IF($R56=2,
         IF(AND(ACOMPANHAMENTO="PLE",ISNUMBER($F56)),
                SUMIF((OFFSET(CÁLCULO!$BC$15:$BU$15,$F56,0,OFFSET(ORÇAMENTO!$D$15,CRONO!$F56,0))),CRONO!U$12,OFFSET(CÁLCULO!$AJ$15:$BB$15,$F56,0,OFFSET(ORÇAMENTO!$D$15,CRONO!$F56,0)))
                +IF(AND($F58&lt;&gt;"",$F58&lt;&gt;0),
                        SUMIF(CÁLCULO!$BC$15:$BU$165,CRONO!U$12,CÁLCULO!$AJ$15:$BB$165)/(ORÇAMENTO!$X$15-_xlfn.SINGLE(CÁLCULO.TotalAdmLocal))*CRONO!$F58,
                        0),
                 U57*$S56),
          SUMIF(OFFSET($S58,1,0,$R56-2),($M56+1)&amp;"$",OFFSET(U58,1,0,$R56-2)))</f>
        <v>1131.9100000000001</v>
      </c>
      <c r="V58" s="202" cm="1">
        <f t="array" aca="1" ref="V58" ca="1">IF($R56=2,
         IF(AND(ACOMPANHAMENTO="PLE",ISNUMBER($F56)),
                SUMIF((OFFSET(CÁLCULO!$BC$15:$BU$15,$F56,0,OFFSET(ORÇAMENTO!$D$15,CRONO!$F56,0))),CRONO!V$12,OFFSET(CÁLCULO!$AJ$15:$BB$15,$F56,0,OFFSET(ORÇAMENTO!$D$15,CRONO!$F56,0)))
                +IF(AND($F58&lt;&gt;"",$F58&lt;&gt;0),
                        SUMIF(CÁLCULO!$BC$15:$BU$165,CRONO!V$12,CÁLCULO!$AJ$15:$BB$165)/(ORÇAMENTO!$X$15-_xlfn.SINGLE(CÁLCULO.TotalAdmLocal))*CRONO!$F58,
                        0),
                 V57*$S56),
          SUMIF(OFFSET($S58,1,0,$R56-2),($M56+1)&amp;"$",OFFSET(V58,1,0,$R56-2)))</f>
        <v>0</v>
      </c>
      <c r="W58" s="202" cm="1">
        <f t="array" aca="1" ref="W58" ca="1">IF($R56=2,
         IF(AND(ACOMPANHAMENTO="PLE",ISNUMBER($F56)),
                SUMIF((OFFSET(CÁLCULO!$BC$15:$BU$15,$F56,0,OFFSET(ORÇAMENTO!$D$15,CRONO!$F56,0))),CRONO!W$12,OFFSET(CÁLCULO!$AJ$15:$BB$15,$F56,0,OFFSET(ORÇAMENTO!$D$15,CRONO!$F56,0)))
                +IF(AND($F58&lt;&gt;"",$F58&lt;&gt;0),
                        SUMIF(CÁLCULO!$BC$15:$BU$165,CRONO!W$12,CÁLCULO!$AJ$15:$BB$165)/(ORÇAMENTO!$X$15-_xlfn.SINGLE(CÁLCULO.TotalAdmLocal))*CRONO!$F58,
                        0),
                 W57*$S56),
          SUMIF(OFFSET($S58,1,0,$R56-2),($M56+1)&amp;"$",OFFSET(W58,1,0,$R56-2)))</f>
        <v>0</v>
      </c>
      <c r="X58" s="202" cm="1">
        <f t="array" aca="1" ref="X58" ca="1">IF($R56=2,
         IF(AND(ACOMPANHAMENTO="PLE",ISNUMBER($F56)),
                SUMIF((OFFSET(CÁLCULO!$BC$15:$BU$15,$F56,0,OFFSET(ORÇAMENTO!$D$15,CRONO!$F56,0))),CRONO!X$12,OFFSET(CÁLCULO!$AJ$15:$BB$15,$F56,0,OFFSET(ORÇAMENTO!$D$15,CRONO!$F56,0)))
                +IF(AND($F58&lt;&gt;"",$F58&lt;&gt;0),
                        SUMIF(CÁLCULO!$BC$15:$BU$165,CRONO!X$12,CÁLCULO!$AJ$15:$BB$165)/(ORÇAMENTO!$X$15-_xlfn.SINGLE(CÁLCULO.TotalAdmLocal))*CRONO!$F58,
                        0),
                 X57*$S56),
          SUMIF(OFFSET($S58,1,0,$R56-2),($M56+1)&amp;"$",OFFSET(X58,1,0,$R56-2)))</f>
        <v>0</v>
      </c>
      <c r="Y58" s="202" cm="1">
        <f t="array" aca="1" ref="Y58" ca="1">IF($R56=2,
         IF(AND(ACOMPANHAMENTO="PLE",ISNUMBER($F56)),
                SUMIF((OFFSET(CÁLCULO!$BC$15:$BU$15,$F56,0,OFFSET(ORÇAMENTO!$D$15,CRONO!$F56,0))),CRONO!Y$12,OFFSET(CÁLCULO!$AJ$15:$BB$15,$F56,0,OFFSET(ORÇAMENTO!$D$15,CRONO!$F56,0)))
                +IF(AND($F58&lt;&gt;"",$F58&lt;&gt;0),
                        SUMIF(CÁLCULO!$BC$15:$BU$165,CRONO!Y$12,CÁLCULO!$AJ$15:$BB$165)/(ORÇAMENTO!$X$15-_xlfn.SINGLE(CÁLCULO.TotalAdmLocal))*CRONO!$F58,
                        0),
                 Y57*$S56),
          SUMIF(OFFSET($S58,1,0,$R56-2),($M56+1)&amp;"$",OFFSET(Y58,1,0,$R56-2)))</f>
        <v>0</v>
      </c>
      <c r="Z58" s="202" cm="1">
        <f t="array" aca="1" ref="Z58" ca="1">IF($R56=2,
         IF(AND(ACOMPANHAMENTO="PLE",ISNUMBER($F56)),
                SUMIF((OFFSET(CÁLCULO!$BC$15:$BU$15,$F56,0,OFFSET(ORÇAMENTO!$D$15,CRONO!$F56,0))),CRONO!Z$12,OFFSET(CÁLCULO!$AJ$15:$BB$15,$F56,0,OFFSET(ORÇAMENTO!$D$15,CRONO!$F56,0)))
                +IF(AND($F58&lt;&gt;"",$F58&lt;&gt;0),
                        SUMIF(CÁLCULO!$BC$15:$BU$165,CRONO!Z$12,CÁLCULO!$AJ$15:$BB$165)/(ORÇAMENTO!$X$15-_xlfn.SINGLE(CÁLCULO.TotalAdmLocal))*CRONO!$F58,
                        0),
                 Z57*$S56),
          SUMIF(OFFSET($S58,1,0,$R56-2),($M56+1)&amp;"$",OFFSET(Z58,1,0,$R56-2)))</f>
        <v>0</v>
      </c>
      <c r="AA58" s="202" cm="1">
        <f t="array" aca="1" ref="AA58" ca="1">IF($R56=2,
         IF(AND(ACOMPANHAMENTO="PLE",ISNUMBER($F56)),
                SUMIF((OFFSET(CÁLCULO!$BC$15:$BU$15,$F56,0,OFFSET(ORÇAMENTO!$D$15,CRONO!$F56,0))),CRONO!AA$12,OFFSET(CÁLCULO!$AJ$15:$BB$15,$F56,0,OFFSET(ORÇAMENTO!$D$15,CRONO!$F56,0)))
                +IF(AND($F58&lt;&gt;"",$F58&lt;&gt;0),
                        SUMIF(CÁLCULO!$BC$15:$BU$165,CRONO!AA$12,CÁLCULO!$AJ$15:$BB$165)/(ORÇAMENTO!$X$15-_xlfn.SINGLE(CÁLCULO.TotalAdmLocal))*CRONO!$F58,
                        0),
                 AA57*$S56),
          SUMIF(OFFSET($S58,1,0,$R56-2),($M56+1)&amp;"$",OFFSET(AA58,1,0,$R56-2)))</f>
        <v>0</v>
      </c>
      <c r="AB58" s="202" cm="1">
        <f t="array" aca="1" ref="AB58" ca="1">IF($R56=2,
         IF(AND(ACOMPANHAMENTO="PLE",ISNUMBER($F56)),
                SUMIF((OFFSET(CÁLCULO!$BC$15:$BU$15,$F56,0,OFFSET(ORÇAMENTO!$D$15,CRONO!$F56,0))),CRONO!AB$12,OFFSET(CÁLCULO!$AJ$15:$BB$15,$F56,0,OFFSET(ORÇAMENTO!$D$15,CRONO!$F56,0)))
                +IF(AND($F58&lt;&gt;"",$F58&lt;&gt;0),
                        SUMIF(CÁLCULO!$BC$15:$BU$165,CRONO!AB$12,CÁLCULO!$AJ$15:$BB$165)/(ORÇAMENTO!$X$15-_xlfn.SINGLE(CÁLCULO.TotalAdmLocal))*CRONO!$F58,
                        0),
                 AB57*$S56),
          SUMIF(OFFSET($S58,1,0,$R56-2),($M56+1)&amp;"$",OFFSET(AB58,1,0,$R56-2)))</f>
        <v>0</v>
      </c>
      <c r="AC58" s="202" cm="1">
        <f t="array" aca="1" ref="AC58" ca="1">IF($R56=2,
         IF(AND(ACOMPANHAMENTO="PLE",ISNUMBER($F56)),
                SUMIF((OFFSET(CÁLCULO!$BC$15:$BU$15,$F56,0,OFFSET(ORÇAMENTO!$D$15,CRONO!$F56,0))),CRONO!AC$12,OFFSET(CÁLCULO!$AJ$15:$BB$15,$F56,0,OFFSET(ORÇAMENTO!$D$15,CRONO!$F56,0)))
                +IF(AND($F58&lt;&gt;"",$F58&lt;&gt;0),
                        SUMIF(CÁLCULO!$BC$15:$BU$165,CRONO!AC$12,CÁLCULO!$AJ$15:$BB$165)/(ORÇAMENTO!$X$15-_xlfn.SINGLE(CÁLCULO.TotalAdmLocal))*CRONO!$F58,
                        0),
                 AC57*$S56),
          SUMIF(OFFSET($S58,1,0,$R56-2),($M56+1)&amp;"$",OFFSET(AC58,1,0,$R56-2)))</f>
        <v>0</v>
      </c>
      <c r="AD58" s="202" cm="1">
        <f t="array" aca="1" ref="AD58" ca="1">IF($R56=2,
         IF(AND(ACOMPANHAMENTO="PLE",ISNUMBER($F56)),
                SUMIF((OFFSET(CÁLCULO!$BC$15:$BU$15,$F56,0,OFFSET(ORÇAMENTO!$D$15,CRONO!$F56,0))),CRONO!AD$12,OFFSET(CÁLCULO!$AJ$15:$BB$15,$F56,0,OFFSET(ORÇAMENTO!$D$15,CRONO!$F56,0)))
                +IF(AND($F58&lt;&gt;"",$F58&lt;&gt;0),
                        SUMIF(CÁLCULO!$BC$15:$BU$165,CRONO!AD$12,CÁLCULO!$AJ$15:$BB$165)/(ORÇAMENTO!$X$15-_xlfn.SINGLE(CÁLCULO.TotalAdmLocal))*CRONO!$F58,
                        0),
                 AD57*$S56),
          SUMIF(OFFSET($S58,1,0,$R56-2),($M56+1)&amp;"$",OFFSET(AD58,1,0,$R56-2)))</f>
        <v>0</v>
      </c>
      <c r="AE58" s="202" cm="1">
        <f t="array" aca="1" ref="AE58" ca="1">IF($R56=2,
         IF(AND(ACOMPANHAMENTO="PLE",ISNUMBER($F56)),
                SUMIF((OFFSET(CÁLCULO!$BC$15:$BU$15,$F56,0,OFFSET(ORÇAMENTO!$D$15,CRONO!$F56,0))),CRONO!AE$12,OFFSET(CÁLCULO!$AJ$15:$BB$15,$F56,0,OFFSET(ORÇAMENTO!$D$15,CRONO!$F56,0)))
                +IF(AND($F58&lt;&gt;"",$F58&lt;&gt;0),
                        SUMIF(CÁLCULO!$BC$15:$BU$165,CRONO!AE$12,CÁLCULO!$AJ$15:$BB$165)/(ORÇAMENTO!$X$15-_xlfn.SINGLE(CÁLCULO.TotalAdmLocal))*CRONO!$F58,
                        0),
                 AE57*$S56),
          SUMIF(OFFSET($S58,1,0,$R56-2),($M56+1)&amp;"$",OFFSET(AE58,1,0,$R56-2)))</f>
        <v>0</v>
      </c>
      <c r="AF58" s="202" cm="1">
        <f t="array" aca="1" ref="AF58" ca="1">IF($R56=2,
         IF(AND(ACOMPANHAMENTO="PLE",ISNUMBER($F56)),
                SUMIF((OFFSET(CÁLCULO!$BC$15:$BU$15,$F56,0,OFFSET(ORÇAMENTO!$D$15,CRONO!$F56,0))),CRONO!AF$12,OFFSET(CÁLCULO!$AJ$15:$BB$15,$F56,0,OFFSET(ORÇAMENTO!$D$15,CRONO!$F56,0)))
                +IF(AND($F58&lt;&gt;"",$F58&lt;&gt;0),
                        SUMIF(CÁLCULO!$BC$15:$BU$165,CRONO!AF$12,CÁLCULO!$AJ$15:$BB$165)/(ORÇAMENTO!$X$15-_xlfn.SINGLE(CÁLCULO.TotalAdmLocal))*CRONO!$F58,
                        0),
                 AF57*$S56),
          SUMIF(OFFSET($S58,1,0,$R56-2),($M56+1)&amp;"$",OFFSET(AF58,1,0,$R56-2)))</f>
        <v>0</v>
      </c>
      <c r="AG58" s="534"/>
    </row>
    <row r="59" spans="1:33" x14ac:dyDescent="0.25">
      <c r="A59" s="186" t="str">
        <f ca="1">IF($M59&gt;1,_xlfn.CONCAT($I59," ",$J59),"")</f>
        <v/>
      </c>
      <c r="B59" s="185">
        <f t="shared" ref="B59" ca="1" si="86">OFFSET(B59,-3,0)+1</f>
        <v>16</v>
      </c>
      <c r="C59" s="185">
        <f ca="1">IF($R59&lt;&gt;2,0,IF($S59=0,1,IF(F60&gt;0,OFFSET(QCI!$M$13,SUBSTITUTE(F60,".",""),0),OFFSET(ORÇAMENTO!$AA$15,CRONO!$F59,0))/$S59))</f>
        <v>0</v>
      </c>
      <c r="D59" s="185">
        <f ca="1">IF($R59&lt;&gt;2,0,IF($S59=0,1,IF(F60&gt;0,OFFSET(QCI!$N$13,SUBSTITUTE(F60,".",""),0),OFFSET(ORÇAMENTO!$AB$15,CRONO!$F59,0))/$S59))</f>
        <v>0</v>
      </c>
      <c r="E59" s="188" cm="1">
        <f t="array" aca="1" ref="E59" ca="1">IF(AND($R59=2,ACOMPANHAMENTO="BM"),ROUND(E60,4),E61/$S59)</f>
        <v>0</v>
      </c>
      <c r="F59" s="185">
        <f ca="1">IF(B59&lt;=ORÇAMENTO.MáximoListaCrono,MATCH(B59,ORÇAMENTO.ListaCrono,0),NA())</f>
        <v>78</v>
      </c>
      <c r="G59" s="185" t="str">
        <f t="shared" ref="G59" ca="1" si="87">IF(AND($F60&lt;&gt;-1,$S59&gt;0),"F","")</f>
        <v>F</v>
      </c>
      <c r="H59" s="189" t="str" cm="1">
        <f t="array" aca="1" ref="H59" ca="1">IF(OR(S59=0,S59=""),"Linha",IF(AND(OR(ACOMPANHAMENTO="PLE",$R59&lt;&gt;2),$F60=0),"Linha",ROUND(1-SUM(U59:AG59),4)))</f>
        <v>Linha</v>
      </c>
      <c r="I59" s="190" t="str">
        <f ca="1">IF($F60=0,OFFSET(ORÇAMENTO!O$15,$F59,0),IF($F60&lt;&gt;-1,OFFSET(QCI!$D$13,$F60,0),""))</f>
        <v>3.</v>
      </c>
      <c r="J59" s="191" t="str">
        <f ca="1">IF($F60=0,OFFSET(ORÇAMENTO!R$15,$F59,0),IF($F60&lt;&gt;-1,OFFSET(QCI!$G$13,$F60,0),""))</f>
        <v>IMPLANTAÇÃO DE PAVIMENTAÇÃO RUA 27 DE JUNHO (Trecho 4)</v>
      </c>
      <c r="K59" s="191"/>
      <c r="L59" s="191"/>
      <c r="M59" s="192">
        <f ca="1">IF($F60=0,OFFSET(ORÇAMENTO!C$15,$F59,0),1)</f>
        <v>1</v>
      </c>
      <c r="N59" s="193">
        <f ca="1">IF($F60=-1,0,IF(N$13&lt;=$M59,IF(ISERROR(MATCH(N$13,OFFSET($M59,1,0,ROW($M$95)-ROW($M59)-1),0)),ROW($M$95)-ROW($M59)-1,MATCH(N$13,OFFSET($M59,1,0,ROW($M$95)-ROW($M59)-1),0)-1),0))</f>
        <v>17</v>
      </c>
      <c r="O59" s="193">
        <f ca="1">IF($F60=-1,0,IF(O$13&lt;=$M59,IF(ISERROR(MATCH(O$13,OFFSET($M59,1,0,ROW($M$95)-ROW($M59)-1),0)),ROW($M$95)-ROW($M59)-1,MATCH(O$13,OFFSET($M59,1,0,ROW($M$95)-ROW($M59)-1),0)-1),0))</f>
        <v>0</v>
      </c>
      <c r="P59" s="193">
        <f ca="1">IF($F60=-1,0,IF(P$13&lt;=$M59,IF(ISERROR(MATCH(P$13,OFFSET($M59,1,0,ROW($M$95)-ROW($M59)-1),0)),ROW($M$95)-ROW($M59)-1,MATCH(P$13,OFFSET($M59,1,0,ROW($M$95)-ROW($M59)-1),0)-1),0))</f>
        <v>0</v>
      </c>
      <c r="Q59" s="193">
        <f ca="1">IF($F60=-1,0,IF(Q$13&lt;=$M59,IF(ISERROR(MATCH(Q$13,OFFSET($M59,1,0,ROW($M$95)-ROW($M59)-1),0)),ROW($M$95)-ROW($M59)-1,MATCH(Q$13,OFFSET($M59,1,0,ROW($M$95)-ROW($M59)-1),0)-1),0))</f>
        <v>0</v>
      </c>
      <c r="R59" s="193">
        <f t="shared" ref="R59" ca="1" si="88">MIN(OFFSET(M59,0,1,,M59))</f>
        <v>17</v>
      </c>
      <c r="S59" s="194">
        <f ca="1">IF($F60=0,OFFSET(ORÇAMENTO!X$15,$F59,0),IF($F60&lt;&gt;-1,OFFSET(QCI!$O$13,$F60,0),""))</f>
        <v>339932.39</v>
      </c>
      <c r="T59" s="195" t="s">
        <v>785</v>
      </c>
      <c r="U59" s="188" cm="1">
        <f t="array" aca="1" ref="U59" ca="1">IF(AND($R59=2,ACOMPANHAMENTO="BM"),ROUND(U60,4),U61/$S59)</f>
        <v>0</v>
      </c>
      <c r="V59" s="188" cm="1">
        <f t="array" aca="1" ref="V59" ca="1">IF(AND($R59=2,ACOMPANHAMENTO="BM"),ROUND(V60,4),V61/$S59)</f>
        <v>0</v>
      </c>
      <c r="W59" s="188" cm="1">
        <f t="array" aca="1" ref="W59" ca="1">IF(AND($R59=2,ACOMPANHAMENTO="BM"),ROUND(W60,4),W61/$S59)</f>
        <v>0.25235182796202504</v>
      </c>
      <c r="X59" s="188" cm="1">
        <f t="array" aca="1" ref="X59" ca="1">IF(AND($R59=2,ACOMPANHAMENTO="BM"),ROUND(X60,4),X61/$S59)</f>
        <v>0.74764817203797496</v>
      </c>
      <c r="Y59" s="188" cm="1">
        <f t="array" aca="1" ref="Y59" ca="1">IF(AND($R59=2,ACOMPANHAMENTO="BM"),ROUND(Y60,4),Y61/$S59)</f>
        <v>0</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hidden="1" customHeight="1" x14ac:dyDescent="0.25">
      <c r="E60" s="587"/>
      <c r="F60" s="185">
        <f ca="1">IF(ISERROR(F59),IF(1+COUNTIF($M$13:OFFSET(M59,-1,0),1)&lt;=MAX(QCI!$D$13:$D$24),1+COUNTIF($M$13:OFFSET(M59,-1,0),1),-1),0)</f>
        <v>0</v>
      </c>
      <c r="G60" s="185" t="str" cm="1">
        <f t="array" aca="1" ref="G60" ca="1">IF(ACOMPANHAMENTO="BM",OFFSET(G60,-1,0),"")</f>
        <v/>
      </c>
      <c r="H60" s="196" t="str" cm="1">
        <f t="array" aca="1" ref="H60" ca="1">IF(OR(S59=0,S59=""),"vazia",IF(AND(OR(ACOMPANHAMENTO="PLE",$R59&lt;&gt;2),$F60=0),"calculada","--&gt;"))</f>
        <v>calculada</v>
      </c>
      <c r="I60" s="197"/>
      <c r="J60" s="198" t="str">
        <f t="shared" ref="J60" ca="1" si="89">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hidden="1" customHeight="1" x14ac:dyDescent="0.25">
      <c r="D61" s="533"/>
      <c r="E61" s="202" cm="1">
        <f t="array" aca="1" ref="E61" ca="1">IF($R59=2,
         IF(AND(ACOMPANHAMENTO="PLE",ISNUMBER($F59)),
                SUMIF((OFFSET(CÁLCULO!$BC$15:$BU$15,$F59,0,OFFSET(ORÇAMENTO!$D$15,CRONO!$F59,0))),CRONO!E$12,OFFSET(CÁLCULO!$AJ$15:$BB$15,$F59,0,OFFSET(ORÇAMENTO!$D$15,CRONO!$F59,0)))
                +IF(AND($F61&lt;&gt;"",$F61&lt;&gt;0),
                        SUMIF(CÁLCULO!$BC$15:$BU$165,CRONO!E$12,CÁLCULO!$AJ$15:$BB$165)/(ORÇAMENTO!$X$15-_xlfn.SINGLE(CÁLCULO.TotalAdmLocal))*CRONO!$F61,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0">M59&amp;"$"</f>
        <v>1$</v>
      </c>
      <c r="T61" s="205"/>
      <c r="U61" s="202" cm="1">
        <f t="array" aca="1" ref="U61" ca="1">IF($R59=2,
         IF(AND(ACOMPANHAMENTO="PLE",ISNUMBER($F59)),
                SUMIF((OFFSET(CÁLCULO!$BC$15:$BU$15,$F59,0,OFFSET(ORÇAMENTO!$D$15,CRONO!$F59,0))),CRONO!U$12,OFFSET(CÁLCULO!$AJ$15:$BB$15,$F59,0,OFFSET(ORÇAMENTO!$D$15,CRONO!$F59,0)))
                +IF(AND($F61&lt;&gt;"",$F61&lt;&gt;0),
                        SUMIF(CÁLCULO!$BC$15:$BU$165,CRONO!U$12,CÁLCULO!$AJ$15:$BB$165)/(ORÇAMENTO!$X$15-_xlfn.SINGLE(CÁLCULO.TotalAdmLocal))*CRONO!$F61,
                        0),
                 U60*$S59),
          SUMIF(OFFSET($S61,1,0,$R59-2),($M59+1)&amp;"$",OFFSET(U61,1,0,$R59-2)))</f>
        <v>0</v>
      </c>
      <c r="V61" s="202" cm="1">
        <f t="array" aca="1" ref="V61" ca="1">IF($R59=2,
         IF(AND(ACOMPANHAMENTO="PLE",ISNUMBER($F59)),
                SUMIF((OFFSET(CÁLCULO!$BC$15:$BU$15,$F59,0,OFFSET(ORÇAMENTO!$D$15,CRONO!$F59,0))),CRONO!V$12,OFFSET(CÁLCULO!$AJ$15:$BB$15,$F59,0,OFFSET(ORÇAMENTO!$D$15,CRONO!$F59,0)))
                +IF(AND($F61&lt;&gt;"",$F61&lt;&gt;0),
                        SUMIF(CÁLCULO!$BC$15:$BU$165,CRONO!V$12,CÁLCULO!$AJ$15:$BB$165)/(ORÇAMENTO!$X$15-_xlfn.SINGLE(CÁLCULO.TotalAdmLocal))*CRONO!$F61,
                        0),
                 V60*$S59),
          SUMIF(OFFSET($S61,1,0,$R59-2),($M59+1)&amp;"$",OFFSET(V61,1,0,$R59-2)))</f>
        <v>0</v>
      </c>
      <c r="W61" s="202" cm="1">
        <f t="array" aca="1" ref="W61" ca="1">IF($R59=2,
         IF(AND(ACOMPANHAMENTO="PLE",ISNUMBER($F59)),
                SUMIF((OFFSET(CÁLCULO!$BC$15:$BU$15,$F59,0,OFFSET(ORÇAMENTO!$D$15,CRONO!$F59,0))),CRONO!W$12,OFFSET(CÁLCULO!$AJ$15:$BB$15,$F59,0,OFFSET(ORÇAMENTO!$D$15,CRONO!$F59,0)))
                +IF(AND($F61&lt;&gt;"",$F61&lt;&gt;0),
                        SUMIF(CÁLCULO!$BC$15:$BU$165,CRONO!W$12,CÁLCULO!$AJ$15:$BB$165)/(ORÇAMENTO!$X$15-_xlfn.SINGLE(CÁLCULO.TotalAdmLocal))*CRONO!$F61,
                        0),
                 W60*$S59),
          SUMIF(OFFSET($S61,1,0,$R59-2),($M59+1)&amp;"$",OFFSET(W61,1,0,$R59-2)))</f>
        <v>85782.560000000012</v>
      </c>
      <c r="X61" s="202" cm="1">
        <f t="array" aca="1" ref="X61" ca="1">IF($R59=2,
         IF(AND(ACOMPANHAMENTO="PLE",ISNUMBER($F59)),
                SUMIF((OFFSET(CÁLCULO!$BC$15:$BU$15,$F59,0,OFFSET(ORÇAMENTO!$D$15,CRONO!$F59,0))),CRONO!X$12,OFFSET(CÁLCULO!$AJ$15:$BB$15,$F59,0,OFFSET(ORÇAMENTO!$D$15,CRONO!$F59,0)))
                +IF(AND($F61&lt;&gt;"",$F61&lt;&gt;0),
                        SUMIF(CÁLCULO!$BC$15:$BU$165,CRONO!X$12,CÁLCULO!$AJ$15:$BB$165)/(ORÇAMENTO!$X$15-_xlfn.SINGLE(CÁLCULO.TotalAdmLocal))*CRONO!$F61,
                        0),
                 X60*$S59),
          SUMIF(OFFSET($S61,1,0,$R59-2),($M59+1)&amp;"$",OFFSET(X61,1,0,$R59-2)))</f>
        <v>254149.83000000002</v>
      </c>
      <c r="Y61" s="202" cm="1">
        <f t="array" aca="1" ref="Y61" ca="1">IF($R59=2,
         IF(AND(ACOMPANHAMENTO="PLE",ISNUMBER($F59)),
                SUMIF((OFFSET(CÁLCULO!$BC$15:$BU$15,$F59,0,OFFSET(ORÇAMENTO!$D$15,CRONO!$F59,0))),CRONO!Y$12,OFFSET(CÁLCULO!$AJ$15:$BB$15,$F59,0,OFFSET(ORÇAMENTO!$D$15,CRONO!$F59,0)))
                +IF(AND($F61&lt;&gt;"",$F61&lt;&gt;0),
                        SUMIF(CÁLCULO!$BC$15:$BU$165,CRONO!Y$12,CÁLCULO!$AJ$15:$BB$165)/(ORÇAMENTO!$X$15-_xlfn.SINGLE(CÁLCULO.TotalAdmLocal))*CRONO!$F61,
                        0),
                 Y60*$S59),
          SUMIF(OFFSET($S61,1,0,$R59-2),($M59+1)&amp;"$",OFFSET(Y61,1,0,$R59-2)))</f>
        <v>0</v>
      </c>
      <c r="Z61" s="202" cm="1">
        <f t="array" aca="1" ref="Z61" ca="1">IF($R59=2,
         IF(AND(ACOMPANHAMENTO="PLE",ISNUMBER($F59)),
                SUMIF((OFFSET(CÁLCULO!$BC$15:$BU$15,$F59,0,OFFSET(ORÇAMENTO!$D$15,CRONO!$F59,0))),CRONO!Z$12,OFFSET(CÁLCULO!$AJ$15:$BB$15,$F59,0,OFFSET(ORÇAMENTO!$D$15,CRONO!$F59,0)))
                +IF(AND($F61&lt;&gt;"",$F61&lt;&gt;0),
                        SUMIF(CÁLCULO!$BC$15:$BU$165,CRONO!Z$12,CÁLCULO!$AJ$15:$BB$165)/(ORÇAMENTO!$X$15-_xlfn.SINGLE(CÁLCULO.TotalAdmLocal))*CRONO!$F61,
                        0),
                 Z60*$S59),
          SUMIF(OFFSET($S61,1,0,$R59-2),($M59+1)&amp;"$",OFFSET(Z61,1,0,$R59-2)))</f>
        <v>0</v>
      </c>
      <c r="AA61" s="202" cm="1">
        <f t="array" aca="1" ref="AA61" ca="1">IF($R59=2,
         IF(AND(ACOMPANHAMENTO="PLE",ISNUMBER($F59)),
                SUMIF((OFFSET(CÁLCULO!$BC$15:$BU$15,$F59,0,OFFSET(ORÇAMENTO!$D$15,CRONO!$F59,0))),CRONO!AA$12,OFFSET(CÁLCULO!$AJ$15:$BB$15,$F59,0,OFFSET(ORÇAMENTO!$D$15,CRONO!$F59,0)))
                +IF(AND($F61&lt;&gt;"",$F61&lt;&gt;0),
                        SUMIF(CÁLCULO!$BC$15:$BU$165,CRONO!AA$12,CÁLCULO!$AJ$15:$BB$165)/(ORÇAMENTO!$X$15-_xlfn.SINGLE(CÁLCULO.TotalAdmLocal))*CRONO!$F61,
                        0),
                 AA60*$S59),
          SUMIF(OFFSET($S61,1,0,$R59-2),($M59+1)&amp;"$",OFFSET(AA61,1,0,$R59-2)))</f>
        <v>0</v>
      </c>
      <c r="AB61" s="202" cm="1">
        <f t="array" aca="1" ref="AB61" ca="1">IF($R59=2,
         IF(AND(ACOMPANHAMENTO="PLE",ISNUMBER($F59)),
                SUMIF((OFFSET(CÁLCULO!$BC$15:$BU$15,$F59,0,OFFSET(ORÇAMENTO!$D$15,CRONO!$F59,0))),CRONO!AB$12,OFFSET(CÁLCULO!$AJ$15:$BB$15,$F59,0,OFFSET(ORÇAMENTO!$D$15,CRONO!$F59,0)))
                +IF(AND($F61&lt;&gt;"",$F61&lt;&gt;0),
                        SUMIF(CÁLCULO!$BC$15:$BU$165,CRONO!AB$12,CÁLCULO!$AJ$15:$BB$165)/(ORÇAMENTO!$X$15-_xlfn.SINGLE(CÁLCULO.TotalAdmLocal))*CRONO!$F61,
                        0),
                 AB60*$S59),
          SUMIF(OFFSET($S61,1,0,$R59-2),($M59+1)&amp;"$",OFFSET(AB61,1,0,$R59-2)))</f>
        <v>0</v>
      </c>
      <c r="AC61" s="202" cm="1">
        <f t="array" aca="1" ref="AC61" ca="1">IF($R59=2,
         IF(AND(ACOMPANHAMENTO="PLE",ISNUMBER($F59)),
                SUMIF((OFFSET(CÁLCULO!$BC$15:$BU$15,$F59,0,OFFSET(ORÇAMENTO!$D$15,CRONO!$F59,0))),CRONO!AC$12,OFFSET(CÁLCULO!$AJ$15:$BB$15,$F59,0,OFFSET(ORÇAMENTO!$D$15,CRONO!$F59,0)))
                +IF(AND($F61&lt;&gt;"",$F61&lt;&gt;0),
                        SUMIF(CÁLCULO!$BC$15:$BU$165,CRONO!AC$12,CÁLCULO!$AJ$15:$BB$165)/(ORÇAMENTO!$X$15-_xlfn.SINGLE(CÁLCULO.TotalAdmLocal))*CRONO!$F61,
                        0),
                 AC60*$S59),
          SUMIF(OFFSET($S61,1,0,$R59-2),($M59+1)&amp;"$",OFFSET(AC61,1,0,$R59-2)))</f>
        <v>0</v>
      </c>
      <c r="AD61" s="202" cm="1">
        <f t="array" aca="1" ref="AD61" ca="1">IF($R59=2,
         IF(AND(ACOMPANHAMENTO="PLE",ISNUMBER($F59)),
                SUMIF((OFFSET(CÁLCULO!$BC$15:$BU$15,$F59,0,OFFSET(ORÇAMENTO!$D$15,CRONO!$F59,0))),CRONO!AD$12,OFFSET(CÁLCULO!$AJ$15:$BB$15,$F59,0,OFFSET(ORÇAMENTO!$D$15,CRONO!$F59,0)))
                +IF(AND($F61&lt;&gt;"",$F61&lt;&gt;0),
                        SUMIF(CÁLCULO!$BC$15:$BU$165,CRONO!AD$12,CÁLCULO!$AJ$15:$BB$165)/(ORÇAMENTO!$X$15-_xlfn.SINGLE(CÁLCULO.TotalAdmLocal))*CRONO!$F61,
                        0),
                 AD60*$S59),
          SUMIF(OFFSET($S61,1,0,$R59-2),($M59+1)&amp;"$",OFFSET(AD61,1,0,$R59-2)))</f>
        <v>0</v>
      </c>
      <c r="AE61" s="202" cm="1">
        <f t="array" aca="1" ref="AE61" ca="1">IF($R59=2,
         IF(AND(ACOMPANHAMENTO="PLE",ISNUMBER($F59)),
                SUMIF((OFFSET(CÁLCULO!$BC$15:$BU$15,$F59,0,OFFSET(ORÇAMENTO!$D$15,CRONO!$F59,0))),CRONO!AE$12,OFFSET(CÁLCULO!$AJ$15:$BB$15,$F59,0,OFFSET(ORÇAMENTO!$D$15,CRONO!$F59,0)))
                +IF(AND($F61&lt;&gt;"",$F61&lt;&gt;0),
                        SUMIF(CÁLCULO!$BC$15:$BU$165,CRONO!AE$12,CÁLCULO!$AJ$15:$BB$165)/(ORÇAMENTO!$X$15-_xlfn.SINGLE(CÁLCULO.TotalAdmLocal))*CRONO!$F61,
                        0),
                 AE60*$S59),
          SUMIF(OFFSET($S61,1,0,$R59-2),($M59+1)&amp;"$",OFFSET(AE61,1,0,$R59-2)))</f>
        <v>0</v>
      </c>
      <c r="AF61" s="202" cm="1">
        <f t="array" aca="1" ref="AF61" ca="1">IF($R59=2,
         IF(AND(ACOMPANHAMENTO="PLE",ISNUMBER($F59)),
                SUMIF((OFFSET(CÁLCULO!$BC$15:$BU$15,$F59,0,OFFSET(ORÇAMENTO!$D$15,CRONO!$F59,0))),CRONO!AF$12,OFFSET(CÁLCULO!$AJ$15:$BB$15,$F59,0,OFFSET(ORÇAMENTO!$D$15,CRONO!$F59,0)))
                +IF(AND($F61&lt;&gt;"",$F61&lt;&gt;0),
                        SUMIF(CÁLCULO!$BC$15:$BU$165,CRONO!AF$12,CÁLCULO!$AJ$15:$BB$165)/(ORÇAMENTO!$X$15-_xlfn.SINGLE(CÁLCULO.TotalAdmLocal))*CRONO!$F61,
                        0),
                 AF60*$S59),
          SUMIF(OFFSET($S61,1,0,$R59-2),($M59+1)&amp;"$",OFFSET(AF61,1,0,$R59-2)))</f>
        <v>0</v>
      </c>
      <c r="AG61" s="534"/>
    </row>
    <row r="62" spans="1:33" x14ac:dyDescent="0.25">
      <c r="A62" s="186" t="e">
        <f ca="1">IF($M62&gt;1,_xlfn.CONCAT($I62," ",$J62),"")</f>
        <v>#NAME?</v>
      </c>
      <c r="B62" s="185">
        <f t="shared" ref="B62" ca="1" si="91">OFFSET(B62,-3,0)+1</f>
        <v>17</v>
      </c>
      <c r="C62" s="185">
        <f ca="1">IF($R62&lt;&gt;2,0,IF($S62=0,1,IF(F63&gt;0,OFFSET(QCI!$M$13,SUBSTITUTE(F63,".",""),0),OFFSET(ORÇAMENTO!$AA$15,CRONO!$F62,0))/$S62))</f>
        <v>0.27621385324224024</v>
      </c>
      <c r="D62" s="185">
        <f ca="1">IF($R62&lt;&gt;2,0,IF($S62=0,1,IF(F63&gt;0,OFFSET(QCI!$N$13,SUBSTITUTE(F63,".",""),0),OFFSET(ORÇAMENTO!$AB$15,CRONO!$F62,0))/$S62))</f>
        <v>0</v>
      </c>
      <c r="E62" s="188" cm="1">
        <f t="array" aca="1" ref="E62" ca="1">IF(AND($R62=2,ACOMPANHAMENTO="BM"),ROUND(E63,4),E64/$S62)</f>
        <v>0</v>
      </c>
      <c r="F62" s="185">
        <f ca="1">IF(B62&lt;=ORÇAMENTO.MáximoListaCrono,MATCH(B62,ORÇAMENTO.ListaCrono,0),NA())</f>
        <v>79</v>
      </c>
      <c r="G62" s="185" t="str">
        <f t="shared" ref="G62" ca="1" si="92">IF(AND($F63&lt;&gt;-1,$S62&gt;0),"F","")</f>
        <v>F</v>
      </c>
      <c r="H62" s="189" t="str" cm="1">
        <f t="array" aca="1" ref="H62" ca="1">IF(OR(S62=0,S62=""),"Linha",IF(AND(OR(ACOMPANHAMENTO="PLE",$R62&lt;&gt;2),$F63=0),"Linha",ROUND(1-SUM(U62:AG62),4)))</f>
        <v>Linha</v>
      </c>
      <c r="I62" s="190" t="str">
        <f ca="1">IF($F63=0,OFFSET(ORÇAMENTO!O$15,$F62,0),IF($F63&lt;&gt;-1,OFFSET(QCI!$D$13,$F63,0),""))</f>
        <v>3.1.</v>
      </c>
      <c r="J62" s="191" t="str">
        <f ca="1">IF($F63=0,OFFSET(ORÇAMENTO!R$15,$F62,0),IF($F63&lt;&gt;-1,OFFSET(QCI!$G$13,$F63,0),""))</f>
        <v>DRENAGEM</v>
      </c>
      <c r="K62" s="191"/>
      <c r="L62" s="191"/>
      <c r="M62" s="192">
        <f ca="1">IF($F63=0,OFFSET(ORÇAMENTO!C$15,$F62,0),1)</f>
        <v>2</v>
      </c>
      <c r="N62" s="193">
        <f ca="1">IF($F63=-1,0,IF(N$13&lt;=$M62,IF(ISERROR(MATCH(N$13,OFFSET($M62,1,0,ROW($M$95)-ROW($M62)-1),0)),ROW($M$95)-ROW($M62)-1,MATCH(N$13,OFFSET($M62,1,0,ROW($M$95)-ROW($M62)-1),0)-1),0))</f>
        <v>14</v>
      </c>
      <c r="O62" s="193">
        <f ca="1">IF($F63=-1,0,IF(O$13&lt;=$M62,IF(ISERROR(MATCH(O$13,OFFSET($M62,1,0,ROW($M$95)-ROW($M62)-1),0)),ROW($M$95)-ROW($M62)-1,MATCH(O$13,OFFSET($M62,1,0,ROW($M$95)-ROW($M62)-1),0)-1),0))</f>
        <v>2</v>
      </c>
      <c r="P62" s="193">
        <f ca="1">IF($F63=-1,0,IF(P$13&lt;=$M62,IF(ISERROR(MATCH(P$13,OFFSET($M62,1,0,ROW($M$95)-ROW($M62)-1),0)),ROW($M$95)-ROW($M62)-1,MATCH(P$13,OFFSET($M62,1,0,ROW($M$95)-ROW($M62)-1),0)-1),0))</f>
        <v>0</v>
      </c>
      <c r="Q62" s="193">
        <f ca="1">IF($F63=-1,0,IF(Q$13&lt;=$M62,IF(ISERROR(MATCH(Q$13,OFFSET($M62,1,0,ROW($M$95)-ROW($M62)-1),0)),ROW($M$95)-ROW($M62)-1,MATCH(Q$13,OFFSET($M62,1,0,ROW($M$95)-ROW($M62)-1),0)-1),0))</f>
        <v>0</v>
      </c>
      <c r="R62" s="193">
        <f t="shared" ref="R62" ca="1" si="93">MIN(OFFSET(M62,0,1,,M62))</f>
        <v>2</v>
      </c>
      <c r="S62" s="194">
        <f ca="1">IF($F63=0,OFFSET(ORÇAMENTO!X$15,$F62,0),IF($F63&lt;&gt;-1,OFFSET(QCI!$O$13,$F63,0),""))</f>
        <v>82000.13</v>
      </c>
      <c r="T62" s="195" t="s">
        <v>785</v>
      </c>
      <c r="U62" s="188" cm="1">
        <f t="array" aca="1" ref="U62" ca="1">IF(AND($R62=2,ACOMPANHAMENTO="BM"),ROUND(U63,4),U64/$S62)</f>
        <v>0</v>
      </c>
      <c r="V62" s="188" cm="1">
        <f t="array" aca="1" ref="V62" ca="1">IF(AND($R62=2,ACOMPANHAMENTO="BM"),ROUND(V63,4),V64/$S62)</f>
        <v>0</v>
      </c>
      <c r="W62" s="188" cm="1">
        <f t="array" aca="1" ref="W62" ca="1">IF(AND($R62=2,ACOMPANHAMENTO="BM"),ROUND(W63,4),W64/$S62)</f>
        <v>1</v>
      </c>
      <c r="X62" s="188" cm="1">
        <f t="array" aca="1" ref="X62" ca="1">IF(AND($R62=2,ACOMPANHAMENTO="BM"),ROUND(X63,4),X64/$S62)</f>
        <v>0</v>
      </c>
      <c r="Y62" s="188" cm="1">
        <f t="array" aca="1" ref="Y62" ca="1">IF(AND($R62=2,ACOMPANHAMENTO="BM"),ROUND(Y63,4),Y64/$S62)</f>
        <v>0</v>
      </c>
      <c r="Z62" s="188" cm="1">
        <f t="array" aca="1" ref="Z62" ca="1">IF(AND($R62=2,ACOMPANHAMENTO="BM"),ROUND(Z63,4),Z64/$S62)</f>
        <v>0</v>
      </c>
      <c r="AA62" s="188" cm="1">
        <f t="array" aca="1" ref="AA62" ca="1">IF(AND($R62=2,ACOMPANHAMENTO="BM"),ROUND(AA63,4),AA64/$S62)</f>
        <v>0</v>
      </c>
      <c r="AB62" s="188" cm="1">
        <f t="array" aca="1" ref="AB62" ca="1">IF(AND($R62=2,ACOMPANHAMENTO="BM"),ROUND(AB63,4),AB64/$S62)</f>
        <v>0</v>
      </c>
      <c r="AC62" s="188" cm="1">
        <f t="array" aca="1" ref="AC62" ca="1">IF(AND($R62=2,ACOMPANHAMENTO="BM"),ROUND(AC63,4),AC64/$S62)</f>
        <v>0</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4"/>
    </row>
    <row r="63" spans="1:33" ht="12.75" hidden="1" customHeight="1" x14ac:dyDescent="0.25">
      <c r="E63" s="587"/>
      <c r="F63" s="185">
        <f ca="1">IF(ISERROR(F62),IF(1+COUNTIF($M$13:OFFSET(M62,-1,0),1)&lt;=MAX(QCI!$D$13:$D$24),1+COUNTIF($M$13:OFFSET(M62,-1,0),1),-1),0)</f>
        <v>0</v>
      </c>
      <c r="G63" s="185" t="str" cm="1">
        <f t="array" aca="1" ref="G63" ca="1">IF(ACOMPANHAMENTO="BM",OFFSET(G63,-1,0),"")</f>
        <v/>
      </c>
      <c r="H63" s="196" t="str" cm="1">
        <f t="array" aca="1" ref="H63" ca="1">IF(OR(S62=0,S62=""),"vazia",IF(AND(OR(ACOMPANHAMENTO="PLE",$R62&lt;&gt;2),$F63=0),"calculada","--&gt;"))</f>
        <v>calculada</v>
      </c>
      <c r="I63" s="197"/>
      <c r="J63" s="198" t="str">
        <f t="shared" ref="J63" ca="1" si="94">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hidden="1" customHeight="1" x14ac:dyDescent="0.25">
      <c r="D64" s="533"/>
      <c r="E64" s="202" cm="1">
        <f t="array" aca="1" ref="E64" ca="1">IF($R62=2,
         IF(AND(ACOMPANHAMENTO="PLE",ISNUMBER($F62)),
                SUMIF((OFFSET(CÁLCULO!$BC$15:$BU$15,$F62,0,OFFSET(ORÇAMENTO!$D$15,CRONO!$F62,0))),CRONO!E$12,OFFSET(CÁLCULO!$AJ$15:$BB$15,$F62,0,OFFSET(ORÇAMENTO!$D$15,CRONO!$F62,0)))
                +IF(AND($F64&lt;&gt;"",$F64&lt;&gt;0),
                        SUMIF(CÁLCULO!$BC$15:$BU$165,CRONO!E$12,CÁLCULO!$AJ$15:$BB$165)/(ORÇAMENTO!$X$15-_xlfn.SINGLE(CÁLCULO.TotalAdmLocal))*CRONO!$F64,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95">M62&amp;"$"</f>
        <v>2$</v>
      </c>
      <c r="T64" s="205"/>
      <c r="U64" s="202" cm="1">
        <f t="array" aca="1" ref="U64" ca="1">IF($R62=2,
         IF(AND(ACOMPANHAMENTO="PLE",ISNUMBER($F62)),
                SUMIF((OFFSET(CÁLCULO!$BC$15:$BU$15,$F62,0,OFFSET(ORÇAMENTO!$D$15,CRONO!$F62,0))),CRONO!U$12,OFFSET(CÁLCULO!$AJ$15:$BB$15,$F62,0,OFFSET(ORÇAMENTO!$D$15,CRONO!$F62,0)))
                +IF(AND($F64&lt;&gt;"",$F64&lt;&gt;0),
                        SUMIF(CÁLCULO!$BC$15:$BU$165,CRONO!U$12,CÁLCULO!$AJ$15:$BB$165)/(ORÇAMENTO!$X$15-_xlfn.SINGLE(CÁLCULO.TotalAdmLocal))*CRONO!$F64,
                        0),
                 U63*$S62),
          SUMIF(OFFSET($S64,1,0,$R62-2),($M62+1)&amp;"$",OFFSET(U64,1,0,$R62-2)))</f>
        <v>0</v>
      </c>
      <c r="V64" s="202" cm="1">
        <f t="array" aca="1" ref="V64" ca="1">IF($R62=2,
         IF(AND(ACOMPANHAMENTO="PLE",ISNUMBER($F62)),
                SUMIF((OFFSET(CÁLCULO!$BC$15:$BU$15,$F62,0,OFFSET(ORÇAMENTO!$D$15,CRONO!$F62,0))),CRONO!V$12,OFFSET(CÁLCULO!$AJ$15:$BB$15,$F62,0,OFFSET(ORÇAMENTO!$D$15,CRONO!$F62,0)))
                +IF(AND($F64&lt;&gt;"",$F64&lt;&gt;0),
                        SUMIF(CÁLCULO!$BC$15:$BU$165,CRONO!V$12,CÁLCULO!$AJ$15:$BB$165)/(ORÇAMENTO!$X$15-_xlfn.SINGLE(CÁLCULO.TotalAdmLocal))*CRONO!$F64,
                        0),
                 V63*$S62),
          SUMIF(OFFSET($S64,1,0,$R62-2),($M62+1)&amp;"$",OFFSET(V64,1,0,$R62-2)))</f>
        <v>0</v>
      </c>
      <c r="W64" s="202" cm="1">
        <f t="array" aca="1" ref="W64" ca="1">IF($R62=2,
         IF(AND(ACOMPANHAMENTO="PLE",ISNUMBER($F62)),
                SUMIF((OFFSET(CÁLCULO!$BC$15:$BU$15,$F62,0,OFFSET(ORÇAMENTO!$D$15,CRONO!$F62,0))),CRONO!W$12,OFFSET(CÁLCULO!$AJ$15:$BB$15,$F62,0,OFFSET(ORÇAMENTO!$D$15,CRONO!$F62,0)))
                +IF(AND($F64&lt;&gt;"",$F64&lt;&gt;0),
                        SUMIF(CÁLCULO!$BC$15:$BU$165,CRONO!W$12,CÁLCULO!$AJ$15:$BB$165)/(ORÇAMENTO!$X$15-_xlfn.SINGLE(CÁLCULO.TotalAdmLocal))*CRONO!$F64,
                        0),
                 W63*$S62),
          SUMIF(OFFSET($S64,1,0,$R62-2),($M62+1)&amp;"$",OFFSET(W64,1,0,$R62-2)))</f>
        <v>82000.13</v>
      </c>
      <c r="X64" s="202" cm="1">
        <f t="array" aca="1" ref="X64" ca="1">IF($R62=2,
         IF(AND(ACOMPANHAMENTO="PLE",ISNUMBER($F62)),
                SUMIF((OFFSET(CÁLCULO!$BC$15:$BU$15,$F62,0,OFFSET(ORÇAMENTO!$D$15,CRONO!$F62,0))),CRONO!X$12,OFFSET(CÁLCULO!$AJ$15:$BB$15,$F62,0,OFFSET(ORÇAMENTO!$D$15,CRONO!$F62,0)))
                +IF(AND($F64&lt;&gt;"",$F64&lt;&gt;0),
                        SUMIF(CÁLCULO!$BC$15:$BU$165,CRONO!X$12,CÁLCULO!$AJ$15:$BB$165)/(ORÇAMENTO!$X$15-_xlfn.SINGLE(CÁLCULO.TotalAdmLocal))*CRONO!$F64,
                        0),
                 X63*$S62),
          SUMIF(OFFSET($S64,1,0,$R62-2),($M62+1)&amp;"$",OFFSET(X64,1,0,$R62-2)))</f>
        <v>0</v>
      </c>
      <c r="Y64" s="202" cm="1">
        <f t="array" aca="1" ref="Y64" ca="1">IF($R62=2,
         IF(AND(ACOMPANHAMENTO="PLE",ISNUMBER($F62)),
                SUMIF((OFFSET(CÁLCULO!$BC$15:$BU$15,$F62,0,OFFSET(ORÇAMENTO!$D$15,CRONO!$F62,0))),CRONO!Y$12,OFFSET(CÁLCULO!$AJ$15:$BB$15,$F62,0,OFFSET(ORÇAMENTO!$D$15,CRONO!$F62,0)))
                +IF(AND($F64&lt;&gt;"",$F64&lt;&gt;0),
                        SUMIF(CÁLCULO!$BC$15:$BU$165,CRONO!Y$12,CÁLCULO!$AJ$15:$BB$165)/(ORÇAMENTO!$X$15-_xlfn.SINGLE(CÁLCULO.TotalAdmLocal))*CRONO!$F64,
                        0),
                 Y63*$S62),
          SUMIF(OFFSET($S64,1,0,$R62-2),($M62+1)&amp;"$",OFFSET(Y64,1,0,$R62-2)))</f>
        <v>0</v>
      </c>
      <c r="Z64" s="202" cm="1">
        <f t="array" aca="1" ref="Z64" ca="1">IF($R62=2,
         IF(AND(ACOMPANHAMENTO="PLE",ISNUMBER($F62)),
                SUMIF((OFFSET(CÁLCULO!$BC$15:$BU$15,$F62,0,OFFSET(ORÇAMENTO!$D$15,CRONO!$F62,0))),CRONO!Z$12,OFFSET(CÁLCULO!$AJ$15:$BB$15,$F62,0,OFFSET(ORÇAMENTO!$D$15,CRONO!$F62,0)))
                +IF(AND($F64&lt;&gt;"",$F64&lt;&gt;0),
                        SUMIF(CÁLCULO!$BC$15:$BU$165,CRONO!Z$12,CÁLCULO!$AJ$15:$BB$165)/(ORÇAMENTO!$X$15-_xlfn.SINGLE(CÁLCULO.TotalAdmLocal))*CRONO!$F64,
                        0),
                 Z63*$S62),
          SUMIF(OFFSET($S64,1,0,$R62-2),($M62+1)&amp;"$",OFFSET(Z64,1,0,$R62-2)))</f>
        <v>0</v>
      </c>
      <c r="AA64" s="202" cm="1">
        <f t="array" aca="1" ref="AA64" ca="1">IF($R62=2,
         IF(AND(ACOMPANHAMENTO="PLE",ISNUMBER($F62)),
                SUMIF((OFFSET(CÁLCULO!$BC$15:$BU$15,$F62,0,OFFSET(ORÇAMENTO!$D$15,CRONO!$F62,0))),CRONO!AA$12,OFFSET(CÁLCULO!$AJ$15:$BB$15,$F62,0,OFFSET(ORÇAMENTO!$D$15,CRONO!$F62,0)))
                +IF(AND($F64&lt;&gt;"",$F64&lt;&gt;0),
                        SUMIF(CÁLCULO!$BC$15:$BU$165,CRONO!AA$12,CÁLCULO!$AJ$15:$BB$165)/(ORÇAMENTO!$X$15-_xlfn.SINGLE(CÁLCULO.TotalAdmLocal))*CRONO!$F64,
                        0),
                 AA63*$S62),
          SUMIF(OFFSET($S64,1,0,$R62-2),($M62+1)&amp;"$",OFFSET(AA64,1,0,$R62-2)))</f>
        <v>0</v>
      </c>
      <c r="AB64" s="202" cm="1">
        <f t="array" aca="1" ref="AB64" ca="1">IF($R62=2,
         IF(AND(ACOMPANHAMENTO="PLE",ISNUMBER($F62)),
                SUMIF((OFFSET(CÁLCULO!$BC$15:$BU$15,$F62,0,OFFSET(ORÇAMENTO!$D$15,CRONO!$F62,0))),CRONO!AB$12,OFFSET(CÁLCULO!$AJ$15:$BB$15,$F62,0,OFFSET(ORÇAMENTO!$D$15,CRONO!$F62,0)))
                +IF(AND($F64&lt;&gt;"",$F64&lt;&gt;0),
                        SUMIF(CÁLCULO!$BC$15:$BU$165,CRONO!AB$12,CÁLCULO!$AJ$15:$BB$165)/(ORÇAMENTO!$X$15-_xlfn.SINGLE(CÁLCULO.TotalAdmLocal))*CRONO!$F64,
                        0),
                 AB63*$S62),
          SUMIF(OFFSET($S64,1,0,$R62-2),($M62+1)&amp;"$",OFFSET(AB64,1,0,$R62-2)))</f>
        <v>0</v>
      </c>
      <c r="AC64" s="202" cm="1">
        <f t="array" aca="1" ref="AC64" ca="1">IF($R62=2,
         IF(AND(ACOMPANHAMENTO="PLE",ISNUMBER($F62)),
                SUMIF((OFFSET(CÁLCULO!$BC$15:$BU$15,$F62,0,OFFSET(ORÇAMENTO!$D$15,CRONO!$F62,0))),CRONO!AC$12,OFFSET(CÁLCULO!$AJ$15:$BB$15,$F62,0,OFFSET(ORÇAMENTO!$D$15,CRONO!$F62,0)))
                +IF(AND($F64&lt;&gt;"",$F64&lt;&gt;0),
                        SUMIF(CÁLCULO!$BC$15:$BU$165,CRONO!AC$12,CÁLCULO!$AJ$15:$BB$165)/(ORÇAMENTO!$X$15-_xlfn.SINGLE(CÁLCULO.TotalAdmLocal))*CRONO!$F64,
                        0),
                 AC63*$S62),
          SUMIF(OFFSET($S64,1,0,$R62-2),($M62+1)&amp;"$",OFFSET(AC64,1,0,$R62-2)))</f>
        <v>0</v>
      </c>
      <c r="AD64" s="202" cm="1">
        <f t="array" aca="1" ref="AD64" ca="1">IF($R62=2,
         IF(AND(ACOMPANHAMENTO="PLE",ISNUMBER($F62)),
                SUMIF((OFFSET(CÁLCULO!$BC$15:$BU$15,$F62,0,OFFSET(ORÇAMENTO!$D$15,CRONO!$F62,0))),CRONO!AD$12,OFFSET(CÁLCULO!$AJ$15:$BB$15,$F62,0,OFFSET(ORÇAMENTO!$D$15,CRONO!$F62,0)))
                +IF(AND($F64&lt;&gt;"",$F64&lt;&gt;0),
                        SUMIF(CÁLCULO!$BC$15:$BU$165,CRONO!AD$12,CÁLCULO!$AJ$15:$BB$165)/(ORÇAMENTO!$X$15-_xlfn.SINGLE(CÁLCULO.TotalAdmLocal))*CRONO!$F64,
                        0),
                 AD63*$S62),
          SUMIF(OFFSET($S64,1,0,$R62-2),($M62+1)&amp;"$",OFFSET(AD64,1,0,$R62-2)))</f>
        <v>0</v>
      </c>
      <c r="AE64" s="202" cm="1">
        <f t="array" aca="1" ref="AE64" ca="1">IF($R62=2,
         IF(AND(ACOMPANHAMENTO="PLE",ISNUMBER($F62)),
                SUMIF((OFFSET(CÁLCULO!$BC$15:$BU$15,$F62,0,OFFSET(ORÇAMENTO!$D$15,CRONO!$F62,0))),CRONO!AE$12,OFFSET(CÁLCULO!$AJ$15:$BB$15,$F62,0,OFFSET(ORÇAMENTO!$D$15,CRONO!$F62,0)))
                +IF(AND($F64&lt;&gt;"",$F64&lt;&gt;0),
                        SUMIF(CÁLCULO!$BC$15:$BU$165,CRONO!AE$12,CÁLCULO!$AJ$15:$BB$165)/(ORÇAMENTO!$X$15-_xlfn.SINGLE(CÁLCULO.TotalAdmLocal))*CRONO!$F64,
                        0),
                 AE63*$S62),
          SUMIF(OFFSET($S64,1,0,$R62-2),($M62+1)&amp;"$",OFFSET(AE64,1,0,$R62-2)))</f>
        <v>0</v>
      </c>
      <c r="AF64" s="202" cm="1">
        <f t="array" aca="1" ref="AF64" ca="1">IF($R62=2,
         IF(AND(ACOMPANHAMENTO="PLE",ISNUMBER($F62)),
                SUMIF((OFFSET(CÁLCULO!$BC$15:$BU$15,$F62,0,OFFSET(ORÇAMENTO!$D$15,CRONO!$F62,0))),CRONO!AF$12,OFFSET(CÁLCULO!$AJ$15:$BB$15,$F62,0,OFFSET(ORÇAMENTO!$D$15,CRONO!$F62,0)))
                +IF(AND($F64&lt;&gt;"",$F64&lt;&gt;0),
                        SUMIF(CÁLCULO!$BC$15:$BU$165,CRONO!AF$12,CÁLCULO!$AJ$15:$BB$165)/(ORÇAMENTO!$X$15-_xlfn.SINGLE(CÁLCULO.TotalAdmLocal))*CRONO!$F64,
                        0),
                 AF63*$S62),
          SUMIF(OFFSET($S64,1,0,$R62-2),($M62+1)&amp;"$",OFFSET(AF64,1,0,$R62-2)))</f>
        <v>0</v>
      </c>
      <c r="AG64" s="534"/>
    </row>
    <row r="65" spans="1:33" x14ac:dyDescent="0.25">
      <c r="A65" s="186" t="e">
        <f ca="1">IF($M65&gt;1,_xlfn.CONCAT($I65," ",$J65),"")</f>
        <v>#NAME?</v>
      </c>
      <c r="B65" s="185">
        <f t="shared" ref="B65" ca="1" si="96">OFFSET(B65,-3,0)+1</f>
        <v>18</v>
      </c>
      <c r="C65" s="185">
        <f ca="1">IF($R65&lt;&gt;2,0,IF($S65=0,1,IF(F66&gt;0,OFFSET(QCI!$M$13,SUBSTITUTE(F66,".",""),0),OFFSET(ORÇAMENTO!$AA$15,CRONO!$F65,0))/$S65))</f>
        <v>0.27621385324224024</v>
      </c>
      <c r="D65" s="185">
        <f ca="1">IF($R65&lt;&gt;2,0,IF($S65=0,1,IF(F66&gt;0,OFFSET(QCI!$N$13,SUBSTITUTE(F66,".",""),0),OFFSET(ORÇAMENTO!$AB$15,CRONO!$F65,0))/$S65))</f>
        <v>0</v>
      </c>
      <c r="E65" s="188" cm="1">
        <f t="array" aca="1" ref="E65" ca="1">IF(AND($R65=2,ACOMPANHAMENTO="BM"),ROUND(E66,4),E67/$S65)</f>
        <v>0</v>
      </c>
      <c r="F65" s="185">
        <f ca="1">IF(B65&lt;=ORÇAMENTO.MáximoListaCrono,MATCH(B65,ORÇAMENTO.ListaCrono,0),NA())</f>
        <v>86</v>
      </c>
      <c r="G65" s="185" t="str">
        <f t="shared" ref="G65" ca="1" si="97">IF(AND($F66&lt;&gt;-1,$S65&gt;0),"F","")</f>
        <v>F</v>
      </c>
      <c r="H65" s="189" t="str" cm="1">
        <f t="array" aca="1" ref="H65" ca="1">IF(OR(S65=0,S65=""),"Linha",IF(AND(OR(ACOMPANHAMENTO="PLE",$R65&lt;&gt;2),$F66=0),"Linha",ROUND(1-SUM(U65:AG65),4)))</f>
        <v>Linha</v>
      </c>
      <c r="I65" s="190" t="str">
        <f ca="1">IF($F66=0,OFFSET(ORÇAMENTO!O$15,$F65,0),IF($F66&lt;&gt;-1,OFFSET(QCI!$D$13,$F66,0),""))</f>
        <v>3.2.</v>
      </c>
      <c r="J65" s="191" t="str">
        <f ca="1">IF($F66=0,OFFSET(ORÇAMENTO!R$15,$F65,0),IF($F66&lt;&gt;-1,OFFSET(QCI!$G$13,$F66,0),""))</f>
        <v>PAVIMENTAÇÃO</v>
      </c>
      <c r="K65" s="191"/>
      <c r="L65" s="191"/>
      <c r="M65" s="192">
        <f ca="1">IF($F66=0,OFFSET(ORÇAMENTO!C$15,$F65,0),1)</f>
        <v>2</v>
      </c>
      <c r="N65" s="193">
        <f ca="1">IF($F66=-1,0,IF(N$13&lt;=$M65,IF(ISERROR(MATCH(N$13,OFFSET($M65,1,0,ROW($M$95)-ROW($M65)-1),0)),ROW($M$95)-ROW($M65)-1,MATCH(N$13,OFFSET($M65,1,0,ROW($M$95)-ROW($M65)-1),0)-1),0))</f>
        <v>11</v>
      </c>
      <c r="O65" s="193">
        <f ca="1">IF($F66=-1,0,IF(O$13&lt;=$M65,IF(ISERROR(MATCH(O$13,OFFSET($M65,1,0,ROW($M$95)-ROW($M65)-1),0)),ROW($M$95)-ROW($M65)-1,MATCH(O$13,OFFSET($M65,1,0,ROW($M$95)-ROW($M65)-1),0)-1),0))</f>
        <v>2</v>
      </c>
      <c r="P65" s="193">
        <f ca="1">IF($F66=-1,0,IF(P$13&lt;=$M65,IF(ISERROR(MATCH(P$13,OFFSET($M65,1,0,ROW($M$95)-ROW($M65)-1),0)),ROW($M$95)-ROW($M65)-1,MATCH(P$13,OFFSET($M65,1,0,ROW($M$95)-ROW($M65)-1),0)-1),0))</f>
        <v>0</v>
      </c>
      <c r="Q65" s="193">
        <f ca="1">IF($F66=-1,0,IF(Q$13&lt;=$M65,IF(ISERROR(MATCH(Q$13,OFFSET($M65,1,0,ROW($M$95)-ROW($M65)-1),0)),ROW($M$95)-ROW($M65)-1,MATCH(Q$13,OFFSET($M65,1,0,ROW($M$95)-ROW($M65)-1),0)-1),0))</f>
        <v>0</v>
      </c>
      <c r="R65" s="193">
        <f t="shared" ref="R65" ca="1" si="98">MIN(OFFSET(M65,0,1,,M65))</f>
        <v>2</v>
      </c>
      <c r="S65" s="194">
        <f ca="1">IF($F66=0,OFFSET(ORÇAMENTO!X$15,$F65,0),IF($F66&lt;&gt;-1,OFFSET(QCI!$O$13,$F66,0),""))</f>
        <v>250037.75</v>
      </c>
      <c r="T65" s="195" t="s">
        <v>785</v>
      </c>
      <c r="U65" s="188" cm="1">
        <f t="array" aca="1" ref="U65" ca="1">IF(AND($R65=2,ACOMPANHAMENTO="BM"),ROUND(U66,4),U67/$S65)</f>
        <v>0</v>
      </c>
      <c r="V65" s="188" cm="1">
        <f t="array" aca="1" ref="V65" ca="1">IF(AND($R65=2,ACOMPANHAMENTO="BM"),ROUND(V66,4),V67/$S65)</f>
        <v>0</v>
      </c>
      <c r="W65" s="188" cm="1">
        <f t="array" aca="1" ref="W65" ca="1">IF(AND($R65=2,ACOMPANHAMENTO="BM"),ROUND(W66,4),W67/$S65)</f>
        <v>0</v>
      </c>
      <c r="X65" s="188" cm="1">
        <f t="array" aca="1" ref="X65" ca="1">IF(AND($R65=2,ACOMPANHAMENTO="BM"),ROUND(X66,4),X67/$S65)</f>
        <v>1.0000000000000002</v>
      </c>
      <c r="Y65" s="188" cm="1">
        <f t="array" aca="1" ref="Y65" ca="1">IF(AND($R65=2,ACOMPANHAMENTO="BM"),ROUND(Y66,4),Y67/$S65)</f>
        <v>0</v>
      </c>
      <c r="Z65" s="188" cm="1">
        <f t="array" aca="1" ref="Z65" ca="1">IF(AND($R65=2,ACOMPANHAMENTO="BM"),ROUND(Z66,4),Z67/$S65)</f>
        <v>0</v>
      </c>
      <c r="AA65" s="188" cm="1">
        <f t="array" aca="1" ref="AA65" ca="1">IF(AND($R65=2,ACOMPANHAMENTO="BM"),ROUND(AA66,4),AA67/$S65)</f>
        <v>0</v>
      </c>
      <c r="AB65" s="188" cm="1">
        <f t="array" aca="1" ref="AB65" ca="1">IF(AND($R65=2,ACOMPANHAMENTO="BM"),ROUND(AB66,4),AB67/$S65)</f>
        <v>0</v>
      </c>
      <c r="AC65" s="188" cm="1">
        <f t="array" aca="1" ref="AC65" ca="1">IF(AND($R65=2,ACOMPANHAMENTO="BM"),ROUND(AC66,4),AC67/$S65)</f>
        <v>0</v>
      </c>
      <c r="AD65" s="188" cm="1">
        <f t="array" aca="1" ref="AD65" ca="1">IF(AND($R65=2,ACOMPANHAMENTO="BM"),ROUND(AD66,4),AD67/$S65)</f>
        <v>0</v>
      </c>
      <c r="AE65" s="188" cm="1">
        <f t="array" aca="1" ref="AE65" ca="1">IF(AND($R65=2,ACOMPANHAMENTO="BM"),ROUND(AE66,4),AE67/$S65)</f>
        <v>0</v>
      </c>
      <c r="AF65" s="188" cm="1">
        <f t="array" aca="1" ref="AF65" ca="1">IF(AND($R65=2,ACOMPANHAMENTO="BM"),ROUND(AF66,4),AF67/$S65)</f>
        <v>0</v>
      </c>
      <c r="AG65" s="534"/>
    </row>
    <row r="66" spans="1:33" ht="12.75" hidden="1" customHeight="1" x14ac:dyDescent="0.25">
      <c r="E66" s="587"/>
      <c r="F66" s="185">
        <f ca="1">IF(ISERROR(F65),IF(1+COUNTIF($M$13:OFFSET(M65,-1,0),1)&lt;=MAX(QCI!$D$13:$D$24),1+COUNTIF($M$13:OFFSET(M65,-1,0),1),-1),0)</f>
        <v>0</v>
      </c>
      <c r="G66" s="185" t="str" cm="1">
        <f t="array" aca="1" ref="G66" ca="1">IF(ACOMPANHAMENTO="BM",OFFSET(G66,-1,0),"")</f>
        <v/>
      </c>
      <c r="H66" s="196" t="str" cm="1">
        <f t="array" aca="1" ref="H66" ca="1">IF(OR(S65=0,S65=""),"vazia",IF(AND(OR(ACOMPANHAMENTO="PLE",$R65&lt;&gt;2),$F66=0),"calculada","--&gt;"))</f>
        <v>calculada</v>
      </c>
      <c r="I66" s="197"/>
      <c r="J66" s="198" t="str">
        <f t="shared" ref="J66" ca="1" si="99">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hidden="1" customHeight="1" x14ac:dyDescent="0.25">
      <c r="D67" s="533"/>
      <c r="E67" s="202" cm="1">
        <f t="array" aca="1" ref="E67" ca="1">IF($R65=2,
         IF(AND(ACOMPANHAMENTO="PLE",ISNUMBER($F65)),
                SUMIF((OFFSET(CÁLCULO!$BC$15:$BU$15,$F65,0,OFFSET(ORÇAMENTO!$D$15,CRONO!$F65,0))),CRONO!E$12,OFFSET(CÁLCULO!$AJ$15:$BB$15,$F65,0,OFFSET(ORÇAMENTO!$D$15,CRONO!$F65,0)))
                +IF(AND($F67&lt;&gt;"",$F67&lt;&gt;0),
                        SUMIF(CÁLCULO!$BC$15:$BU$165,CRONO!E$12,CÁLCULO!$AJ$15:$BB$165)/(ORÇAMENTO!$X$15-_xlfn.SINGLE(CÁLCULO.TotalAdmLocal))*CRONO!$F67,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0">M65&amp;"$"</f>
        <v>2$</v>
      </c>
      <c r="T67" s="205"/>
      <c r="U67" s="202" cm="1">
        <f t="array" aca="1" ref="U67" ca="1">IF($R65=2,
         IF(AND(ACOMPANHAMENTO="PLE",ISNUMBER($F65)),
                SUMIF((OFFSET(CÁLCULO!$BC$15:$BU$15,$F65,0,OFFSET(ORÇAMENTO!$D$15,CRONO!$F65,0))),CRONO!U$12,OFFSET(CÁLCULO!$AJ$15:$BB$15,$F65,0,OFFSET(ORÇAMENTO!$D$15,CRONO!$F65,0)))
                +IF(AND($F67&lt;&gt;"",$F67&lt;&gt;0),
                        SUMIF(CÁLCULO!$BC$15:$BU$165,CRONO!U$12,CÁLCULO!$AJ$15:$BB$165)/(ORÇAMENTO!$X$15-_xlfn.SINGLE(CÁLCULO.TotalAdmLocal))*CRONO!$F67,
                        0),
                 U66*$S65),
          SUMIF(OFFSET($S67,1,0,$R65-2),($M65+1)&amp;"$",OFFSET(U67,1,0,$R65-2)))</f>
        <v>0</v>
      </c>
      <c r="V67" s="202" cm="1">
        <f t="array" aca="1" ref="V67" ca="1">IF($R65=2,
         IF(AND(ACOMPANHAMENTO="PLE",ISNUMBER($F65)),
                SUMIF((OFFSET(CÁLCULO!$BC$15:$BU$15,$F65,0,OFFSET(ORÇAMENTO!$D$15,CRONO!$F65,0))),CRONO!V$12,OFFSET(CÁLCULO!$AJ$15:$BB$15,$F65,0,OFFSET(ORÇAMENTO!$D$15,CRONO!$F65,0)))
                +IF(AND($F67&lt;&gt;"",$F67&lt;&gt;0),
                        SUMIF(CÁLCULO!$BC$15:$BU$165,CRONO!V$12,CÁLCULO!$AJ$15:$BB$165)/(ORÇAMENTO!$X$15-_xlfn.SINGLE(CÁLCULO.TotalAdmLocal))*CRONO!$F67,
                        0),
                 V66*$S65),
          SUMIF(OFFSET($S67,1,0,$R65-2),($M65+1)&amp;"$",OFFSET(V67,1,0,$R65-2)))</f>
        <v>0</v>
      </c>
      <c r="W67" s="202" cm="1">
        <f t="array" aca="1" ref="W67" ca="1">IF($R65=2,
         IF(AND(ACOMPANHAMENTO="PLE",ISNUMBER($F65)),
                SUMIF((OFFSET(CÁLCULO!$BC$15:$BU$15,$F65,0,OFFSET(ORÇAMENTO!$D$15,CRONO!$F65,0))),CRONO!W$12,OFFSET(CÁLCULO!$AJ$15:$BB$15,$F65,0,OFFSET(ORÇAMENTO!$D$15,CRONO!$F65,0)))
                +IF(AND($F67&lt;&gt;"",$F67&lt;&gt;0),
                        SUMIF(CÁLCULO!$BC$15:$BU$165,CRONO!W$12,CÁLCULO!$AJ$15:$BB$165)/(ORÇAMENTO!$X$15-_xlfn.SINGLE(CÁLCULO.TotalAdmLocal))*CRONO!$F67,
                        0),
                 W66*$S65),
          SUMIF(OFFSET($S67,1,0,$R65-2),($M65+1)&amp;"$",OFFSET(W67,1,0,$R65-2)))</f>
        <v>0</v>
      </c>
      <c r="X67" s="202" cm="1">
        <f t="array" aca="1" ref="X67" ca="1">IF($R65=2,
         IF(AND(ACOMPANHAMENTO="PLE",ISNUMBER($F65)),
                SUMIF((OFFSET(CÁLCULO!$BC$15:$BU$15,$F65,0,OFFSET(ORÇAMENTO!$D$15,CRONO!$F65,0))),CRONO!X$12,OFFSET(CÁLCULO!$AJ$15:$BB$15,$F65,0,OFFSET(ORÇAMENTO!$D$15,CRONO!$F65,0)))
                +IF(AND($F67&lt;&gt;"",$F67&lt;&gt;0),
                        SUMIF(CÁLCULO!$BC$15:$BU$165,CRONO!X$12,CÁLCULO!$AJ$15:$BB$165)/(ORÇAMENTO!$X$15-_xlfn.SINGLE(CÁLCULO.TotalAdmLocal))*CRONO!$F67,
                        0),
                 X66*$S65),
          SUMIF(OFFSET($S67,1,0,$R65-2),($M65+1)&amp;"$",OFFSET(X67,1,0,$R65-2)))</f>
        <v>250037.75000000003</v>
      </c>
      <c r="Y67" s="202" cm="1">
        <f t="array" aca="1" ref="Y67" ca="1">IF($R65=2,
         IF(AND(ACOMPANHAMENTO="PLE",ISNUMBER($F65)),
                SUMIF((OFFSET(CÁLCULO!$BC$15:$BU$15,$F65,0,OFFSET(ORÇAMENTO!$D$15,CRONO!$F65,0))),CRONO!Y$12,OFFSET(CÁLCULO!$AJ$15:$BB$15,$F65,0,OFFSET(ORÇAMENTO!$D$15,CRONO!$F65,0)))
                +IF(AND($F67&lt;&gt;"",$F67&lt;&gt;0),
                        SUMIF(CÁLCULO!$BC$15:$BU$165,CRONO!Y$12,CÁLCULO!$AJ$15:$BB$165)/(ORÇAMENTO!$X$15-_xlfn.SINGLE(CÁLCULO.TotalAdmLocal))*CRONO!$F67,
                        0),
                 Y66*$S65),
          SUMIF(OFFSET($S67,1,0,$R65-2),($M65+1)&amp;"$",OFFSET(Y67,1,0,$R65-2)))</f>
        <v>0</v>
      </c>
      <c r="Z67" s="202" cm="1">
        <f t="array" aca="1" ref="Z67" ca="1">IF($R65=2,
         IF(AND(ACOMPANHAMENTO="PLE",ISNUMBER($F65)),
                SUMIF((OFFSET(CÁLCULO!$BC$15:$BU$15,$F65,0,OFFSET(ORÇAMENTO!$D$15,CRONO!$F65,0))),CRONO!Z$12,OFFSET(CÁLCULO!$AJ$15:$BB$15,$F65,0,OFFSET(ORÇAMENTO!$D$15,CRONO!$F65,0)))
                +IF(AND($F67&lt;&gt;"",$F67&lt;&gt;0),
                        SUMIF(CÁLCULO!$BC$15:$BU$165,CRONO!Z$12,CÁLCULO!$AJ$15:$BB$165)/(ORÇAMENTO!$X$15-_xlfn.SINGLE(CÁLCULO.TotalAdmLocal))*CRONO!$F67,
                        0),
                 Z66*$S65),
          SUMIF(OFFSET($S67,1,0,$R65-2),($M65+1)&amp;"$",OFFSET(Z67,1,0,$R65-2)))</f>
        <v>0</v>
      </c>
      <c r="AA67" s="202" cm="1">
        <f t="array" aca="1" ref="AA67" ca="1">IF($R65=2,
         IF(AND(ACOMPANHAMENTO="PLE",ISNUMBER($F65)),
                SUMIF((OFFSET(CÁLCULO!$BC$15:$BU$15,$F65,0,OFFSET(ORÇAMENTO!$D$15,CRONO!$F65,0))),CRONO!AA$12,OFFSET(CÁLCULO!$AJ$15:$BB$15,$F65,0,OFFSET(ORÇAMENTO!$D$15,CRONO!$F65,0)))
                +IF(AND($F67&lt;&gt;"",$F67&lt;&gt;0),
                        SUMIF(CÁLCULO!$BC$15:$BU$165,CRONO!AA$12,CÁLCULO!$AJ$15:$BB$165)/(ORÇAMENTO!$X$15-_xlfn.SINGLE(CÁLCULO.TotalAdmLocal))*CRONO!$F67,
                        0),
                 AA66*$S65),
          SUMIF(OFFSET($S67,1,0,$R65-2),($M65+1)&amp;"$",OFFSET(AA67,1,0,$R65-2)))</f>
        <v>0</v>
      </c>
      <c r="AB67" s="202" cm="1">
        <f t="array" aca="1" ref="AB67" ca="1">IF($R65=2,
         IF(AND(ACOMPANHAMENTO="PLE",ISNUMBER($F65)),
                SUMIF((OFFSET(CÁLCULO!$BC$15:$BU$15,$F65,0,OFFSET(ORÇAMENTO!$D$15,CRONO!$F65,0))),CRONO!AB$12,OFFSET(CÁLCULO!$AJ$15:$BB$15,$F65,0,OFFSET(ORÇAMENTO!$D$15,CRONO!$F65,0)))
                +IF(AND($F67&lt;&gt;"",$F67&lt;&gt;0),
                        SUMIF(CÁLCULO!$BC$15:$BU$165,CRONO!AB$12,CÁLCULO!$AJ$15:$BB$165)/(ORÇAMENTO!$X$15-_xlfn.SINGLE(CÁLCULO.TotalAdmLocal))*CRONO!$F67,
                        0),
                 AB66*$S65),
          SUMIF(OFFSET($S67,1,0,$R65-2),($M65+1)&amp;"$",OFFSET(AB67,1,0,$R65-2)))</f>
        <v>0</v>
      </c>
      <c r="AC67" s="202" cm="1">
        <f t="array" aca="1" ref="AC67" ca="1">IF($R65=2,
         IF(AND(ACOMPANHAMENTO="PLE",ISNUMBER($F65)),
                SUMIF((OFFSET(CÁLCULO!$BC$15:$BU$15,$F65,0,OFFSET(ORÇAMENTO!$D$15,CRONO!$F65,0))),CRONO!AC$12,OFFSET(CÁLCULO!$AJ$15:$BB$15,$F65,0,OFFSET(ORÇAMENTO!$D$15,CRONO!$F65,0)))
                +IF(AND($F67&lt;&gt;"",$F67&lt;&gt;0),
                        SUMIF(CÁLCULO!$BC$15:$BU$165,CRONO!AC$12,CÁLCULO!$AJ$15:$BB$165)/(ORÇAMENTO!$X$15-_xlfn.SINGLE(CÁLCULO.TotalAdmLocal))*CRONO!$F67,
                        0),
                 AC66*$S65),
          SUMIF(OFFSET($S67,1,0,$R65-2),($M65+1)&amp;"$",OFFSET(AC67,1,0,$R65-2)))</f>
        <v>0</v>
      </c>
      <c r="AD67" s="202" cm="1">
        <f t="array" aca="1" ref="AD67" ca="1">IF($R65=2,
         IF(AND(ACOMPANHAMENTO="PLE",ISNUMBER($F65)),
                SUMIF((OFFSET(CÁLCULO!$BC$15:$BU$15,$F65,0,OFFSET(ORÇAMENTO!$D$15,CRONO!$F65,0))),CRONO!AD$12,OFFSET(CÁLCULO!$AJ$15:$BB$15,$F65,0,OFFSET(ORÇAMENTO!$D$15,CRONO!$F65,0)))
                +IF(AND($F67&lt;&gt;"",$F67&lt;&gt;0),
                        SUMIF(CÁLCULO!$BC$15:$BU$165,CRONO!AD$12,CÁLCULO!$AJ$15:$BB$165)/(ORÇAMENTO!$X$15-_xlfn.SINGLE(CÁLCULO.TotalAdmLocal))*CRONO!$F67,
                        0),
                 AD66*$S65),
          SUMIF(OFFSET($S67,1,0,$R65-2),($M65+1)&amp;"$",OFFSET(AD67,1,0,$R65-2)))</f>
        <v>0</v>
      </c>
      <c r="AE67" s="202" cm="1">
        <f t="array" aca="1" ref="AE67" ca="1">IF($R65=2,
         IF(AND(ACOMPANHAMENTO="PLE",ISNUMBER($F65)),
                SUMIF((OFFSET(CÁLCULO!$BC$15:$BU$15,$F65,0,OFFSET(ORÇAMENTO!$D$15,CRONO!$F65,0))),CRONO!AE$12,OFFSET(CÁLCULO!$AJ$15:$BB$15,$F65,0,OFFSET(ORÇAMENTO!$D$15,CRONO!$F65,0)))
                +IF(AND($F67&lt;&gt;"",$F67&lt;&gt;0),
                        SUMIF(CÁLCULO!$BC$15:$BU$165,CRONO!AE$12,CÁLCULO!$AJ$15:$BB$165)/(ORÇAMENTO!$X$15-_xlfn.SINGLE(CÁLCULO.TotalAdmLocal))*CRONO!$F67,
                        0),
                 AE66*$S65),
          SUMIF(OFFSET($S67,1,0,$R65-2),($M65+1)&amp;"$",OFFSET(AE67,1,0,$R65-2)))</f>
        <v>0</v>
      </c>
      <c r="AF67" s="202" cm="1">
        <f t="array" aca="1" ref="AF67" ca="1">IF($R65=2,
         IF(AND(ACOMPANHAMENTO="PLE",ISNUMBER($F65)),
                SUMIF((OFFSET(CÁLCULO!$BC$15:$BU$15,$F65,0,OFFSET(ORÇAMENTO!$D$15,CRONO!$F65,0))),CRONO!AF$12,OFFSET(CÁLCULO!$AJ$15:$BB$15,$F65,0,OFFSET(ORÇAMENTO!$D$15,CRONO!$F65,0)))
                +IF(AND($F67&lt;&gt;"",$F67&lt;&gt;0),
                        SUMIF(CÁLCULO!$BC$15:$BU$165,CRONO!AF$12,CÁLCULO!$AJ$15:$BB$165)/(ORÇAMENTO!$X$15-_xlfn.SINGLE(CÁLCULO.TotalAdmLocal))*CRONO!$F67,
                        0),
                 AF66*$S65),
          SUMIF(OFFSET($S67,1,0,$R65-2),($M65+1)&amp;"$",OFFSET(AF67,1,0,$R65-2)))</f>
        <v>0</v>
      </c>
      <c r="AG67" s="534"/>
    </row>
    <row r="68" spans="1:33" x14ac:dyDescent="0.25">
      <c r="A68" s="186" t="e">
        <f ca="1">IF($M68&gt;1,_xlfn.CONCAT($I68," ",$J68),"")</f>
        <v>#NAME?</v>
      </c>
      <c r="B68" s="185">
        <f t="shared" ref="B68" ca="1" si="101">OFFSET(B68,-3,0)+1</f>
        <v>19</v>
      </c>
      <c r="C68" s="185">
        <f ca="1">IF($R68&lt;&gt;2,0,IF($S68=0,1,IF(F69&gt;0,OFFSET(QCI!$M$13,SUBSTITUTE(F69,".",""),0),OFFSET(ORÇAMENTO!$AA$15,CRONO!$F68,0))/$S68))</f>
        <v>0.27621385324224024</v>
      </c>
      <c r="D68" s="185">
        <f ca="1">IF($R68&lt;&gt;2,0,IF($S68=0,1,IF(F69&gt;0,OFFSET(QCI!$N$13,SUBSTITUTE(F69,".",""),0),OFFSET(ORÇAMENTO!$AB$15,CRONO!$F68,0))/$S68))</f>
        <v>0</v>
      </c>
      <c r="E68" s="188" cm="1">
        <f t="array" aca="1" ref="E68" ca="1">IF(AND($R68=2,ACOMPANHAMENTO="BM"),ROUND(E69,4),E70/$S68)</f>
        <v>0</v>
      </c>
      <c r="F68" s="185">
        <f ca="1">IF(B68&lt;=ORÇAMENTO.MáximoListaCrono,MATCH(B68,ORÇAMENTO.ListaCrono,0),NA())</f>
        <v>101</v>
      </c>
      <c r="G68" s="185" t="str">
        <f t="shared" ref="G68" ca="1" si="102">IF(AND($F69&lt;&gt;-1,$S68&gt;0),"F","")</f>
        <v>F</v>
      </c>
      <c r="H68" s="189" t="str" cm="1">
        <f t="array" aca="1" ref="H68" ca="1">IF(OR(S68=0,S68=""),"Linha",IF(AND(OR(ACOMPANHAMENTO="PLE",$R68&lt;&gt;2),$F69=0),"Linha",ROUND(1-SUM(U68:AG68),4)))</f>
        <v>Linha</v>
      </c>
      <c r="I68" s="190" t="str">
        <f ca="1">IF($F69=0,OFFSET(ORÇAMENTO!O$15,$F68,0),IF($F69&lt;&gt;-1,OFFSET(QCI!$D$13,$F69,0),""))</f>
        <v>3.3.</v>
      </c>
      <c r="J68" s="191" t="str">
        <f ca="1">IF($F69=0,OFFSET(ORÇAMENTO!R$15,$F68,0),IF($F69&lt;&gt;-1,OFFSET(QCI!$G$13,$F69,0),""))</f>
        <v>LOMBADAS TIPO A (3,70m de comprimento x 0,10m altura)</v>
      </c>
      <c r="K68" s="191"/>
      <c r="L68" s="191"/>
      <c r="M68" s="192">
        <f ca="1">IF($F69=0,OFFSET(ORÇAMENTO!C$15,$F68,0),1)</f>
        <v>2</v>
      </c>
      <c r="N68" s="193">
        <f ca="1">IF($F69=-1,0,IF(N$13&lt;=$M68,IF(ISERROR(MATCH(N$13,OFFSET($M68,1,0,ROW($M$95)-ROW($M68)-1),0)),ROW($M$95)-ROW($M68)-1,MATCH(N$13,OFFSET($M68,1,0,ROW($M$95)-ROW($M68)-1),0)-1),0))</f>
        <v>8</v>
      </c>
      <c r="O68" s="193">
        <f ca="1">IF($F69=-1,0,IF(O$13&lt;=$M68,IF(ISERROR(MATCH(O$13,OFFSET($M68,1,0,ROW($M$95)-ROW($M68)-1),0)),ROW($M$95)-ROW($M68)-1,MATCH(O$13,OFFSET($M68,1,0,ROW($M$95)-ROW($M68)-1),0)-1),0))</f>
        <v>2</v>
      </c>
      <c r="P68" s="193">
        <f ca="1">IF($F69=-1,0,IF(P$13&lt;=$M68,IF(ISERROR(MATCH(P$13,OFFSET($M68,1,0,ROW($M$95)-ROW($M68)-1),0)),ROW($M$95)-ROW($M68)-1,MATCH(P$13,OFFSET($M68,1,0,ROW($M$95)-ROW($M68)-1),0)-1),0))</f>
        <v>0</v>
      </c>
      <c r="Q68" s="193">
        <f ca="1">IF($F69=-1,0,IF(Q$13&lt;=$M68,IF(ISERROR(MATCH(Q$13,OFFSET($M68,1,0,ROW($M$95)-ROW($M68)-1),0)),ROW($M$95)-ROW($M68)-1,MATCH(Q$13,OFFSET($M68,1,0,ROW($M$95)-ROW($M68)-1),0)-1),0))</f>
        <v>0</v>
      </c>
      <c r="R68" s="193">
        <f t="shared" ref="R68" ca="1" si="103">MIN(OFFSET(M68,0,1,,M68))</f>
        <v>2</v>
      </c>
      <c r="S68" s="194">
        <f ca="1">IF($F69=0,OFFSET(ORÇAMENTO!X$15,$F68,0),IF($F69&lt;&gt;-1,OFFSET(QCI!$O$13,$F69,0),""))</f>
        <v>2650.52</v>
      </c>
      <c r="T68" s="195" t="s">
        <v>785</v>
      </c>
      <c r="U68" s="188" cm="1">
        <f t="array" aca="1" ref="U68" ca="1">IF(AND($R68=2,ACOMPANHAMENTO="BM"),ROUND(U69,4),U70/$S68)</f>
        <v>0</v>
      </c>
      <c r="V68" s="188" cm="1">
        <f t="array" aca="1" ref="V68" ca="1">IF(AND($R68=2,ACOMPANHAMENTO="BM"),ROUND(V69,4),V70/$S68)</f>
        <v>0</v>
      </c>
      <c r="W68" s="188" cm="1">
        <f t="array" aca="1" ref="W68" ca="1">IF(AND($R68=2,ACOMPANHAMENTO="BM"),ROUND(W69,4),W70/$S68)</f>
        <v>1</v>
      </c>
      <c r="X68" s="188" cm="1">
        <f t="array" aca="1" ref="X68" ca="1">IF(AND($R68=2,ACOMPANHAMENTO="BM"),ROUND(X69,4),X70/$S68)</f>
        <v>0</v>
      </c>
      <c r="Y68" s="188" cm="1">
        <f t="array" aca="1" ref="Y68" ca="1">IF(AND($R68=2,ACOMPANHAMENTO="BM"),ROUND(Y69,4),Y70/$S68)</f>
        <v>0</v>
      </c>
      <c r="Z68" s="188" cm="1">
        <f t="array" aca="1" ref="Z68" ca="1">IF(AND($R68=2,ACOMPANHAMENTO="BM"),ROUND(Z69,4),Z70/$S68)</f>
        <v>0</v>
      </c>
      <c r="AA68" s="188" cm="1">
        <f t="array" aca="1" ref="AA68" ca="1">IF(AND($R68=2,ACOMPANHAMENTO="BM"),ROUND(AA69,4),AA70/$S68)</f>
        <v>0</v>
      </c>
      <c r="AB68" s="188" cm="1">
        <f t="array" aca="1" ref="AB68" ca="1">IF(AND($R68=2,ACOMPANHAMENTO="BM"),ROUND(AB69,4),AB70/$S68)</f>
        <v>0</v>
      </c>
      <c r="AC68" s="188" cm="1">
        <f t="array" aca="1" ref="AC68" ca="1">IF(AND($R68=2,ACOMPANHAMENTO="BM"),ROUND(AC69,4),AC70/$S68)</f>
        <v>0</v>
      </c>
      <c r="AD68" s="188" cm="1">
        <f t="array" aca="1" ref="AD68" ca="1">IF(AND($R68=2,ACOMPANHAMENTO="BM"),ROUND(AD69,4),AD70/$S68)</f>
        <v>0</v>
      </c>
      <c r="AE68" s="188" cm="1">
        <f t="array" aca="1" ref="AE68" ca="1">IF(AND($R68=2,ACOMPANHAMENTO="BM"),ROUND(AE69,4),AE70/$S68)</f>
        <v>0</v>
      </c>
      <c r="AF68" s="188" cm="1">
        <f t="array" aca="1" ref="AF68" ca="1">IF(AND($R68=2,ACOMPANHAMENTO="BM"),ROUND(AF69,4),AF70/$S68)</f>
        <v>0</v>
      </c>
      <c r="AG68" s="534"/>
    </row>
    <row r="69" spans="1:33" ht="12.75" hidden="1" customHeight="1" x14ac:dyDescent="0.25">
      <c r="E69" s="587"/>
      <c r="F69" s="185">
        <f ca="1">IF(ISERROR(F68),IF(1+COUNTIF($M$13:OFFSET(M68,-1,0),1)&lt;=MAX(QCI!$D$13:$D$24),1+COUNTIF($M$13:OFFSET(M68,-1,0),1),-1),0)</f>
        <v>0</v>
      </c>
      <c r="G69" s="185" t="str" cm="1">
        <f t="array" aca="1" ref="G69" ca="1">IF(ACOMPANHAMENTO="BM",OFFSET(G69,-1,0),"")</f>
        <v/>
      </c>
      <c r="H69" s="196" t="str" cm="1">
        <f t="array" aca="1" ref="H69" ca="1">IF(OR(S68=0,S68=""),"vazia",IF(AND(OR(ACOMPANHAMENTO="PLE",$R68&lt;&gt;2),$F69=0),"calculada","--&gt;"))</f>
        <v>calculada</v>
      </c>
      <c r="I69" s="197"/>
      <c r="J69" s="198" t="str">
        <f t="shared" ref="J69" ca="1" si="10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1:33" ht="12.75" hidden="1" customHeight="1" x14ac:dyDescent="0.25">
      <c r="D70" s="533"/>
      <c r="E70" s="202" cm="1">
        <f t="array" aca="1" ref="E70" ca="1">IF($R68=2,
         IF(AND(ACOMPANHAMENTO="PLE",ISNUMBER($F68)),
                SUMIF((OFFSET(CÁLCULO!$BC$15:$BU$15,$F68,0,OFFSET(ORÇAMENTO!$D$15,CRONO!$F68,0))),CRONO!E$12,OFFSET(CÁLCULO!$AJ$15:$BB$15,$F68,0,OFFSET(ORÇAMENTO!$D$15,CRONO!$F68,0)))
                +IF(AND($F70&lt;&gt;"",$F70&lt;&gt;0),
                        SUMIF(CÁLCULO!$BC$15:$BU$165,CRONO!E$12,CÁLCULO!$AJ$15:$BB$165)/(ORÇAMENTO!$X$15-_xlfn.SINGLE(CÁLCULO.TotalAdmLocal))*CRONO!$F70,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05">M68&amp;"$"</f>
        <v>2$</v>
      </c>
      <c r="T70" s="205"/>
      <c r="U70" s="202" cm="1">
        <f t="array" aca="1" ref="U70" ca="1">IF($R68=2,
         IF(AND(ACOMPANHAMENTO="PLE",ISNUMBER($F68)),
                SUMIF((OFFSET(CÁLCULO!$BC$15:$BU$15,$F68,0,OFFSET(ORÇAMENTO!$D$15,CRONO!$F68,0))),CRONO!U$12,OFFSET(CÁLCULO!$AJ$15:$BB$15,$F68,0,OFFSET(ORÇAMENTO!$D$15,CRONO!$F68,0)))
                +IF(AND($F70&lt;&gt;"",$F70&lt;&gt;0),
                        SUMIF(CÁLCULO!$BC$15:$BU$165,CRONO!U$12,CÁLCULO!$AJ$15:$BB$165)/(ORÇAMENTO!$X$15-_xlfn.SINGLE(CÁLCULO.TotalAdmLocal))*CRONO!$F70,
                        0),
                 U69*$S68),
          SUMIF(OFFSET($S70,1,0,$R68-2),($M68+1)&amp;"$",OFFSET(U70,1,0,$R68-2)))</f>
        <v>0</v>
      </c>
      <c r="V70" s="202" cm="1">
        <f t="array" aca="1" ref="V70" ca="1">IF($R68=2,
         IF(AND(ACOMPANHAMENTO="PLE",ISNUMBER($F68)),
                SUMIF((OFFSET(CÁLCULO!$BC$15:$BU$15,$F68,0,OFFSET(ORÇAMENTO!$D$15,CRONO!$F68,0))),CRONO!V$12,OFFSET(CÁLCULO!$AJ$15:$BB$15,$F68,0,OFFSET(ORÇAMENTO!$D$15,CRONO!$F68,0)))
                +IF(AND($F70&lt;&gt;"",$F70&lt;&gt;0),
                        SUMIF(CÁLCULO!$BC$15:$BU$165,CRONO!V$12,CÁLCULO!$AJ$15:$BB$165)/(ORÇAMENTO!$X$15-_xlfn.SINGLE(CÁLCULO.TotalAdmLocal))*CRONO!$F70,
                        0),
                 V69*$S68),
          SUMIF(OFFSET($S70,1,0,$R68-2),($M68+1)&amp;"$",OFFSET(V70,1,0,$R68-2)))</f>
        <v>0</v>
      </c>
      <c r="W70" s="202" cm="1">
        <f t="array" aca="1" ref="W70" ca="1">IF($R68=2,
         IF(AND(ACOMPANHAMENTO="PLE",ISNUMBER($F68)),
                SUMIF((OFFSET(CÁLCULO!$BC$15:$BU$15,$F68,0,OFFSET(ORÇAMENTO!$D$15,CRONO!$F68,0))),CRONO!W$12,OFFSET(CÁLCULO!$AJ$15:$BB$15,$F68,0,OFFSET(ORÇAMENTO!$D$15,CRONO!$F68,0)))
                +IF(AND($F70&lt;&gt;"",$F70&lt;&gt;0),
                        SUMIF(CÁLCULO!$BC$15:$BU$165,CRONO!W$12,CÁLCULO!$AJ$15:$BB$165)/(ORÇAMENTO!$X$15-_xlfn.SINGLE(CÁLCULO.TotalAdmLocal))*CRONO!$F70,
                        0),
                 W69*$S68),
          SUMIF(OFFSET($S70,1,0,$R68-2),($M68+1)&amp;"$",OFFSET(W70,1,0,$R68-2)))</f>
        <v>2650.52</v>
      </c>
      <c r="X70" s="202" cm="1">
        <f t="array" aca="1" ref="X70" ca="1">IF($R68=2,
         IF(AND(ACOMPANHAMENTO="PLE",ISNUMBER($F68)),
                SUMIF((OFFSET(CÁLCULO!$BC$15:$BU$15,$F68,0,OFFSET(ORÇAMENTO!$D$15,CRONO!$F68,0))),CRONO!X$12,OFFSET(CÁLCULO!$AJ$15:$BB$15,$F68,0,OFFSET(ORÇAMENTO!$D$15,CRONO!$F68,0)))
                +IF(AND($F70&lt;&gt;"",$F70&lt;&gt;0),
                        SUMIF(CÁLCULO!$BC$15:$BU$165,CRONO!X$12,CÁLCULO!$AJ$15:$BB$165)/(ORÇAMENTO!$X$15-_xlfn.SINGLE(CÁLCULO.TotalAdmLocal))*CRONO!$F70,
                        0),
                 X69*$S68),
          SUMIF(OFFSET($S70,1,0,$R68-2),($M68+1)&amp;"$",OFFSET(X70,1,0,$R68-2)))</f>
        <v>0</v>
      </c>
      <c r="Y70" s="202" cm="1">
        <f t="array" aca="1" ref="Y70" ca="1">IF($R68=2,
         IF(AND(ACOMPANHAMENTO="PLE",ISNUMBER($F68)),
                SUMIF((OFFSET(CÁLCULO!$BC$15:$BU$15,$F68,0,OFFSET(ORÇAMENTO!$D$15,CRONO!$F68,0))),CRONO!Y$12,OFFSET(CÁLCULO!$AJ$15:$BB$15,$F68,0,OFFSET(ORÇAMENTO!$D$15,CRONO!$F68,0)))
                +IF(AND($F70&lt;&gt;"",$F70&lt;&gt;0),
                        SUMIF(CÁLCULO!$BC$15:$BU$165,CRONO!Y$12,CÁLCULO!$AJ$15:$BB$165)/(ORÇAMENTO!$X$15-_xlfn.SINGLE(CÁLCULO.TotalAdmLocal))*CRONO!$F70,
                        0),
                 Y69*$S68),
          SUMIF(OFFSET($S70,1,0,$R68-2),($M68+1)&amp;"$",OFFSET(Y70,1,0,$R68-2)))</f>
        <v>0</v>
      </c>
      <c r="Z70" s="202" cm="1">
        <f t="array" aca="1" ref="Z70" ca="1">IF($R68=2,
         IF(AND(ACOMPANHAMENTO="PLE",ISNUMBER($F68)),
                SUMIF((OFFSET(CÁLCULO!$BC$15:$BU$15,$F68,0,OFFSET(ORÇAMENTO!$D$15,CRONO!$F68,0))),CRONO!Z$12,OFFSET(CÁLCULO!$AJ$15:$BB$15,$F68,0,OFFSET(ORÇAMENTO!$D$15,CRONO!$F68,0)))
                +IF(AND($F70&lt;&gt;"",$F70&lt;&gt;0),
                        SUMIF(CÁLCULO!$BC$15:$BU$165,CRONO!Z$12,CÁLCULO!$AJ$15:$BB$165)/(ORÇAMENTO!$X$15-_xlfn.SINGLE(CÁLCULO.TotalAdmLocal))*CRONO!$F70,
                        0),
                 Z69*$S68),
          SUMIF(OFFSET($S70,1,0,$R68-2),($M68+1)&amp;"$",OFFSET(Z70,1,0,$R68-2)))</f>
        <v>0</v>
      </c>
      <c r="AA70" s="202" cm="1">
        <f t="array" aca="1" ref="AA70" ca="1">IF($R68=2,
         IF(AND(ACOMPANHAMENTO="PLE",ISNUMBER($F68)),
                SUMIF((OFFSET(CÁLCULO!$BC$15:$BU$15,$F68,0,OFFSET(ORÇAMENTO!$D$15,CRONO!$F68,0))),CRONO!AA$12,OFFSET(CÁLCULO!$AJ$15:$BB$15,$F68,0,OFFSET(ORÇAMENTO!$D$15,CRONO!$F68,0)))
                +IF(AND($F70&lt;&gt;"",$F70&lt;&gt;0),
                        SUMIF(CÁLCULO!$BC$15:$BU$165,CRONO!AA$12,CÁLCULO!$AJ$15:$BB$165)/(ORÇAMENTO!$X$15-_xlfn.SINGLE(CÁLCULO.TotalAdmLocal))*CRONO!$F70,
                        0),
                 AA69*$S68),
          SUMIF(OFFSET($S70,1,0,$R68-2),($M68+1)&amp;"$",OFFSET(AA70,1,0,$R68-2)))</f>
        <v>0</v>
      </c>
      <c r="AB70" s="202" cm="1">
        <f t="array" aca="1" ref="AB70" ca="1">IF($R68=2,
         IF(AND(ACOMPANHAMENTO="PLE",ISNUMBER($F68)),
                SUMIF((OFFSET(CÁLCULO!$BC$15:$BU$15,$F68,0,OFFSET(ORÇAMENTO!$D$15,CRONO!$F68,0))),CRONO!AB$12,OFFSET(CÁLCULO!$AJ$15:$BB$15,$F68,0,OFFSET(ORÇAMENTO!$D$15,CRONO!$F68,0)))
                +IF(AND($F70&lt;&gt;"",$F70&lt;&gt;0),
                        SUMIF(CÁLCULO!$BC$15:$BU$165,CRONO!AB$12,CÁLCULO!$AJ$15:$BB$165)/(ORÇAMENTO!$X$15-_xlfn.SINGLE(CÁLCULO.TotalAdmLocal))*CRONO!$F70,
                        0),
                 AB69*$S68),
          SUMIF(OFFSET($S70,1,0,$R68-2),($M68+1)&amp;"$",OFFSET(AB70,1,0,$R68-2)))</f>
        <v>0</v>
      </c>
      <c r="AC70" s="202" cm="1">
        <f t="array" aca="1" ref="AC70" ca="1">IF($R68=2,
         IF(AND(ACOMPANHAMENTO="PLE",ISNUMBER($F68)),
                SUMIF((OFFSET(CÁLCULO!$BC$15:$BU$15,$F68,0,OFFSET(ORÇAMENTO!$D$15,CRONO!$F68,0))),CRONO!AC$12,OFFSET(CÁLCULO!$AJ$15:$BB$15,$F68,0,OFFSET(ORÇAMENTO!$D$15,CRONO!$F68,0)))
                +IF(AND($F70&lt;&gt;"",$F70&lt;&gt;0),
                        SUMIF(CÁLCULO!$BC$15:$BU$165,CRONO!AC$12,CÁLCULO!$AJ$15:$BB$165)/(ORÇAMENTO!$X$15-_xlfn.SINGLE(CÁLCULO.TotalAdmLocal))*CRONO!$F70,
                        0),
                 AC69*$S68),
          SUMIF(OFFSET($S70,1,0,$R68-2),($M68+1)&amp;"$",OFFSET(AC70,1,0,$R68-2)))</f>
        <v>0</v>
      </c>
      <c r="AD70" s="202" cm="1">
        <f t="array" aca="1" ref="AD70" ca="1">IF($R68=2,
         IF(AND(ACOMPANHAMENTO="PLE",ISNUMBER($F68)),
                SUMIF((OFFSET(CÁLCULO!$BC$15:$BU$15,$F68,0,OFFSET(ORÇAMENTO!$D$15,CRONO!$F68,0))),CRONO!AD$12,OFFSET(CÁLCULO!$AJ$15:$BB$15,$F68,0,OFFSET(ORÇAMENTO!$D$15,CRONO!$F68,0)))
                +IF(AND($F70&lt;&gt;"",$F70&lt;&gt;0),
                        SUMIF(CÁLCULO!$BC$15:$BU$165,CRONO!AD$12,CÁLCULO!$AJ$15:$BB$165)/(ORÇAMENTO!$X$15-_xlfn.SINGLE(CÁLCULO.TotalAdmLocal))*CRONO!$F70,
                        0),
                 AD69*$S68),
          SUMIF(OFFSET($S70,1,0,$R68-2),($M68+1)&amp;"$",OFFSET(AD70,1,0,$R68-2)))</f>
        <v>0</v>
      </c>
      <c r="AE70" s="202" cm="1">
        <f t="array" aca="1" ref="AE70" ca="1">IF($R68=2,
         IF(AND(ACOMPANHAMENTO="PLE",ISNUMBER($F68)),
                SUMIF((OFFSET(CÁLCULO!$BC$15:$BU$15,$F68,0,OFFSET(ORÇAMENTO!$D$15,CRONO!$F68,0))),CRONO!AE$12,OFFSET(CÁLCULO!$AJ$15:$BB$15,$F68,0,OFFSET(ORÇAMENTO!$D$15,CRONO!$F68,0)))
                +IF(AND($F70&lt;&gt;"",$F70&lt;&gt;0),
                        SUMIF(CÁLCULO!$BC$15:$BU$165,CRONO!AE$12,CÁLCULO!$AJ$15:$BB$165)/(ORÇAMENTO!$X$15-_xlfn.SINGLE(CÁLCULO.TotalAdmLocal))*CRONO!$F70,
                        0),
                 AE69*$S68),
          SUMIF(OFFSET($S70,1,0,$R68-2),($M68+1)&amp;"$",OFFSET(AE70,1,0,$R68-2)))</f>
        <v>0</v>
      </c>
      <c r="AF70" s="202" cm="1">
        <f t="array" aca="1" ref="AF70" ca="1">IF($R68=2,
         IF(AND(ACOMPANHAMENTO="PLE",ISNUMBER($F68)),
                SUMIF((OFFSET(CÁLCULO!$BC$15:$BU$15,$F68,0,OFFSET(ORÇAMENTO!$D$15,CRONO!$F68,0))),CRONO!AF$12,OFFSET(CÁLCULO!$AJ$15:$BB$15,$F68,0,OFFSET(ORÇAMENTO!$D$15,CRONO!$F68,0)))
                +IF(AND($F70&lt;&gt;"",$F70&lt;&gt;0),
                        SUMIF(CÁLCULO!$BC$15:$BU$165,CRONO!AF$12,CÁLCULO!$AJ$15:$BB$165)/(ORÇAMENTO!$X$15-_xlfn.SINGLE(CÁLCULO.TotalAdmLocal))*CRONO!$F70,
                        0),
                 AF69*$S68),
          SUMIF(OFFSET($S70,1,0,$R68-2),($M68+1)&amp;"$",OFFSET(AF70,1,0,$R68-2)))</f>
        <v>0</v>
      </c>
      <c r="AG70" s="534"/>
    </row>
    <row r="71" spans="1:33" x14ac:dyDescent="0.25">
      <c r="A71" s="186" t="e">
        <f ca="1">IF($M71&gt;1,_xlfn.CONCAT($I71," ",$J71),"")</f>
        <v>#NAME?</v>
      </c>
      <c r="B71" s="185">
        <f t="shared" ref="B71" ca="1" si="106">OFFSET(B71,-3,0)+1</f>
        <v>20</v>
      </c>
      <c r="C71" s="185">
        <f ca="1">IF($R71&lt;&gt;2,0,IF($S71=0,1,IF(F72&gt;0,OFFSET(QCI!$M$13,SUBSTITUTE(F72,".",""),0),OFFSET(ORÇAMENTO!$AA$15,CRONO!$F71,0))/$S71))</f>
        <v>0.27621385324224024</v>
      </c>
      <c r="D71" s="185">
        <f ca="1">IF($R71&lt;&gt;2,0,IF($S71=0,1,IF(F72&gt;0,OFFSET(QCI!$N$13,SUBSTITUTE(F72,".",""),0),OFFSET(ORÇAMENTO!$AB$15,CRONO!$F71,0))/$S71))</f>
        <v>0</v>
      </c>
      <c r="E71" s="188" cm="1">
        <f t="array" aca="1" ref="E71" ca="1">IF(AND($R71=2,ACOMPANHAMENTO="BM"),ROUND(E72,4),E73/$S71)</f>
        <v>0</v>
      </c>
      <c r="F71" s="185">
        <f ca="1">IF(B71&lt;=ORÇAMENTO.MáximoListaCrono,MATCH(B71,ORÇAMENTO.ListaCrono,0),NA())</f>
        <v>109</v>
      </c>
      <c r="G71" s="185" t="str">
        <f t="shared" ref="G71" ca="1" si="107">IF(AND($F72&lt;&gt;-1,$S71&gt;0),"F","")</f>
        <v>F</v>
      </c>
      <c r="H71" s="189" t="str" cm="1">
        <f t="array" aca="1" ref="H71" ca="1">IF(OR(S71=0,S71=""),"Linha",IF(AND(OR(ACOMPANHAMENTO="PLE",$R71&lt;&gt;2),$F72=0),"Linha",ROUND(1-SUM(U71:AG71),4)))</f>
        <v>Linha</v>
      </c>
      <c r="I71" s="190" t="str">
        <f ca="1">IF($F72=0,OFFSET(ORÇAMENTO!O$15,$F71,0),IF($F72&lt;&gt;-1,OFFSET(QCI!$D$13,$F72,0),""))</f>
        <v>3.4.</v>
      </c>
      <c r="J71" s="191" t="str">
        <f ca="1">IF($F72=0,OFFSET(ORÇAMENTO!R$15,$F71,0),IF($F72&lt;&gt;-1,OFFSET(QCI!$G$13,$F72,0),""))</f>
        <v>SINALIZAÇAO</v>
      </c>
      <c r="K71" s="191"/>
      <c r="L71" s="191"/>
      <c r="M71" s="192">
        <f ca="1">IF($F72=0,OFFSET(ORÇAMENTO!C$15,$F71,0),1)</f>
        <v>2</v>
      </c>
      <c r="N71" s="193">
        <f ca="1">IF($F72=-1,0,IF(N$13&lt;=$M71,IF(ISERROR(MATCH(N$13,OFFSET($M71,1,0,ROW($M$95)-ROW($M71)-1),0)),ROW($M$95)-ROW($M71)-1,MATCH(N$13,OFFSET($M71,1,0,ROW($M$95)-ROW($M71)-1),0)-1),0))</f>
        <v>5</v>
      </c>
      <c r="O71" s="193">
        <f ca="1">IF($F72=-1,0,IF(O$13&lt;=$M71,IF(ISERROR(MATCH(O$13,OFFSET($M71,1,0,ROW($M$95)-ROW($M71)-1),0)),ROW($M$95)-ROW($M71)-1,MATCH(O$13,OFFSET($M71,1,0,ROW($M$95)-ROW($M71)-1),0)-1),0))</f>
        <v>2</v>
      </c>
      <c r="P71" s="193">
        <f ca="1">IF($F72=-1,0,IF(P$13&lt;=$M71,IF(ISERROR(MATCH(P$13,OFFSET($M71,1,0,ROW($M$95)-ROW($M71)-1),0)),ROW($M$95)-ROW($M71)-1,MATCH(P$13,OFFSET($M71,1,0,ROW($M$95)-ROW($M71)-1),0)-1),0))</f>
        <v>0</v>
      </c>
      <c r="Q71" s="193">
        <f ca="1">IF($F72=-1,0,IF(Q$13&lt;=$M71,IF(ISERROR(MATCH(Q$13,OFFSET($M71,1,0,ROW($M$95)-ROW($M71)-1),0)),ROW($M$95)-ROW($M71)-1,MATCH(Q$13,OFFSET($M71,1,0,ROW($M$95)-ROW($M71)-1),0)-1),0))</f>
        <v>0</v>
      </c>
      <c r="R71" s="193">
        <f t="shared" ref="R71" ca="1" si="108">MIN(OFFSET(M71,0,1,,M71))</f>
        <v>2</v>
      </c>
      <c r="S71" s="194">
        <f ca="1">IF($F72=0,OFFSET(ORÇAMENTO!X$15,$F71,0),IF($F72&lt;&gt;-1,OFFSET(QCI!$O$13,$F72,0),""))</f>
        <v>4112.08</v>
      </c>
      <c r="T71" s="195" t="s">
        <v>785</v>
      </c>
      <c r="U71" s="188" cm="1">
        <f t="array" aca="1" ref="U71" ca="1">IF(AND($R71=2,ACOMPANHAMENTO="BM"),ROUND(U72,4),U73/$S71)</f>
        <v>0</v>
      </c>
      <c r="V71" s="188" cm="1">
        <f t="array" aca="1" ref="V71" ca="1">IF(AND($R71=2,ACOMPANHAMENTO="BM"),ROUND(V72,4),V73/$S71)</f>
        <v>0</v>
      </c>
      <c r="W71" s="188" cm="1">
        <f t="array" aca="1" ref="W71" ca="1">IF(AND($R71=2,ACOMPANHAMENTO="BM"),ROUND(W72,4),W73/$S71)</f>
        <v>0</v>
      </c>
      <c r="X71" s="188" cm="1">
        <f t="array" aca="1" ref="X71" ca="1">IF(AND($R71=2,ACOMPANHAMENTO="BM"),ROUND(X72,4),X73/$S71)</f>
        <v>1</v>
      </c>
      <c r="Y71" s="188" cm="1">
        <f t="array" aca="1" ref="Y71" ca="1">IF(AND($R71=2,ACOMPANHAMENTO="BM"),ROUND(Y72,4),Y73/$S71)</f>
        <v>0</v>
      </c>
      <c r="Z71" s="188" cm="1">
        <f t="array" aca="1" ref="Z71" ca="1">IF(AND($R71=2,ACOMPANHAMENTO="BM"),ROUND(Z72,4),Z73/$S71)</f>
        <v>0</v>
      </c>
      <c r="AA71" s="188" cm="1">
        <f t="array" aca="1" ref="AA71" ca="1">IF(AND($R71=2,ACOMPANHAMENTO="BM"),ROUND(AA72,4),AA73/$S71)</f>
        <v>0</v>
      </c>
      <c r="AB71" s="188" cm="1">
        <f t="array" aca="1" ref="AB71" ca="1">IF(AND($R71=2,ACOMPANHAMENTO="BM"),ROUND(AB72,4),AB73/$S71)</f>
        <v>0</v>
      </c>
      <c r="AC71" s="188" cm="1">
        <f t="array" aca="1" ref="AC71" ca="1">IF(AND($R71=2,ACOMPANHAMENTO="BM"),ROUND(AC72,4),AC73/$S71)</f>
        <v>0</v>
      </c>
      <c r="AD71" s="188" cm="1">
        <f t="array" aca="1" ref="AD71" ca="1">IF(AND($R71=2,ACOMPANHAMENTO="BM"),ROUND(AD72,4),AD73/$S71)</f>
        <v>0</v>
      </c>
      <c r="AE71" s="188" cm="1">
        <f t="array" aca="1" ref="AE71" ca="1">IF(AND($R71=2,ACOMPANHAMENTO="BM"),ROUND(AE72,4),AE73/$S71)</f>
        <v>0</v>
      </c>
      <c r="AF71" s="188" cm="1">
        <f t="array" aca="1" ref="AF71" ca="1">IF(AND($R71=2,ACOMPANHAMENTO="BM"),ROUND(AF72,4),AF73/$S71)</f>
        <v>0</v>
      </c>
      <c r="AG71" s="534"/>
    </row>
    <row r="72" spans="1:33" ht="12.75" hidden="1" customHeight="1" x14ac:dyDescent="0.25">
      <c r="E72" s="587"/>
      <c r="F72" s="185">
        <f ca="1">IF(ISERROR(F71),IF(1+COUNTIF($M$13:OFFSET(M71,-1,0),1)&lt;=MAX(QCI!$D$13:$D$24),1+COUNTIF($M$13:OFFSET(M71,-1,0),1),-1),0)</f>
        <v>0</v>
      </c>
      <c r="G72" s="185" t="str" cm="1">
        <f t="array" aca="1" ref="G72" ca="1">IF(ACOMPANHAMENTO="BM",OFFSET(G72,-1,0),"")</f>
        <v/>
      </c>
      <c r="H72" s="196" t="str" cm="1">
        <f t="array" aca="1" ref="H72" ca="1">IF(OR(S71=0,S71=""),"vazia",IF(AND(OR(ACOMPANHAMENTO="PLE",$R71&lt;&gt;2),$F72=0),"calculada","--&gt;"))</f>
        <v>calculada</v>
      </c>
      <c r="I72" s="197"/>
      <c r="J72" s="198" t="str">
        <f t="shared" ref="J72" ca="1" si="109">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hidden="1" customHeight="1" x14ac:dyDescent="0.25">
      <c r="D73" s="533"/>
      <c r="E73" s="202" cm="1">
        <f t="array" aca="1" ref="E73" ca="1">IF($R71=2,
         IF(AND(ACOMPANHAMENTO="PLE",ISNUMBER($F71)),
                SUMIF((OFFSET(CÁLCULO!$BC$15:$BU$15,$F71,0,OFFSET(ORÇAMENTO!$D$15,CRONO!$F71,0))),CRONO!E$12,OFFSET(CÁLCULO!$AJ$15:$BB$15,$F71,0,OFFSET(ORÇAMENTO!$D$15,CRONO!$F71,0)))
                +IF(AND($F73&lt;&gt;"",$F73&lt;&gt;0),
                        SUMIF(CÁLCULO!$BC$15:$BU$165,CRONO!E$12,CÁLCULO!$AJ$15:$BB$165)/(ORÇAMENTO!$X$15-_xlfn.SINGLE(CÁLCULO.TotalAdmLocal))*CRONO!$F73,
                        0),
                 E72*$S71),
          SUMIF(OFFSET($S73,1,0,$R71-2),($M71+1)&amp;"$",OFFSET(E73,1,0,$R71-2)))</f>
        <v>0</v>
      </c>
      <c r="F73" s="185" t="str">
        <f ca="1">IF(OR($R71&lt;&gt;2,AUTOEVENTO&lt;&gt;"manual",$F72&gt;0),"",
        IF(Import.TipoArredondamento="Tradicional",
              SUMIF(OFFSET(CÁLCULO!$M$15,CRONO!$F71,0,OFFSET(ORÇAMENTO!$D$15,CRONO!$F71,0)),1,OFFSET(ORÇAMENTO!$X$15,CRONO!$F71,0,OFFSET(ORÇAMENTO!$D$15,CRONO!$F71,0))),
              0))</f>
        <v/>
      </c>
      <c r="H73" s="203"/>
      <c r="S73" s="204" t="str">
        <f t="shared" ref="S73" ca="1" si="110">M71&amp;"$"</f>
        <v>2$</v>
      </c>
      <c r="T73" s="205"/>
      <c r="U73" s="202" cm="1">
        <f t="array" aca="1" ref="U73" ca="1">IF($R71=2,
         IF(AND(ACOMPANHAMENTO="PLE",ISNUMBER($F71)),
                SUMIF((OFFSET(CÁLCULO!$BC$15:$BU$15,$F71,0,OFFSET(ORÇAMENTO!$D$15,CRONO!$F71,0))),CRONO!U$12,OFFSET(CÁLCULO!$AJ$15:$BB$15,$F71,0,OFFSET(ORÇAMENTO!$D$15,CRONO!$F71,0)))
                +IF(AND($F73&lt;&gt;"",$F73&lt;&gt;0),
                        SUMIF(CÁLCULO!$BC$15:$BU$165,CRONO!U$12,CÁLCULO!$AJ$15:$BB$165)/(ORÇAMENTO!$X$15-_xlfn.SINGLE(CÁLCULO.TotalAdmLocal))*CRONO!$F73,
                        0),
                 U72*$S71),
          SUMIF(OFFSET($S73,1,0,$R71-2),($M71+1)&amp;"$",OFFSET(U73,1,0,$R71-2)))</f>
        <v>0</v>
      </c>
      <c r="V73" s="202" cm="1">
        <f t="array" aca="1" ref="V73" ca="1">IF($R71=2,
         IF(AND(ACOMPANHAMENTO="PLE",ISNUMBER($F71)),
                SUMIF((OFFSET(CÁLCULO!$BC$15:$BU$15,$F71,0,OFFSET(ORÇAMENTO!$D$15,CRONO!$F71,0))),CRONO!V$12,OFFSET(CÁLCULO!$AJ$15:$BB$15,$F71,0,OFFSET(ORÇAMENTO!$D$15,CRONO!$F71,0)))
                +IF(AND($F73&lt;&gt;"",$F73&lt;&gt;0),
                        SUMIF(CÁLCULO!$BC$15:$BU$165,CRONO!V$12,CÁLCULO!$AJ$15:$BB$165)/(ORÇAMENTO!$X$15-_xlfn.SINGLE(CÁLCULO.TotalAdmLocal))*CRONO!$F73,
                        0),
                 V72*$S71),
          SUMIF(OFFSET($S73,1,0,$R71-2),($M71+1)&amp;"$",OFFSET(V73,1,0,$R71-2)))</f>
        <v>0</v>
      </c>
      <c r="W73" s="202" cm="1">
        <f t="array" aca="1" ref="W73" ca="1">IF($R71=2,
         IF(AND(ACOMPANHAMENTO="PLE",ISNUMBER($F71)),
                SUMIF((OFFSET(CÁLCULO!$BC$15:$BU$15,$F71,0,OFFSET(ORÇAMENTO!$D$15,CRONO!$F71,0))),CRONO!W$12,OFFSET(CÁLCULO!$AJ$15:$BB$15,$F71,0,OFFSET(ORÇAMENTO!$D$15,CRONO!$F71,0)))
                +IF(AND($F73&lt;&gt;"",$F73&lt;&gt;0),
                        SUMIF(CÁLCULO!$BC$15:$BU$165,CRONO!W$12,CÁLCULO!$AJ$15:$BB$165)/(ORÇAMENTO!$X$15-_xlfn.SINGLE(CÁLCULO.TotalAdmLocal))*CRONO!$F73,
                        0),
                 W72*$S71),
          SUMIF(OFFSET($S73,1,0,$R71-2),($M71+1)&amp;"$",OFFSET(W73,1,0,$R71-2)))</f>
        <v>0</v>
      </c>
      <c r="X73" s="202" cm="1">
        <f t="array" aca="1" ref="X73" ca="1">IF($R71=2,
         IF(AND(ACOMPANHAMENTO="PLE",ISNUMBER($F71)),
                SUMIF((OFFSET(CÁLCULO!$BC$15:$BU$15,$F71,0,OFFSET(ORÇAMENTO!$D$15,CRONO!$F71,0))),CRONO!X$12,OFFSET(CÁLCULO!$AJ$15:$BB$15,$F71,0,OFFSET(ORÇAMENTO!$D$15,CRONO!$F71,0)))
                +IF(AND($F73&lt;&gt;"",$F73&lt;&gt;0),
                        SUMIF(CÁLCULO!$BC$15:$BU$165,CRONO!X$12,CÁLCULO!$AJ$15:$BB$165)/(ORÇAMENTO!$X$15-_xlfn.SINGLE(CÁLCULO.TotalAdmLocal))*CRONO!$F73,
                        0),
                 X72*$S71),
          SUMIF(OFFSET($S73,1,0,$R71-2),($M71+1)&amp;"$",OFFSET(X73,1,0,$R71-2)))</f>
        <v>4112.08</v>
      </c>
      <c r="Y73" s="202" cm="1">
        <f t="array" aca="1" ref="Y73" ca="1">IF($R71=2,
         IF(AND(ACOMPANHAMENTO="PLE",ISNUMBER($F71)),
                SUMIF((OFFSET(CÁLCULO!$BC$15:$BU$15,$F71,0,OFFSET(ORÇAMENTO!$D$15,CRONO!$F71,0))),CRONO!Y$12,OFFSET(CÁLCULO!$AJ$15:$BB$15,$F71,0,OFFSET(ORÇAMENTO!$D$15,CRONO!$F71,0)))
                +IF(AND($F73&lt;&gt;"",$F73&lt;&gt;0),
                        SUMIF(CÁLCULO!$BC$15:$BU$165,CRONO!Y$12,CÁLCULO!$AJ$15:$BB$165)/(ORÇAMENTO!$X$15-_xlfn.SINGLE(CÁLCULO.TotalAdmLocal))*CRONO!$F73,
                        0),
                 Y72*$S71),
          SUMIF(OFFSET($S73,1,0,$R71-2),($M71+1)&amp;"$",OFFSET(Y73,1,0,$R71-2)))</f>
        <v>0</v>
      </c>
      <c r="Z73" s="202" cm="1">
        <f t="array" aca="1" ref="Z73" ca="1">IF($R71=2,
         IF(AND(ACOMPANHAMENTO="PLE",ISNUMBER($F71)),
                SUMIF((OFFSET(CÁLCULO!$BC$15:$BU$15,$F71,0,OFFSET(ORÇAMENTO!$D$15,CRONO!$F71,0))),CRONO!Z$12,OFFSET(CÁLCULO!$AJ$15:$BB$15,$F71,0,OFFSET(ORÇAMENTO!$D$15,CRONO!$F71,0)))
                +IF(AND($F73&lt;&gt;"",$F73&lt;&gt;0),
                        SUMIF(CÁLCULO!$BC$15:$BU$165,CRONO!Z$12,CÁLCULO!$AJ$15:$BB$165)/(ORÇAMENTO!$X$15-_xlfn.SINGLE(CÁLCULO.TotalAdmLocal))*CRONO!$F73,
                        0),
                 Z72*$S71),
          SUMIF(OFFSET($S73,1,0,$R71-2),($M71+1)&amp;"$",OFFSET(Z73,1,0,$R71-2)))</f>
        <v>0</v>
      </c>
      <c r="AA73" s="202" cm="1">
        <f t="array" aca="1" ref="AA73" ca="1">IF($R71=2,
         IF(AND(ACOMPANHAMENTO="PLE",ISNUMBER($F71)),
                SUMIF((OFFSET(CÁLCULO!$BC$15:$BU$15,$F71,0,OFFSET(ORÇAMENTO!$D$15,CRONO!$F71,0))),CRONO!AA$12,OFFSET(CÁLCULO!$AJ$15:$BB$15,$F71,0,OFFSET(ORÇAMENTO!$D$15,CRONO!$F71,0)))
                +IF(AND($F73&lt;&gt;"",$F73&lt;&gt;0),
                        SUMIF(CÁLCULO!$BC$15:$BU$165,CRONO!AA$12,CÁLCULO!$AJ$15:$BB$165)/(ORÇAMENTO!$X$15-_xlfn.SINGLE(CÁLCULO.TotalAdmLocal))*CRONO!$F73,
                        0),
                 AA72*$S71),
          SUMIF(OFFSET($S73,1,0,$R71-2),($M71+1)&amp;"$",OFFSET(AA73,1,0,$R71-2)))</f>
        <v>0</v>
      </c>
      <c r="AB73" s="202" cm="1">
        <f t="array" aca="1" ref="AB73" ca="1">IF($R71=2,
         IF(AND(ACOMPANHAMENTO="PLE",ISNUMBER($F71)),
                SUMIF((OFFSET(CÁLCULO!$BC$15:$BU$15,$F71,0,OFFSET(ORÇAMENTO!$D$15,CRONO!$F71,0))),CRONO!AB$12,OFFSET(CÁLCULO!$AJ$15:$BB$15,$F71,0,OFFSET(ORÇAMENTO!$D$15,CRONO!$F71,0)))
                +IF(AND($F73&lt;&gt;"",$F73&lt;&gt;0),
                        SUMIF(CÁLCULO!$BC$15:$BU$165,CRONO!AB$12,CÁLCULO!$AJ$15:$BB$165)/(ORÇAMENTO!$X$15-_xlfn.SINGLE(CÁLCULO.TotalAdmLocal))*CRONO!$F73,
                        0),
                 AB72*$S71),
          SUMIF(OFFSET($S73,1,0,$R71-2),($M71+1)&amp;"$",OFFSET(AB73,1,0,$R71-2)))</f>
        <v>0</v>
      </c>
      <c r="AC73" s="202" cm="1">
        <f t="array" aca="1" ref="AC73" ca="1">IF($R71=2,
         IF(AND(ACOMPANHAMENTO="PLE",ISNUMBER($F71)),
                SUMIF((OFFSET(CÁLCULO!$BC$15:$BU$15,$F71,0,OFFSET(ORÇAMENTO!$D$15,CRONO!$F71,0))),CRONO!AC$12,OFFSET(CÁLCULO!$AJ$15:$BB$15,$F71,0,OFFSET(ORÇAMENTO!$D$15,CRONO!$F71,0)))
                +IF(AND($F73&lt;&gt;"",$F73&lt;&gt;0),
                        SUMIF(CÁLCULO!$BC$15:$BU$165,CRONO!AC$12,CÁLCULO!$AJ$15:$BB$165)/(ORÇAMENTO!$X$15-_xlfn.SINGLE(CÁLCULO.TotalAdmLocal))*CRONO!$F73,
                        0),
                 AC72*$S71),
          SUMIF(OFFSET($S73,1,0,$R71-2),($M71+1)&amp;"$",OFFSET(AC73,1,0,$R71-2)))</f>
        <v>0</v>
      </c>
      <c r="AD73" s="202" cm="1">
        <f t="array" aca="1" ref="AD73" ca="1">IF($R71=2,
         IF(AND(ACOMPANHAMENTO="PLE",ISNUMBER($F71)),
                SUMIF((OFFSET(CÁLCULO!$BC$15:$BU$15,$F71,0,OFFSET(ORÇAMENTO!$D$15,CRONO!$F71,0))),CRONO!AD$12,OFFSET(CÁLCULO!$AJ$15:$BB$15,$F71,0,OFFSET(ORÇAMENTO!$D$15,CRONO!$F71,0)))
                +IF(AND($F73&lt;&gt;"",$F73&lt;&gt;0),
                        SUMIF(CÁLCULO!$BC$15:$BU$165,CRONO!AD$12,CÁLCULO!$AJ$15:$BB$165)/(ORÇAMENTO!$X$15-_xlfn.SINGLE(CÁLCULO.TotalAdmLocal))*CRONO!$F73,
                        0),
                 AD72*$S71),
          SUMIF(OFFSET($S73,1,0,$R71-2),($M71+1)&amp;"$",OFFSET(AD73,1,0,$R71-2)))</f>
        <v>0</v>
      </c>
      <c r="AE73" s="202" cm="1">
        <f t="array" aca="1" ref="AE73" ca="1">IF($R71=2,
         IF(AND(ACOMPANHAMENTO="PLE",ISNUMBER($F71)),
                SUMIF((OFFSET(CÁLCULO!$BC$15:$BU$15,$F71,0,OFFSET(ORÇAMENTO!$D$15,CRONO!$F71,0))),CRONO!AE$12,OFFSET(CÁLCULO!$AJ$15:$BB$15,$F71,0,OFFSET(ORÇAMENTO!$D$15,CRONO!$F71,0)))
                +IF(AND($F73&lt;&gt;"",$F73&lt;&gt;0),
                        SUMIF(CÁLCULO!$BC$15:$BU$165,CRONO!AE$12,CÁLCULO!$AJ$15:$BB$165)/(ORÇAMENTO!$X$15-_xlfn.SINGLE(CÁLCULO.TotalAdmLocal))*CRONO!$F73,
                        0),
                 AE72*$S71),
          SUMIF(OFFSET($S73,1,0,$R71-2),($M71+1)&amp;"$",OFFSET(AE73,1,0,$R71-2)))</f>
        <v>0</v>
      </c>
      <c r="AF73" s="202" cm="1">
        <f t="array" aca="1" ref="AF73" ca="1">IF($R71=2,
         IF(AND(ACOMPANHAMENTO="PLE",ISNUMBER($F71)),
                SUMIF((OFFSET(CÁLCULO!$BC$15:$BU$15,$F71,0,OFFSET(ORÇAMENTO!$D$15,CRONO!$F71,0))),CRONO!AF$12,OFFSET(CÁLCULO!$AJ$15:$BB$15,$F71,0,OFFSET(ORÇAMENTO!$D$15,CRONO!$F71,0)))
                +IF(AND($F73&lt;&gt;"",$F73&lt;&gt;0),
                        SUMIF(CÁLCULO!$BC$15:$BU$165,CRONO!AF$12,CÁLCULO!$AJ$15:$BB$165)/(ORÇAMENTO!$X$15-_xlfn.SINGLE(CÁLCULO.TotalAdmLocal))*CRONO!$F73,
                        0),
                 AF72*$S71),
          SUMIF(OFFSET($S73,1,0,$R71-2),($M71+1)&amp;"$",OFFSET(AF73,1,0,$R71-2)))</f>
        <v>0</v>
      </c>
      <c r="AG73" s="534"/>
    </row>
    <row r="74" spans="1:33" x14ac:dyDescent="0.25">
      <c r="A74" s="186" t="e">
        <f ca="1">IF($M74&gt;1,_xlfn.CONCAT($I74," ",$J74),"")</f>
        <v>#NAME?</v>
      </c>
      <c r="B74" s="185">
        <f t="shared" ref="B74" ca="1" si="111">OFFSET(B74,-3,0)+1</f>
        <v>21</v>
      </c>
      <c r="C74" s="185">
        <f ca="1">IF($R74&lt;&gt;2,0,IF($S74=0,1,IF(F75&gt;0,OFFSET(QCI!$M$13,SUBSTITUTE(F75,".",""),0),OFFSET(ORÇAMENTO!$AA$15,CRONO!$F74,0))/$S74))</f>
        <v>0.27621385324224018</v>
      </c>
      <c r="D74" s="185">
        <f ca="1">IF($R74&lt;&gt;2,0,IF($S74=0,1,IF(F75&gt;0,OFFSET(QCI!$N$13,SUBSTITUTE(F75,".",""),0),OFFSET(ORÇAMENTO!$AB$15,CRONO!$F74,0))/$S74))</f>
        <v>0</v>
      </c>
      <c r="E74" s="188" cm="1">
        <f t="array" aca="1" ref="E74" ca="1">IF(AND($R74=2,ACOMPANHAMENTO="BM"),ROUND(E75,4),E76/$S74)</f>
        <v>0</v>
      </c>
      <c r="F74" s="185">
        <f ca="1">IF(B74&lt;=ORÇAMENTO.MáximoListaCrono,MATCH(B74,ORÇAMENTO.ListaCrono,0),NA())</f>
        <v>113</v>
      </c>
      <c r="G74" s="185" t="str">
        <f t="shared" ref="G74" ca="1" si="112">IF(AND($F75&lt;&gt;-1,$S74&gt;0),"F","")</f>
        <v>F</v>
      </c>
      <c r="H74" s="189" t="str" cm="1">
        <f t="array" aca="1" ref="H74" ca="1">IF(OR(S74=0,S74=""),"Linha",IF(AND(OR(ACOMPANHAMENTO="PLE",$R74&lt;&gt;2),$F75=0),"Linha",ROUND(1-SUM(U74:AG74),4)))</f>
        <v>Linha</v>
      </c>
      <c r="I74" s="190" t="str">
        <f ca="1">IF($F75=0,OFFSET(ORÇAMENTO!O$15,$F74,0),IF($F75&lt;&gt;-1,OFFSET(QCI!$D$13,$F75,0),""))</f>
        <v>3.5.</v>
      </c>
      <c r="J74" s="191" t="str">
        <f ca="1">IF($F75=0,OFFSET(ORÇAMENTO!R$15,$F74,0),IF($F75&lt;&gt;-1,OFFSET(QCI!$G$13,$F75,0),""))</f>
        <v>ENSAIOS</v>
      </c>
      <c r="K74" s="191"/>
      <c r="L74" s="191"/>
      <c r="M74" s="192">
        <f ca="1">IF($F75=0,OFFSET(ORÇAMENTO!C$15,$F74,0),1)</f>
        <v>2</v>
      </c>
      <c r="N74" s="193">
        <f ca="1">IF($F75=-1,0,IF(N$13&lt;=$M74,IF(ISERROR(MATCH(N$13,OFFSET($M74,1,0,ROW($M$95)-ROW($M74)-1),0)),ROW($M$95)-ROW($M74)-1,MATCH(N$13,OFFSET($M74,1,0,ROW($M$95)-ROW($M74)-1),0)-1),0))</f>
        <v>2</v>
      </c>
      <c r="O74" s="193">
        <f ca="1">IF($F75=-1,0,IF(O$13&lt;=$M74,IF(ISERROR(MATCH(O$13,OFFSET($M74,1,0,ROW($M$95)-ROW($M74)-1),0)),ROW($M$95)-ROW($M74)-1,MATCH(O$13,OFFSET($M74,1,0,ROW($M$95)-ROW($M74)-1),0)-1),0))</f>
        <v>5</v>
      </c>
      <c r="P74" s="193">
        <f ca="1">IF($F75=-1,0,IF(P$13&lt;=$M74,IF(ISERROR(MATCH(P$13,OFFSET($M74,1,0,ROW($M$95)-ROW($M74)-1),0)),ROW($M$95)-ROW($M74)-1,MATCH(P$13,OFFSET($M74,1,0,ROW($M$95)-ROW($M74)-1),0)-1),0))</f>
        <v>0</v>
      </c>
      <c r="Q74" s="193">
        <f ca="1">IF($F75=-1,0,IF(Q$13&lt;=$M74,IF(ISERROR(MATCH(Q$13,OFFSET($M74,1,0,ROW($M$95)-ROW($M74)-1),0)),ROW($M$95)-ROW($M74)-1,MATCH(Q$13,OFFSET($M74,1,0,ROW($M$95)-ROW($M74)-1),0)-1),0))</f>
        <v>0</v>
      </c>
      <c r="R74" s="193">
        <f t="shared" ref="R74" ca="1" si="113">MIN(OFFSET(M74,0,1,,M74))</f>
        <v>2</v>
      </c>
      <c r="S74" s="194">
        <f ca="1">IF($F75=0,OFFSET(ORÇAMENTO!X$15,$F74,0),IF($F75&lt;&gt;-1,OFFSET(QCI!$O$13,$F75,0),""))</f>
        <v>1131.9100000000001</v>
      </c>
      <c r="T74" s="195" t="s">
        <v>785</v>
      </c>
      <c r="U74" s="188" cm="1">
        <f t="array" aca="1" ref="U74" ca="1">IF(AND($R74=2,ACOMPANHAMENTO="BM"),ROUND(U75,4),U76/$S74)</f>
        <v>0</v>
      </c>
      <c r="V74" s="188" cm="1">
        <f t="array" aca="1" ref="V74" ca="1">IF(AND($R74=2,ACOMPANHAMENTO="BM"),ROUND(V75,4),V76/$S74)</f>
        <v>0</v>
      </c>
      <c r="W74" s="188" cm="1">
        <f t="array" aca="1" ref="W74" ca="1">IF(AND($R74=2,ACOMPANHAMENTO="BM"),ROUND(W75,4),W76/$S74)</f>
        <v>1</v>
      </c>
      <c r="X74" s="188" cm="1">
        <f t="array" aca="1" ref="X74" ca="1">IF(AND($R74=2,ACOMPANHAMENTO="BM"),ROUND(X75,4),X76/$S74)</f>
        <v>0</v>
      </c>
      <c r="Y74" s="188" cm="1">
        <f t="array" aca="1" ref="Y74" ca="1">IF(AND($R74=2,ACOMPANHAMENTO="BM"),ROUND(Y75,4),Y76/$S74)</f>
        <v>0</v>
      </c>
      <c r="Z74" s="188" cm="1">
        <f t="array" aca="1" ref="Z74" ca="1">IF(AND($R74=2,ACOMPANHAMENTO="BM"),ROUND(Z75,4),Z76/$S74)</f>
        <v>0</v>
      </c>
      <c r="AA74" s="188" cm="1">
        <f t="array" aca="1" ref="AA74" ca="1">IF(AND($R74=2,ACOMPANHAMENTO="BM"),ROUND(AA75,4),AA76/$S74)</f>
        <v>0</v>
      </c>
      <c r="AB74" s="188" cm="1">
        <f t="array" aca="1" ref="AB74" ca="1">IF(AND($R74=2,ACOMPANHAMENTO="BM"),ROUND(AB75,4),AB76/$S74)</f>
        <v>0</v>
      </c>
      <c r="AC74" s="188" cm="1">
        <f t="array" aca="1" ref="AC74" ca="1">IF(AND($R74=2,ACOMPANHAMENTO="BM"),ROUND(AC75,4),AC76/$S74)</f>
        <v>0</v>
      </c>
      <c r="AD74" s="188" cm="1">
        <f t="array" aca="1" ref="AD74" ca="1">IF(AND($R74=2,ACOMPANHAMENTO="BM"),ROUND(AD75,4),AD76/$S74)</f>
        <v>0</v>
      </c>
      <c r="AE74" s="188" cm="1">
        <f t="array" aca="1" ref="AE74" ca="1">IF(AND($R74=2,ACOMPANHAMENTO="BM"),ROUND(AE75,4),AE76/$S74)</f>
        <v>0</v>
      </c>
      <c r="AF74" s="188" cm="1">
        <f t="array" aca="1" ref="AF74" ca="1">IF(AND($R74=2,ACOMPANHAMENTO="BM"),ROUND(AF75,4),AF76/$S74)</f>
        <v>0</v>
      </c>
      <c r="AG74" s="534"/>
    </row>
    <row r="75" spans="1:33" ht="12.75" hidden="1" customHeight="1" x14ac:dyDescent="0.25">
      <c r="E75" s="587"/>
      <c r="F75" s="185">
        <f ca="1">IF(ISERROR(F74),IF(1+COUNTIF($M$13:OFFSET(M74,-1,0),1)&lt;=MAX(QCI!$D$13:$D$24),1+COUNTIF($M$13:OFFSET(M74,-1,0),1),-1),0)</f>
        <v>0</v>
      </c>
      <c r="G75" s="185" t="str" cm="1">
        <f t="array" aca="1" ref="G75" ca="1">IF(ACOMPANHAMENTO="BM",OFFSET(G75,-1,0),"")</f>
        <v/>
      </c>
      <c r="H75" s="196" t="str" cm="1">
        <f t="array" aca="1" ref="H75" ca="1">IF(OR(S74=0,S74=""),"vazia",IF(AND(OR(ACOMPANHAMENTO="PLE",$R74&lt;&gt;2),$F75=0),"calculada","--&gt;"))</f>
        <v>calculada</v>
      </c>
      <c r="I75" s="197"/>
      <c r="J75" s="198" t="str">
        <f t="shared" ref="J75" ca="1" si="114">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hidden="1" customHeight="1" x14ac:dyDescent="0.25">
      <c r="D76" s="533"/>
      <c r="E76" s="202" cm="1">
        <f t="array" aca="1" ref="E76" ca="1">IF($R74=2,
         IF(AND(ACOMPANHAMENTO="PLE",ISNUMBER($F74)),
                SUMIF((OFFSET(CÁLCULO!$BC$15:$BU$15,$F74,0,OFFSET(ORÇAMENTO!$D$15,CRONO!$F74,0))),CRONO!E$12,OFFSET(CÁLCULO!$AJ$15:$BB$15,$F74,0,OFFSET(ORÇAMENTO!$D$15,CRONO!$F74,0)))
                +IF(AND($F76&lt;&gt;"",$F76&lt;&gt;0),
                        SUMIF(CÁLCULO!$BC$15:$BU$165,CRONO!E$12,CÁLCULO!$AJ$15:$BB$165)/(ORÇAMENTO!$X$15-_xlfn.SINGLE(CÁLCULO.TotalAdmLocal))*CRONO!$F76,
                        0),
                 E75*$S74),
          SUMIF(OFFSET($S76,1,0,$R74-2),($M74+1)&amp;"$",OFFSET(E76,1,0,$R74-2)))</f>
        <v>0</v>
      </c>
      <c r="F76" s="185" t="str">
        <f ca="1">IF(OR($R74&lt;&gt;2,AUTOEVENTO&lt;&gt;"manual",$F75&gt;0),"",
        IF(Import.TipoArredondamento="Tradicional",
              SUMIF(OFFSET(CÁLCULO!$M$15,CRONO!$F74,0,OFFSET(ORÇAMENTO!$D$15,CRONO!$F74,0)),1,OFFSET(ORÇAMENTO!$X$15,CRONO!$F74,0,OFFSET(ORÇAMENTO!$D$15,CRONO!$F74,0))),
              0))</f>
        <v/>
      </c>
      <c r="H76" s="203"/>
      <c r="S76" s="204" t="str">
        <f t="shared" ref="S76" ca="1" si="115">M74&amp;"$"</f>
        <v>2$</v>
      </c>
      <c r="T76" s="205"/>
      <c r="U76" s="202" cm="1">
        <f t="array" aca="1" ref="U76" ca="1">IF($R74=2,
         IF(AND(ACOMPANHAMENTO="PLE",ISNUMBER($F74)),
                SUMIF((OFFSET(CÁLCULO!$BC$15:$BU$15,$F74,0,OFFSET(ORÇAMENTO!$D$15,CRONO!$F74,0))),CRONO!U$12,OFFSET(CÁLCULO!$AJ$15:$BB$15,$F74,0,OFFSET(ORÇAMENTO!$D$15,CRONO!$F74,0)))
                +IF(AND($F76&lt;&gt;"",$F76&lt;&gt;0),
                        SUMIF(CÁLCULO!$BC$15:$BU$165,CRONO!U$12,CÁLCULO!$AJ$15:$BB$165)/(ORÇAMENTO!$X$15-_xlfn.SINGLE(CÁLCULO.TotalAdmLocal))*CRONO!$F76,
                        0),
                 U75*$S74),
          SUMIF(OFFSET($S76,1,0,$R74-2),($M74+1)&amp;"$",OFFSET(U76,1,0,$R74-2)))</f>
        <v>0</v>
      </c>
      <c r="V76" s="202" cm="1">
        <f t="array" aca="1" ref="V76" ca="1">IF($R74=2,
         IF(AND(ACOMPANHAMENTO="PLE",ISNUMBER($F74)),
                SUMIF((OFFSET(CÁLCULO!$BC$15:$BU$15,$F74,0,OFFSET(ORÇAMENTO!$D$15,CRONO!$F74,0))),CRONO!V$12,OFFSET(CÁLCULO!$AJ$15:$BB$15,$F74,0,OFFSET(ORÇAMENTO!$D$15,CRONO!$F74,0)))
                +IF(AND($F76&lt;&gt;"",$F76&lt;&gt;0),
                        SUMIF(CÁLCULO!$BC$15:$BU$165,CRONO!V$12,CÁLCULO!$AJ$15:$BB$165)/(ORÇAMENTO!$X$15-_xlfn.SINGLE(CÁLCULO.TotalAdmLocal))*CRONO!$F76,
                        0),
                 V75*$S74),
          SUMIF(OFFSET($S76,1,0,$R74-2),($M74+1)&amp;"$",OFFSET(V76,1,0,$R74-2)))</f>
        <v>0</v>
      </c>
      <c r="W76" s="202" cm="1">
        <f t="array" aca="1" ref="W76" ca="1">IF($R74=2,
         IF(AND(ACOMPANHAMENTO="PLE",ISNUMBER($F74)),
                SUMIF((OFFSET(CÁLCULO!$BC$15:$BU$15,$F74,0,OFFSET(ORÇAMENTO!$D$15,CRONO!$F74,0))),CRONO!W$12,OFFSET(CÁLCULO!$AJ$15:$BB$15,$F74,0,OFFSET(ORÇAMENTO!$D$15,CRONO!$F74,0)))
                +IF(AND($F76&lt;&gt;"",$F76&lt;&gt;0),
                        SUMIF(CÁLCULO!$BC$15:$BU$165,CRONO!W$12,CÁLCULO!$AJ$15:$BB$165)/(ORÇAMENTO!$X$15-_xlfn.SINGLE(CÁLCULO.TotalAdmLocal))*CRONO!$F76,
                        0),
                 W75*$S74),
          SUMIF(OFFSET($S76,1,0,$R74-2),($M74+1)&amp;"$",OFFSET(W76,1,0,$R74-2)))</f>
        <v>1131.9100000000001</v>
      </c>
      <c r="X76" s="202" cm="1">
        <f t="array" aca="1" ref="X76" ca="1">IF($R74=2,
         IF(AND(ACOMPANHAMENTO="PLE",ISNUMBER($F74)),
                SUMIF((OFFSET(CÁLCULO!$BC$15:$BU$15,$F74,0,OFFSET(ORÇAMENTO!$D$15,CRONO!$F74,0))),CRONO!X$12,OFFSET(CÁLCULO!$AJ$15:$BB$15,$F74,0,OFFSET(ORÇAMENTO!$D$15,CRONO!$F74,0)))
                +IF(AND($F76&lt;&gt;"",$F76&lt;&gt;0),
                        SUMIF(CÁLCULO!$BC$15:$BU$165,CRONO!X$12,CÁLCULO!$AJ$15:$BB$165)/(ORÇAMENTO!$X$15-_xlfn.SINGLE(CÁLCULO.TotalAdmLocal))*CRONO!$F76,
                        0),
                 X75*$S74),
          SUMIF(OFFSET($S76,1,0,$R74-2),($M74+1)&amp;"$",OFFSET(X76,1,0,$R74-2)))</f>
        <v>0</v>
      </c>
      <c r="Y76" s="202" cm="1">
        <f t="array" aca="1" ref="Y76" ca="1">IF($R74=2,
         IF(AND(ACOMPANHAMENTO="PLE",ISNUMBER($F74)),
                SUMIF((OFFSET(CÁLCULO!$BC$15:$BU$15,$F74,0,OFFSET(ORÇAMENTO!$D$15,CRONO!$F74,0))),CRONO!Y$12,OFFSET(CÁLCULO!$AJ$15:$BB$15,$F74,0,OFFSET(ORÇAMENTO!$D$15,CRONO!$F74,0)))
                +IF(AND($F76&lt;&gt;"",$F76&lt;&gt;0),
                        SUMIF(CÁLCULO!$BC$15:$BU$165,CRONO!Y$12,CÁLCULO!$AJ$15:$BB$165)/(ORÇAMENTO!$X$15-_xlfn.SINGLE(CÁLCULO.TotalAdmLocal))*CRONO!$F76,
                        0),
                 Y75*$S74),
          SUMIF(OFFSET($S76,1,0,$R74-2),($M74+1)&amp;"$",OFFSET(Y76,1,0,$R74-2)))</f>
        <v>0</v>
      </c>
      <c r="Z76" s="202" cm="1">
        <f t="array" aca="1" ref="Z76" ca="1">IF($R74=2,
         IF(AND(ACOMPANHAMENTO="PLE",ISNUMBER($F74)),
                SUMIF((OFFSET(CÁLCULO!$BC$15:$BU$15,$F74,0,OFFSET(ORÇAMENTO!$D$15,CRONO!$F74,0))),CRONO!Z$12,OFFSET(CÁLCULO!$AJ$15:$BB$15,$F74,0,OFFSET(ORÇAMENTO!$D$15,CRONO!$F74,0)))
                +IF(AND($F76&lt;&gt;"",$F76&lt;&gt;0),
                        SUMIF(CÁLCULO!$BC$15:$BU$165,CRONO!Z$12,CÁLCULO!$AJ$15:$BB$165)/(ORÇAMENTO!$X$15-_xlfn.SINGLE(CÁLCULO.TotalAdmLocal))*CRONO!$F76,
                        0),
                 Z75*$S74),
          SUMIF(OFFSET($S76,1,0,$R74-2),($M74+1)&amp;"$",OFFSET(Z76,1,0,$R74-2)))</f>
        <v>0</v>
      </c>
      <c r="AA76" s="202" cm="1">
        <f t="array" aca="1" ref="AA76" ca="1">IF($R74=2,
         IF(AND(ACOMPANHAMENTO="PLE",ISNUMBER($F74)),
                SUMIF((OFFSET(CÁLCULO!$BC$15:$BU$15,$F74,0,OFFSET(ORÇAMENTO!$D$15,CRONO!$F74,0))),CRONO!AA$12,OFFSET(CÁLCULO!$AJ$15:$BB$15,$F74,0,OFFSET(ORÇAMENTO!$D$15,CRONO!$F74,0)))
                +IF(AND($F76&lt;&gt;"",$F76&lt;&gt;0),
                        SUMIF(CÁLCULO!$BC$15:$BU$165,CRONO!AA$12,CÁLCULO!$AJ$15:$BB$165)/(ORÇAMENTO!$X$15-_xlfn.SINGLE(CÁLCULO.TotalAdmLocal))*CRONO!$F76,
                        0),
                 AA75*$S74),
          SUMIF(OFFSET($S76,1,0,$R74-2),($M74+1)&amp;"$",OFFSET(AA76,1,0,$R74-2)))</f>
        <v>0</v>
      </c>
      <c r="AB76" s="202" cm="1">
        <f t="array" aca="1" ref="AB76" ca="1">IF($R74=2,
         IF(AND(ACOMPANHAMENTO="PLE",ISNUMBER($F74)),
                SUMIF((OFFSET(CÁLCULO!$BC$15:$BU$15,$F74,0,OFFSET(ORÇAMENTO!$D$15,CRONO!$F74,0))),CRONO!AB$12,OFFSET(CÁLCULO!$AJ$15:$BB$15,$F74,0,OFFSET(ORÇAMENTO!$D$15,CRONO!$F74,0)))
                +IF(AND($F76&lt;&gt;"",$F76&lt;&gt;0),
                        SUMIF(CÁLCULO!$BC$15:$BU$165,CRONO!AB$12,CÁLCULO!$AJ$15:$BB$165)/(ORÇAMENTO!$X$15-_xlfn.SINGLE(CÁLCULO.TotalAdmLocal))*CRONO!$F76,
                        0),
                 AB75*$S74),
          SUMIF(OFFSET($S76,1,0,$R74-2),($M74+1)&amp;"$",OFFSET(AB76,1,0,$R74-2)))</f>
        <v>0</v>
      </c>
      <c r="AC76" s="202" cm="1">
        <f t="array" aca="1" ref="AC76" ca="1">IF($R74=2,
         IF(AND(ACOMPANHAMENTO="PLE",ISNUMBER($F74)),
                SUMIF((OFFSET(CÁLCULO!$BC$15:$BU$15,$F74,0,OFFSET(ORÇAMENTO!$D$15,CRONO!$F74,0))),CRONO!AC$12,OFFSET(CÁLCULO!$AJ$15:$BB$15,$F74,0,OFFSET(ORÇAMENTO!$D$15,CRONO!$F74,0)))
                +IF(AND($F76&lt;&gt;"",$F76&lt;&gt;0),
                        SUMIF(CÁLCULO!$BC$15:$BU$165,CRONO!AC$12,CÁLCULO!$AJ$15:$BB$165)/(ORÇAMENTO!$X$15-_xlfn.SINGLE(CÁLCULO.TotalAdmLocal))*CRONO!$F76,
                        0),
                 AC75*$S74),
          SUMIF(OFFSET($S76,1,0,$R74-2),($M74+1)&amp;"$",OFFSET(AC76,1,0,$R74-2)))</f>
        <v>0</v>
      </c>
      <c r="AD76" s="202" cm="1">
        <f t="array" aca="1" ref="AD76" ca="1">IF($R74=2,
         IF(AND(ACOMPANHAMENTO="PLE",ISNUMBER($F74)),
                SUMIF((OFFSET(CÁLCULO!$BC$15:$BU$15,$F74,0,OFFSET(ORÇAMENTO!$D$15,CRONO!$F74,0))),CRONO!AD$12,OFFSET(CÁLCULO!$AJ$15:$BB$15,$F74,0,OFFSET(ORÇAMENTO!$D$15,CRONO!$F74,0)))
                +IF(AND($F76&lt;&gt;"",$F76&lt;&gt;0),
                        SUMIF(CÁLCULO!$BC$15:$BU$165,CRONO!AD$12,CÁLCULO!$AJ$15:$BB$165)/(ORÇAMENTO!$X$15-_xlfn.SINGLE(CÁLCULO.TotalAdmLocal))*CRONO!$F76,
                        0),
                 AD75*$S74),
          SUMIF(OFFSET($S76,1,0,$R74-2),($M74+1)&amp;"$",OFFSET(AD76,1,0,$R74-2)))</f>
        <v>0</v>
      </c>
      <c r="AE76" s="202" cm="1">
        <f t="array" aca="1" ref="AE76" ca="1">IF($R74=2,
         IF(AND(ACOMPANHAMENTO="PLE",ISNUMBER($F74)),
                SUMIF((OFFSET(CÁLCULO!$BC$15:$BU$15,$F74,0,OFFSET(ORÇAMENTO!$D$15,CRONO!$F74,0))),CRONO!AE$12,OFFSET(CÁLCULO!$AJ$15:$BB$15,$F74,0,OFFSET(ORÇAMENTO!$D$15,CRONO!$F74,0)))
                +IF(AND($F76&lt;&gt;"",$F76&lt;&gt;0),
                        SUMIF(CÁLCULO!$BC$15:$BU$165,CRONO!AE$12,CÁLCULO!$AJ$15:$BB$165)/(ORÇAMENTO!$X$15-_xlfn.SINGLE(CÁLCULO.TotalAdmLocal))*CRONO!$F76,
                        0),
                 AE75*$S74),
          SUMIF(OFFSET($S76,1,0,$R74-2),($M74+1)&amp;"$",OFFSET(AE76,1,0,$R74-2)))</f>
        <v>0</v>
      </c>
      <c r="AF76" s="202" cm="1">
        <f t="array" aca="1" ref="AF76" ca="1">IF($R74=2,
         IF(AND(ACOMPANHAMENTO="PLE",ISNUMBER($F74)),
                SUMIF((OFFSET(CÁLCULO!$BC$15:$BU$15,$F74,0,OFFSET(ORÇAMENTO!$D$15,CRONO!$F74,0))),CRONO!AF$12,OFFSET(CÁLCULO!$AJ$15:$BB$15,$F74,0,OFFSET(ORÇAMENTO!$D$15,CRONO!$F74,0)))
                +IF(AND($F76&lt;&gt;"",$F76&lt;&gt;0),
                        SUMIF(CÁLCULO!$BC$15:$BU$165,CRONO!AF$12,CÁLCULO!$AJ$15:$BB$165)/(ORÇAMENTO!$X$15-_xlfn.SINGLE(CÁLCULO.TotalAdmLocal))*CRONO!$F76,
                        0),
                 AF75*$S74),
          SUMIF(OFFSET($S76,1,0,$R74-2),($M74+1)&amp;"$",OFFSET(AF76,1,0,$R74-2)))</f>
        <v>0</v>
      </c>
      <c r="AG76" s="534"/>
    </row>
    <row r="77" spans="1:33" x14ac:dyDescent="0.25">
      <c r="A77" s="186" t="str">
        <f ca="1">IF($M77&gt;1,_xlfn.CONCAT($I77," ",$J77),"")</f>
        <v/>
      </c>
      <c r="B77" s="185">
        <f t="shared" ref="B77" ca="1" si="116">OFFSET(B77,-3,0)+1</f>
        <v>22</v>
      </c>
      <c r="C77" s="185">
        <f ca="1">IF($R77&lt;&gt;2,0,IF($S77=0,1,IF(F78&gt;0,OFFSET(QCI!$M$13,SUBSTITUTE(F78,".",""),0),OFFSET(ORÇAMENTO!$AA$15,CRONO!$F77,0))/$S77))</f>
        <v>0</v>
      </c>
      <c r="D77" s="185">
        <f ca="1">IF($R77&lt;&gt;2,0,IF($S77=0,1,IF(F78&gt;0,OFFSET(QCI!$N$13,SUBSTITUTE(F78,".",""),0),OFFSET(ORÇAMENTO!$AB$15,CRONO!$F77,0))/$S77))</f>
        <v>0</v>
      </c>
      <c r="E77" s="188" cm="1">
        <f t="array" aca="1" ref="E77" ca="1">IF(AND($R77=2,ACOMPANHAMENTO="BM"),ROUND(E78,4),E79/$S77)</f>
        <v>0</v>
      </c>
      <c r="F77" s="185">
        <f ca="1">IF(B77&lt;=ORÇAMENTO.MáximoListaCrono,MATCH(B77,ORÇAMENTO.ListaCrono,0),NA())</f>
        <v>118</v>
      </c>
      <c r="G77" s="185" t="str">
        <f t="shared" ref="G77" ca="1" si="117">IF(AND($F78&lt;&gt;-1,$S77&gt;0),"F","")</f>
        <v>F</v>
      </c>
      <c r="H77" s="189" t="str" cm="1">
        <f t="array" aca="1" ref="H77" ca="1">IF(OR(S77=0,S77=""),"Linha",IF(AND(OR(ACOMPANHAMENTO="PLE",$R77&lt;&gt;2),$F78=0),"Linha",ROUND(1-SUM(U77:AG77),4)))</f>
        <v>Linha</v>
      </c>
      <c r="I77" s="190" t="str">
        <f ca="1">IF($F78=0,OFFSET(ORÇAMENTO!O$15,$F77,0),IF($F78&lt;&gt;-1,OFFSET(QCI!$D$13,$F78,0),""))</f>
        <v>4.</v>
      </c>
      <c r="J77" s="191" t="str">
        <f ca="1">IF($F78=0,OFFSET(ORÇAMENTO!R$15,$F77,0),IF($F78&lt;&gt;-1,OFFSET(QCI!$G$13,$F78,0),""))</f>
        <v>DISTRITO IND. MÁRIO ZANDONÁ (Trecho 5)</v>
      </c>
      <c r="K77" s="191"/>
      <c r="L77" s="191"/>
      <c r="M77" s="192">
        <f ca="1">IF($F78=0,OFFSET(ORÇAMENTO!C$15,$F77,0),1)</f>
        <v>1</v>
      </c>
      <c r="N77" s="193">
        <f ca="1">IF($F78=-1,0,IF(N$13&lt;=$M77,IF(ISERROR(MATCH(N$13,OFFSET($M77,1,0,ROW($M$95)-ROW($M77)-1),0)),ROW($M$95)-ROW($M77)-1,MATCH(N$13,OFFSET($M77,1,0,ROW($M$95)-ROW($M77)-1),0)-1),0))</f>
        <v>17</v>
      </c>
      <c r="O77" s="193">
        <f ca="1">IF($F78=-1,0,IF(O$13&lt;=$M77,IF(ISERROR(MATCH(O$13,OFFSET($M77,1,0,ROW($M$95)-ROW($M77)-1),0)),ROW($M$95)-ROW($M77)-1,MATCH(O$13,OFFSET($M77,1,0,ROW($M$95)-ROW($M77)-1),0)-1),0))</f>
        <v>0</v>
      </c>
      <c r="P77" s="193">
        <f ca="1">IF($F78=-1,0,IF(P$13&lt;=$M77,IF(ISERROR(MATCH(P$13,OFFSET($M77,1,0,ROW($M$95)-ROW($M77)-1),0)),ROW($M$95)-ROW($M77)-1,MATCH(P$13,OFFSET($M77,1,0,ROW($M$95)-ROW($M77)-1),0)-1),0))</f>
        <v>0</v>
      </c>
      <c r="Q77" s="193">
        <f ca="1">IF($F78=-1,0,IF(Q$13&lt;=$M77,IF(ISERROR(MATCH(Q$13,OFFSET($M77,1,0,ROW($M$95)-ROW($M77)-1),0)),ROW($M$95)-ROW($M77)-1,MATCH(Q$13,OFFSET($M77,1,0,ROW($M$95)-ROW($M77)-1),0)-1),0))</f>
        <v>0</v>
      </c>
      <c r="R77" s="193">
        <f t="shared" ref="R77" ca="1" si="118">MIN(OFFSET(M77,0,1,,M77))</f>
        <v>17</v>
      </c>
      <c r="S77" s="194">
        <f ca="1">IF($F78=0,OFFSET(ORÇAMENTO!X$15,$F77,0),IF($F78&lt;&gt;-1,OFFSET(QCI!$O$13,$F78,0),""))</f>
        <v>404585.45</v>
      </c>
      <c r="T77" s="195" t="s">
        <v>785</v>
      </c>
      <c r="U77" s="188" cm="1">
        <f t="array" aca="1" ref="U77" ca="1">IF(AND($R77=2,ACOMPANHAMENTO="BM"),ROUND(U78,4),U79/$S77)</f>
        <v>0</v>
      </c>
      <c r="V77" s="188" cm="1">
        <f t="array" aca="1" ref="V77" ca="1">IF(AND($R77=2,ACOMPANHAMENTO="BM"),ROUND(V78,4),V79/$S77)</f>
        <v>0</v>
      </c>
      <c r="W77" s="188" cm="1">
        <f t="array" aca="1" ref="W77" ca="1">IF(AND($R77=2,ACOMPANHAMENTO="BM"),ROUND(W78,4),W79/$S77)</f>
        <v>0</v>
      </c>
      <c r="X77" s="188" cm="1">
        <f t="array" aca="1" ref="X77" ca="1">IF(AND($R77=2,ACOMPANHAMENTO="BM"),ROUND(X78,4),X79/$S77)</f>
        <v>0</v>
      </c>
      <c r="Y77" s="188" cm="1">
        <f t="array" aca="1" ref="Y77" ca="1">IF(AND($R77=2,ACOMPANHAMENTO="BM"),ROUND(Y78,4),Y79/$S77)</f>
        <v>0.13532172251869168</v>
      </c>
      <c r="Z77" s="188" cm="1">
        <f t="array" aca="1" ref="Z77" ca="1">IF(AND($R77=2,ACOMPANHAMENTO="BM"),ROUND(Z78,4),Z79/$S77)</f>
        <v>0.86467827748130832</v>
      </c>
      <c r="AA77" s="188" cm="1">
        <f t="array" aca="1" ref="AA77" ca="1">IF(AND($R77=2,ACOMPANHAMENTO="BM"),ROUND(AA78,4),AA79/$S77)</f>
        <v>0</v>
      </c>
      <c r="AB77" s="188" cm="1">
        <f t="array" aca="1" ref="AB77" ca="1">IF(AND($R77=2,ACOMPANHAMENTO="BM"),ROUND(AB78,4),AB79/$S77)</f>
        <v>0</v>
      </c>
      <c r="AC77" s="188" cm="1">
        <f t="array" aca="1" ref="AC77" ca="1">IF(AND($R77=2,ACOMPANHAMENTO="BM"),ROUND(AC78,4),AC79/$S77)</f>
        <v>0</v>
      </c>
      <c r="AD77" s="188" cm="1">
        <f t="array" aca="1" ref="AD77" ca="1">IF(AND($R77=2,ACOMPANHAMENTO="BM"),ROUND(AD78,4),AD79/$S77)</f>
        <v>0</v>
      </c>
      <c r="AE77" s="188" cm="1">
        <f t="array" aca="1" ref="AE77" ca="1">IF(AND($R77=2,ACOMPANHAMENTO="BM"),ROUND(AE78,4),AE79/$S77)</f>
        <v>0</v>
      </c>
      <c r="AF77" s="188" cm="1">
        <f t="array" aca="1" ref="AF77" ca="1">IF(AND($R77=2,ACOMPANHAMENTO="BM"),ROUND(AF78,4),AF79/$S77)</f>
        <v>0</v>
      </c>
      <c r="AG77" s="534"/>
    </row>
    <row r="78" spans="1:33" ht="12.75" hidden="1" customHeight="1" x14ac:dyDescent="0.25">
      <c r="E78" s="587"/>
      <c r="F78" s="185">
        <f ca="1">IF(ISERROR(F77),IF(1+COUNTIF($M$13:OFFSET(M77,-1,0),1)&lt;=MAX(QCI!$D$13:$D$24),1+COUNTIF($M$13:OFFSET(M77,-1,0),1),-1),0)</f>
        <v>0</v>
      </c>
      <c r="G78" s="185" t="str" cm="1">
        <f t="array" aca="1" ref="G78" ca="1">IF(ACOMPANHAMENTO="BM",OFFSET(G78,-1,0),"")</f>
        <v/>
      </c>
      <c r="H78" s="196" t="str" cm="1">
        <f t="array" aca="1" ref="H78" ca="1">IF(OR(S77=0,S77=""),"vazia",IF(AND(OR(ACOMPANHAMENTO="PLE",$R77&lt;&gt;2),$F78=0),"calculada","--&gt;"))</f>
        <v>calculada</v>
      </c>
      <c r="I78" s="197"/>
      <c r="J78" s="198" t="str">
        <f t="shared" ref="J78" ca="1" si="119">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hidden="1" customHeight="1" x14ac:dyDescent="0.25">
      <c r="D79" s="533"/>
      <c r="E79" s="202" cm="1">
        <f t="array" aca="1" ref="E79" ca="1">IF($R77=2,
         IF(AND(ACOMPANHAMENTO="PLE",ISNUMBER($F77)),
                SUMIF((OFFSET(CÁLCULO!$BC$15:$BU$15,$F77,0,OFFSET(ORÇAMENTO!$D$15,CRONO!$F77,0))),CRONO!E$12,OFFSET(CÁLCULO!$AJ$15:$BB$15,$F77,0,OFFSET(ORÇAMENTO!$D$15,CRONO!$F77,0)))
                +IF(AND($F79&lt;&gt;"",$F79&lt;&gt;0),
                        SUMIF(CÁLCULO!$BC$15:$BU$165,CRONO!E$12,CÁLCULO!$AJ$15:$BB$165)/(ORÇAMENTO!$X$15-_xlfn.SINGLE(CÁLCULO.TotalAdmLocal))*CRONO!$F79,
                        0),
                 E78*$S77),
          SUMIF(OFFSET($S79,1,0,$R77-2),($M77+1)&amp;"$",OFFSET(E79,1,0,$R77-2)))</f>
        <v>0</v>
      </c>
      <c r="F79" s="185" t="str">
        <f ca="1">IF(OR($R77&lt;&gt;2,AUTOEVENTO&lt;&gt;"manual",$F78&gt;0),"",
        IF(Import.TipoArredondamento="Tradicional",
              SUMIF(OFFSET(CÁLCULO!$M$15,CRONO!$F77,0,OFFSET(ORÇAMENTO!$D$15,CRONO!$F77,0)),1,OFFSET(ORÇAMENTO!$X$15,CRONO!$F77,0,OFFSET(ORÇAMENTO!$D$15,CRONO!$F77,0))),
              0))</f>
        <v/>
      </c>
      <c r="H79" s="203"/>
      <c r="S79" s="204" t="str">
        <f t="shared" ref="S79" ca="1" si="120">M77&amp;"$"</f>
        <v>1$</v>
      </c>
      <c r="T79" s="205"/>
      <c r="U79" s="202" cm="1">
        <f t="array" aca="1" ref="U79" ca="1">IF($R77=2,
         IF(AND(ACOMPANHAMENTO="PLE",ISNUMBER($F77)),
                SUMIF((OFFSET(CÁLCULO!$BC$15:$BU$15,$F77,0,OFFSET(ORÇAMENTO!$D$15,CRONO!$F77,0))),CRONO!U$12,OFFSET(CÁLCULO!$AJ$15:$BB$15,$F77,0,OFFSET(ORÇAMENTO!$D$15,CRONO!$F77,0)))
                +IF(AND($F79&lt;&gt;"",$F79&lt;&gt;0),
                        SUMIF(CÁLCULO!$BC$15:$BU$165,CRONO!U$12,CÁLCULO!$AJ$15:$BB$165)/(ORÇAMENTO!$X$15-_xlfn.SINGLE(CÁLCULO.TotalAdmLocal))*CRONO!$F79,
                        0),
                 U78*$S77),
          SUMIF(OFFSET($S79,1,0,$R77-2),($M77+1)&amp;"$",OFFSET(U79,1,0,$R77-2)))</f>
        <v>0</v>
      </c>
      <c r="V79" s="202" cm="1">
        <f t="array" aca="1" ref="V79" ca="1">IF($R77=2,
         IF(AND(ACOMPANHAMENTO="PLE",ISNUMBER($F77)),
                SUMIF((OFFSET(CÁLCULO!$BC$15:$BU$15,$F77,0,OFFSET(ORÇAMENTO!$D$15,CRONO!$F77,0))),CRONO!V$12,OFFSET(CÁLCULO!$AJ$15:$BB$15,$F77,0,OFFSET(ORÇAMENTO!$D$15,CRONO!$F77,0)))
                +IF(AND($F79&lt;&gt;"",$F79&lt;&gt;0),
                        SUMIF(CÁLCULO!$BC$15:$BU$165,CRONO!V$12,CÁLCULO!$AJ$15:$BB$165)/(ORÇAMENTO!$X$15-_xlfn.SINGLE(CÁLCULO.TotalAdmLocal))*CRONO!$F79,
                        0),
                 V78*$S77),
          SUMIF(OFFSET($S79,1,0,$R77-2),($M77+1)&amp;"$",OFFSET(V79,1,0,$R77-2)))</f>
        <v>0</v>
      </c>
      <c r="W79" s="202" cm="1">
        <f t="array" aca="1" ref="W79" ca="1">IF($R77=2,
         IF(AND(ACOMPANHAMENTO="PLE",ISNUMBER($F77)),
                SUMIF((OFFSET(CÁLCULO!$BC$15:$BU$15,$F77,0,OFFSET(ORÇAMENTO!$D$15,CRONO!$F77,0))),CRONO!W$12,OFFSET(CÁLCULO!$AJ$15:$BB$15,$F77,0,OFFSET(ORÇAMENTO!$D$15,CRONO!$F77,0)))
                +IF(AND($F79&lt;&gt;"",$F79&lt;&gt;0),
                        SUMIF(CÁLCULO!$BC$15:$BU$165,CRONO!W$12,CÁLCULO!$AJ$15:$BB$165)/(ORÇAMENTO!$X$15-_xlfn.SINGLE(CÁLCULO.TotalAdmLocal))*CRONO!$F79,
                        0),
                 W78*$S77),
          SUMIF(OFFSET($S79,1,0,$R77-2),($M77+1)&amp;"$",OFFSET(W79,1,0,$R77-2)))</f>
        <v>0</v>
      </c>
      <c r="X79" s="202" cm="1">
        <f t="array" aca="1" ref="X79" ca="1">IF($R77=2,
         IF(AND(ACOMPANHAMENTO="PLE",ISNUMBER($F77)),
                SUMIF((OFFSET(CÁLCULO!$BC$15:$BU$15,$F77,0,OFFSET(ORÇAMENTO!$D$15,CRONO!$F77,0))),CRONO!X$12,OFFSET(CÁLCULO!$AJ$15:$BB$15,$F77,0,OFFSET(ORÇAMENTO!$D$15,CRONO!$F77,0)))
                +IF(AND($F79&lt;&gt;"",$F79&lt;&gt;0),
                        SUMIF(CÁLCULO!$BC$15:$BU$165,CRONO!X$12,CÁLCULO!$AJ$15:$BB$165)/(ORÇAMENTO!$X$15-_xlfn.SINGLE(CÁLCULO.TotalAdmLocal))*CRONO!$F79,
                        0),
                 X78*$S77),
          SUMIF(OFFSET($S79,1,0,$R77-2),($M77+1)&amp;"$",OFFSET(X79,1,0,$R77-2)))</f>
        <v>0</v>
      </c>
      <c r="Y79" s="202" cm="1">
        <f t="array" aca="1" ref="Y79" ca="1">IF($R77=2,
         IF(AND(ACOMPANHAMENTO="PLE",ISNUMBER($F77)),
                SUMIF((OFFSET(CÁLCULO!$BC$15:$BU$15,$F77,0,OFFSET(ORÇAMENTO!$D$15,CRONO!$F77,0))),CRONO!Y$12,OFFSET(CÁLCULO!$AJ$15:$BB$15,$F77,0,OFFSET(ORÇAMENTO!$D$15,CRONO!$F77,0)))
                +IF(AND($F79&lt;&gt;"",$F79&lt;&gt;0),
                        SUMIF(CÁLCULO!$BC$15:$BU$165,CRONO!Y$12,CÁLCULO!$AJ$15:$BB$165)/(ORÇAMENTO!$X$15-_xlfn.SINGLE(CÁLCULO.TotalAdmLocal))*CRONO!$F79,
                        0),
                 Y78*$S77),
          SUMIF(OFFSET($S79,1,0,$R77-2),($M77+1)&amp;"$",OFFSET(Y79,1,0,$R77-2)))</f>
        <v>54749.200000000012</v>
      </c>
      <c r="Z79" s="202" cm="1">
        <f t="array" aca="1" ref="Z79" ca="1">IF($R77=2,
         IF(AND(ACOMPANHAMENTO="PLE",ISNUMBER($F77)),
                SUMIF((OFFSET(CÁLCULO!$BC$15:$BU$15,$F77,0,OFFSET(ORÇAMENTO!$D$15,CRONO!$F77,0))),CRONO!Z$12,OFFSET(CÁLCULO!$AJ$15:$BB$15,$F77,0,OFFSET(ORÇAMENTO!$D$15,CRONO!$F77,0)))
                +IF(AND($F79&lt;&gt;"",$F79&lt;&gt;0),
                        SUMIF(CÁLCULO!$BC$15:$BU$165,CRONO!Z$12,CÁLCULO!$AJ$15:$BB$165)/(ORÇAMENTO!$X$15-_xlfn.SINGLE(CÁLCULO.TotalAdmLocal))*CRONO!$F79,
                        0),
                 Z78*$S77),
          SUMIF(OFFSET($S79,1,0,$R77-2),($M77+1)&amp;"$",OFFSET(Z79,1,0,$R77-2)))</f>
        <v>349836.25</v>
      </c>
      <c r="AA79" s="202" cm="1">
        <f t="array" aca="1" ref="AA79" ca="1">IF($R77=2,
         IF(AND(ACOMPANHAMENTO="PLE",ISNUMBER($F77)),
                SUMIF((OFFSET(CÁLCULO!$BC$15:$BU$15,$F77,0,OFFSET(ORÇAMENTO!$D$15,CRONO!$F77,0))),CRONO!AA$12,OFFSET(CÁLCULO!$AJ$15:$BB$15,$F77,0,OFFSET(ORÇAMENTO!$D$15,CRONO!$F77,0)))
                +IF(AND($F79&lt;&gt;"",$F79&lt;&gt;0),
                        SUMIF(CÁLCULO!$BC$15:$BU$165,CRONO!AA$12,CÁLCULO!$AJ$15:$BB$165)/(ORÇAMENTO!$X$15-_xlfn.SINGLE(CÁLCULO.TotalAdmLocal))*CRONO!$F79,
                        0),
                 AA78*$S77),
          SUMIF(OFFSET($S79,1,0,$R77-2),($M77+1)&amp;"$",OFFSET(AA79,1,0,$R77-2)))</f>
        <v>0</v>
      </c>
      <c r="AB79" s="202" cm="1">
        <f t="array" aca="1" ref="AB79" ca="1">IF($R77=2,
         IF(AND(ACOMPANHAMENTO="PLE",ISNUMBER($F77)),
                SUMIF((OFFSET(CÁLCULO!$BC$15:$BU$15,$F77,0,OFFSET(ORÇAMENTO!$D$15,CRONO!$F77,0))),CRONO!AB$12,OFFSET(CÁLCULO!$AJ$15:$BB$15,$F77,0,OFFSET(ORÇAMENTO!$D$15,CRONO!$F77,0)))
                +IF(AND($F79&lt;&gt;"",$F79&lt;&gt;0),
                        SUMIF(CÁLCULO!$BC$15:$BU$165,CRONO!AB$12,CÁLCULO!$AJ$15:$BB$165)/(ORÇAMENTO!$X$15-_xlfn.SINGLE(CÁLCULO.TotalAdmLocal))*CRONO!$F79,
                        0),
                 AB78*$S77),
          SUMIF(OFFSET($S79,1,0,$R77-2),($M77+1)&amp;"$",OFFSET(AB79,1,0,$R77-2)))</f>
        <v>0</v>
      </c>
      <c r="AC79" s="202" cm="1">
        <f t="array" aca="1" ref="AC79" ca="1">IF($R77=2,
         IF(AND(ACOMPANHAMENTO="PLE",ISNUMBER($F77)),
                SUMIF((OFFSET(CÁLCULO!$BC$15:$BU$15,$F77,0,OFFSET(ORÇAMENTO!$D$15,CRONO!$F77,0))),CRONO!AC$12,OFFSET(CÁLCULO!$AJ$15:$BB$15,$F77,0,OFFSET(ORÇAMENTO!$D$15,CRONO!$F77,0)))
                +IF(AND($F79&lt;&gt;"",$F79&lt;&gt;0),
                        SUMIF(CÁLCULO!$BC$15:$BU$165,CRONO!AC$12,CÁLCULO!$AJ$15:$BB$165)/(ORÇAMENTO!$X$15-_xlfn.SINGLE(CÁLCULO.TotalAdmLocal))*CRONO!$F79,
                        0),
                 AC78*$S77),
          SUMIF(OFFSET($S79,1,0,$R77-2),($M77+1)&amp;"$",OFFSET(AC79,1,0,$R77-2)))</f>
        <v>0</v>
      </c>
      <c r="AD79" s="202" cm="1">
        <f t="array" aca="1" ref="AD79" ca="1">IF($R77=2,
         IF(AND(ACOMPANHAMENTO="PLE",ISNUMBER($F77)),
                SUMIF((OFFSET(CÁLCULO!$BC$15:$BU$15,$F77,0,OFFSET(ORÇAMENTO!$D$15,CRONO!$F77,0))),CRONO!AD$12,OFFSET(CÁLCULO!$AJ$15:$BB$15,$F77,0,OFFSET(ORÇAMENTO!$D$15,CRONO!$F77,0)))
                +IF(AND($F79&lt;&gt;"",$F79&lt;&gt;0),
                        SUMIF(CÁLCULO!$BC$15:$BU$165,CRONO!AD$12,CÁLCULO!$AJ$15:$BB$165)/(ORÇAMENTO!$X$15-_xlfn.SINGLE(CÁLCULO.TotalAdmLocal))*CRONO!$F79,
                        0),
                 AD78*$S77),
          SUMIF(OFFSET($S79,1,0,$R77-2),($M77+1)&amp;"$",OFFSET(AD79,1,0,$R77-2)))</f>
        <v>0</v>
      </c>
      <c r="AE79" s="202" cm="1">
        <f t="array" aca="1" ref="AE79" ca="1">IF($R77=2,
         IF(AND(ACOMPANHAMENTO="PLE",ISNUMBER($F77)),
                SUMIF((OFFSET(CÁLCULO!$BC$15:$BU$15,$F77,0,OFFSET(ORÇAMENTO!$D$15,CRONO!$F77,0))),CRONO!AE$12,OFFSET(CÁLCULO!$AJ$15:$BB$15,$F77,0,OFFSET(ORÇAMENTO!$D$15,CRONO!$F77,0)))
                +IF(AND($F79&lt;&gt;"",$F79&lt;&gt;0),
                        SUMIF(CÁLCULO!$BC$15:$BU$165,CRONO!AE$12,CÁLCULO!$AJ$15:$BB$165)/(ORÇAMENTO!$X$15-_xlfn.SINGLE(CÁLCULO.TotalAdmLocal))*CRONO!$F79,
                        0),
                 AE78*$S77),
          SUMIF(OFFSET($S79,1,0,$R77-2),($M77+1)&amp;"$",OFFSET(AE79,1,0,$R77-2)))</f>
        <v>0</v>
      </c>
      <c r="AF79" s="202" cm="1">
        <f t="array" aca="1" ref="AF79" ca="1">IF($R77=2,
         IF(AND(ACOMPANHAMENTO="PLE",ISNUMBER($F77)),
                SUMIF((OFFSET(CÁLCULO!$BC$15:$BU$15,$F77,0,OFFSET(ORÇAMENTO!$D$15,CRONO!$F77,0))),CRONO!AF$12,OFFSET(CÁLCULO!$AJ$15:$BB$15,$F77,0,OFFSET(ORÇAMENTO!$D$15,CRONO!$F77,0)))
                +IF(AND($F79&lt;&gt;"",$F79&lt;&gt;0),
                        SUMIF(CÁLCULO!$BC$15:$BU$165,CRONO!AF$12,CÁLCULO!$AJ$15:$BB$165)/(ORÇAMENTO!$X$15-_xlfn.SINGLE(CÁLCULO.TotalAdmLocal))*CRONO!$F79,
                        0),
                 AF78*$S77),
          SUMIF(OFFSET($S79,1,0,$R77-2),($M77+1)&amp;"$",OFFSET(AF79,1,0,$R77-2)))</f>
        <v>0</v>
      </c>
      <c r="AG79" s="534"/>
    </row>
    <row r="80" spans="1:33" x14ac:dyDescent="0.25">
      <c r="A80" s="186" t="e">
        <f ca="1">IF($M80&gt;1,_xlfn.CONCAT($I80," ",$J80),"")</f>
        <v>#NAME?</v>
      </c>
      <c r="B80" s="185">
        <f t="shared" ref="B80" ca="1" si="121">OFFSET(B80,-3,0)+1</f>
        <v>23</v>
      </c>
      <c r="C80" s="185">
        <f ca="1">IF($R80&lt;&gt;2,0,IF($S80=0,1,IF(F81&gt;0,OFFSET(QCI!$M$13,SUBSTITUTE(F81,".",""),0),OFFSET(ORÇAMENTO!$AA$15,CRONO!$F80,0))/$S80))</f>
        <v>0.27621385324224024</v>
      </c>
      <c r="D80" s="185">
        <f ca="1">IF($R80&lt;&gt;2,0,IF($S80=0,1,IF(F81&gt;0,OFFSET(QCI!$N$13,SUBSTITUTE(F81,".",""),0),OFFSET(ORÇAMENTO!$AB$15,CRONO!$F80,0))/$S80))</f>
        <v>0</v>
      </c>
      <c r="E80" s="188" cm="1">
        <f t="array" aca="1" ref="E80" ca="1">IF(AND($R80=2,ACOMPANHAMENTO="BM"),ROUND(E81,4),E82/$S80)</f>
        <v>0</v>
      </c>
      <c r="F80" s="185">
        <f ca="1">IF(B80&lt;=ORÇAMENTO.MáximoListaCrono,MATCH(B80,ORÇAMENTO.ListaCrono,0),NA())</f>
        <v>119</v>
      </c>
      <c r="G80" s="185" t="str">
        <f t="shared" ref="G80" ca="1" si="122">IF(AND($F81&lt;&gt;-1,$S80&gt;0),"F","")</f>
        <v>F</v>
      </c>
      <c r="H80" s="189" t="str" cm="1">
        <f t="array" aca="1" ref="H80" ca="1">IF(OR(S80=0,S80=""),"Linha",IF(AND(OR(ACOMPANHAMENTO="PLE",$R80&lt;&gt;2),$F81=0),"Linha",ROUND(1-SUM(U80:AG80),4)))</f>
        <v>Linha</v>
      </c>
      <c r="I80" s="190" t="str">
        <f ca="1">IF($F81=0,OFFSET(ORÇAMENTO!O$15,$F80,0),IF($F81&lt;&gt;-1,OFFSET(QCI!$D$13,$F81,0),""))</f>
        <v>4.1.</v>
      </c>
      <c r="J80" s="191" t="str">
        <f ca="1">IF($F81=0,OFFSET(ORÇAMENTO!R$15,$F80,0),IF($F81&lt;&gt;-1,OFFSET(QCI!$G$13,$F81,0),""))</f>
        <v>DRENAGEM</v>
      </c>
      <c r="K80" s="191"/>
      <c r="L80" s="191"/>
      <c r="M80" s="192">
        <f ca="1">IF($F81=0,OFFSET(ORÇAMENTO!C$15,$F80,0),1)</f>
        <v>2</v>
      </c>
      <c r="N80" s="193">
        <f ca="1">IF($F81=-1,0,IF(N$13&lt;=$M80,IF(ISERROR(MATCH(N$13,OFFSET($M80,1,0,ROW($M$95)-ROW($M80)-1),0)),ROW($M$95)-ROW($M80)-1,MATCH(N$13,OFFSET($M80,1,0,ROW($M$95)-ROW($M80)-1),0)-1),0))</f>
        <v>14</v>
      </c>
      <c r="O80" s="193">
        <f ca="1">IF($F81=-1,0,IF(O$13&lt;=$M80,IF(ISERROR(MATCH(O$13,OFFSET($M80,1,0,ROW($M$95)-ROW($M80)-1),0)),ROW($M$95)-ROW($M80)-1,MATCH(O$13,OFFSET($M80,1,0,ROW($M$95)-ROW($M80)-1),0)-1),0))</f>
        <v>2</v>
      </c>
      <c r="P80" s="193">
        <f ca="1">IF($F81=-1,0,IF(P$13&lt;=$M80,IF(ISERROR(MATCH(P$13,OFFSET($M80,1,0,ROW($M$95)-ROW($M80)-1),0)),ROW($M$95)-ROW($M80)-1,MATCH(P$13,OFFSET($M80,1,0,ROW($M$95)-ROW($M80)-1),0)-1),0))</f>
        <v>0</v>
      </c>
      <c r="Q80" s="193">
        <f ca="1">IF($F81=-1,0,IF(Q$13&lt;=$M80,IF(ISERROR(MATCH(Q$13,OFFSET($M80,1,0,ROW($M$95)-ROW($M80)-1),0)),ROW($M$95)-ROW($M80)-1,MATCH(Q$13,OFFSET($M80,1,0,ROW($M$95)-ROW($M80)-1),0)-1),0))</f>
        <v>0</v>
      </c>
      <c r="R80" s="193">
        <f t="shared" ref="R80" ca="1" si="123">MIN(OFFSET(M80,0,1,,M80))</f>
        <v>2</v>
      </c>
      <c r="S80" s="194">
        <f ca="1">IF($F81=0,OFFSET(ORÇAMENTO!X$15,$F80,0),IF($F81&lt;&gt;-1,OFFSET(QCI!$O$13,$F81,0),""))</f>
        <v>53617.29</v>
      </c>
      <c r="T80" s="195" t="s">
        <v>785</v>
      </c>
      <c r="U80" s="188" cm="1">
        <f t="array" aca="1" ref="U80" ca="1">IF(AND($R80=2,ACOMPANHAMENTO="BM"),ROUND(U81,4),U82/$S80)</f>
        <v>0</v>
      </c>
      <c r="V80" s="188" cm="1">
        <f t="array" aca="1" ref="V80" ca="1">IF(AND($R80=2,ACOMPANHAMENTO="BM"),ROUND(V81,4),V82/$S80)</f>
        <v>0</v>
      </c>
      <c r="W80" s="188" cm="1">
        <f t="array" aca="1" ref="W80" ca="1">IF(AND($R80=2,ACOMPANHAMENTO="BM"),ROUND(W81,4),W82/$S80)</f>
        <v>0</v>
      </c>
      <c r="X80" s="188" cm="1">
        <f t="array" aca="1" ref="X80" ca="1">IF(AND($R80=2,ACOMPANHAMENTO="BM"),ROUND(X81,4),X82/$S80)</f>
        <v>0</v>
      </c>
      <c r="Y80" s="188" cm="1">
        <f t="array" aca="1" ref="Y80" ca="1">IF(AND($R80=2,ACOMPANHAMENTO="BM"),ROUND(Y81,4),Y82/$S80)</f>
        <v>1.0000000000000002</v>
      </c>
      <c r="Z80" s="188" cm="1">
        <f t="array" aca="1" ref="Z80" ca="1">IF(AND($R80=2,ACOMPANHAMENTO="BM"),ROUND(Z81,4),Z82/$S80)</f>
        <v>0</v>
      </c>
      <c r="AA80" s="188" cm="1">
        <f t="array" aca="1" ref="AA80" ca="1">IF(AND($R80=2,ACOMPANHAMENTO="BM"),ROUND(AA81,4),AA82/$S80)</f>
        <v>0</v>
      </c>
      <c r="AB80" s="188" cm="1">
        <f t="array" aca="1" ref="AB80" ca="1">IF(AND($R80=2,ACOMPANHAMENTO="BM"),ROUND(AB81,4),AB82/$S80)</f>
        <v>0</v>
      </c>
      <c r="AC80" s="188" cm="1">
        <f t="array" aca="1" ref="AC80" ca="1">IF(AND($R80=2,ACOMPANHAMENTO="BM"),ROUND(AC81,4),AC82/$S80)</f>
        <v>0</v>
      </c>
      <c r="AD80" s="188" cm="1">
        <f t="array" aca="1" ref="AD80" ca="1">IF(AND($R80=2,ACOMPANHAMENTO="BM"),ROUND(AD81,4),AD82/$S80)</f>
        <v>0</v>
      </c>
      <c r="AE80" s="188" cm="1">
        <f t="array" aca="1" ref="AE80" ca="1">IF(AND($R80=2,ACOMPANHAMENTO="BM"),ROUND(AE81,4),AE82/$S80)</f>
        <v>0</v>
      </c>
      <c r="AF80" s="188" cm="1">
        <f t="array" aca="1" ref="AF80" ca="1">IF(AND($R80=2,ACOMPANHAMENTO="BM"),ROUND(AF81,4),AF82/$S80)</f>
        <v>0</v>
      </c>
      <c r="AG80" s="534"/>
    </row>
    <row r="81" spans="1:33" ht="12.75" hidden="1" customHeight="1" x14ac:dyDescent="0.25">
      <c r="E81" s="587"/>
      <c r="F81" s="185">
        <f ca="1">IF(ISERROR(F80),IF(1+COUNTIF($M$13:OFFSET(M80,-1,0),1)&lt;=MAX(QCI!$D$13:$D$24),1+COUNTIF($M$13:OFFSET(M80,-1,0),1),-1),0)</f>
        <v>0</v>
      </c>
      <c r="G81" s="185" t="str" cm="1">
        <f t="array" aca="1" ref="G81" ca="1">IF(ACOMPANHAMENTO="BM",OFFSET(G81,-1,0),"")</f>
        <v/>
      </c>
      <c r="H81" s="196" t="str" cm="1">
        <f t="array" aca="1" ref="H81" ca="1">IF(OR(S80=0,S80=""),"vazia",IF(AND(OR(ACOMPANHAMENTO="PLE",$R80&lt;&gt;2),$F81=0),"calculada","--&gt;"))</f>
        <v>calculada</v>
      </c>
      <c r="I81" s="197"/>
      <c r="J81" s="198" t="str">
        <f t="shared" ref="J81" ca="1" si="124">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34"/>
    </row>
    <row r="82" spans="1:33" ht="12.75" hidden="1" customHeight="1" x14ac:dyDescent="0.25">
      <c r="D82" s="533"/>
      <c r="E82" s="202" cm="1">
        <f t="array" aca="1" ref="E82" ca="1">IF($R80=2,
         IF(AND(ACOMPANHAMENTO="PLE",ISNUMBER($F80)),
                SUMIF((OFFSET(CÁLCULO!$BC$15:$BU$15,$F80,0,OFFSET(ORÇAMENTO!$D$15,CRONO!$F80,0))),CRONO!E$12,OFFSET(CÁLCULO!$AJ$15:$BB$15,$F80,0,OFFSET(ORÇAMENTO!$D$15,CRONO!$F80,0)))
                +IF(AND($F82&lt;&gt;"",$F82&lt;&gt;0),
                        SUMIF(CÁLCULO!$BC$15:$BU$165,CRONO!E$12,CÁLCULO!$AJ$15:$BB$165)/(ORÇAMENTO!$X$15-_xlfn.SINGLE(CÁLCULO.TotalAdmLocal))*CRONO!$F82,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203"/>
      <c r="S82" s="204" t="str">
        <f t="shared" ref="S82" ca="1" si="125">M80&amp;"$"</f>
        <v>2$</v>
      </c>
      <c r="T82" s="205"/>
      <c r="U82" s="202" cm="1">
        <f t="array" aca="1" ref="U82" ca="1">IF($R80=2,
         IF(AND(ACOMPANHAMENTO="PLE",ISNUMBER($F80)),
                SUMIF((OFFSET(CÁLCULO!$BC$15:$BU$15,$F80,0,OFFSET(ORÇAMENTO!$D$15,CRONO!$F80,0))),CRONO!U$12,OFFSET(CÁLCULO!$AJ$15:$BB$15,$F80,0,OFFSET(ORÇAMENTO!$D$15,CRONO!$F80,0)))
                +IF(AND($F82&lt;&gt;"",$F82&lt;&gt;0),
                        SUMIF(CÁLCULO!$BC$15:$BU$165,CRONO!U$12,CÁLCULO!$AJ$15:$BB$165)/(ORÇAMENTO!$X$15-_xlfn.SINGLE(CÁLCULO.TotalAdmLocal))*CRONO!$F82,
                        0),
                 U81*$S80),
          SUMIF(OFFSET($S82,1,0,$R80-2),($M80+1)&amp;"$",OFFSET(U82,1,0,$R80-2)))</f>
        <v>0</v>
      </c>
      <c r="V82" s="202" cm="1">
        <f t="array" aca="1" ref="V82" ca="1">IF($R80=2,
         IF(AND(ACOMPANHAMENTO="PLE",ISNUMBER($F80)),
                SUMIF((OFFSET(CÁLCULO!$BC$15:$BU$15,$F80,0,OFFSET(ORÇAMENTO!$D$15,CRONO!$F80,0))),CRONO!V$12,OFFSET(CÁLCULO!$AJ$15:$BB$15,$F80,0,OFFSET(ORÇAMENTO!$D$15,CRONO!$F80,0)))
                +IF(AND($F82&lt;&gt;"",$F82&lt;&gt;0),
                        SUMIF(CÁLCULO!$BC$15:$BU$165,CRONO!V$12,CÁLCULO!$AJ$15:$BB$165)/(ORÇAMENTO!$X$15-_xlfn.SINGLE(CÁLCULO.TotalAdmLocal))*CRONO!$F82,
                        0),
                 V81*$S80),
          SUMIF(OFFSET($S82,1,0,$R80-2),($M80+1)&amp;"$",OFFSET(V82,1,0,$R80-2)))</f>
        <v>0</v>
      </c>
      <c r="W82" s="202" cm="1">
        <f t="array" aca="1" ref="W82" ca="1">IF($R80=2,
         IF(AND(ACOMPANHAMENTO="PLE",ISNUMBER($F80)),
                SUMIF((OFFSET(CÁLCULO!$BC$15:$BU$15,$F80,0,OFFSET(ORÇAMENTO!$D$15,CRONO!$F80,0))),CRONO!W$12,OFFSET(CÁLCULO!$AJ$15:$BB$15,$F80,0,OFFSET(ORÇAMENTO!$D$15,CRONO!$F80,0)))
                +IF(AND($F82&lt;&gt;"",$F82&lt;&gt;0),
                        SUMIF(CÁLCULO!$BC$15:$BU$165,CRONO!W$12,CÁLCULO!$AJ$15:$BB$165)/(ORÇAMENTO!$X$15-_xlfn.SINGLE(CÁLCULO.TotalAdmLocal))*CRONO!$F82,
                        0),
                 W81*$S80),
          SUMIF(OFFSET($S82,1,0,$R80-2),($M80+1)&amp;"$",OFFSET(W82,1,0,$R80-2)))</f>
        <v>0</v>
      </c>
      <c r="X82" s="202" cm="1">
        <f t="array" aca="1" ref="X82" ca="1">IF($R80=2,
         IF(AND(ACOMPANHAMENTO="PLE",ISNUMBER($F80)),
                SUMIF((OFFSET(CÁLCULO!$BC$15:$BU$15,$F80,0,OFFSET(ORÇAMENTO!$D$15,CRONO!$F80,0))),CRONO!X$12,OFFSET(CÁLCULO!$AJ$15:$BB$15,$F80,0,OFFSET(ORÇAMENTO!$D$15,CRONO!$F80,0)))
                +IF(AND($F82&lt;&gt;"",$F82&lt;&gt;0),
                        SUMIF(CÁLCULO!$BC$15:$BU$165,CRONO!X$12,CÁLCULO!$AJ$15:$BB$165)/(ORÇAMENTO!$X$15-_xlfn.SINGLE(CÁLCULO.TotalAdmLocal))*CRONO!$F82,
                        0),
                 X81*$S80),
          SUMIF(OFFSET($S82,1,0,$R80-2),($M80+1)&amp;"$",OFFSET(X82,1,0,$R80-2)))</f>
        <v>0</v>
      </c>
      <c r="Y82" s="202" cm="1">
        <f t="array" aca="1" ref="Y82" ca="1">IF($R80=2,
         IF(AND(ACOMPANHAMENTO="PLE",ISNUMBER($F80)),
                SUMIF((OFFSET(CÁLCULO!$BC$15:$BU$15,$F80,0,OFFSET(ORÇAMENTO!$D$15,CRONO!$F80,0))),CRONO!Y$12,OFFSET(CÁLCULO!$AJ$15:$BB$15,$F80,0,OFFSET(ORÇAMENTO!$D$15,CRONO!$F80,0)))
                +IF(AND($F82&lt;&gt;"",$F82&lt;&gt;0),
                        SUMIF(CÁLCULO!$BC$15:$BU$165,CRONO!Y$12,CÁLCULO!$AJ$15:$BB$165)/(ORÇAMENTO!$X$15-_xlfn.SINGLE(CÁLCULO.TotalAdmLocal))*CRONO!$F82,
                        0),
                 Y81*$S80),
          SUMIF(OFFSET($S82,1,0,$R80-2),($M80+1)&amp;"$",OFFSET(Y82,1,0,$R80-2)))</f>
        <v>53617.290000000008</v>
      </c>
      <c r="Z82" s="202" cm="1">
        <f t="array" aca="1" ref="Z82" ca="1">IF($R80=2,
         IF(AND(ACOMPANHAMENTO="PLE",ISNUMBER($F80)),
                SUMIF((OFFSET(CÁLCULO!$BC$15:$BU$15,$F80,0,OFFSET(ORÇAMENTO!$D$15,CRONO!$F80,0))),CRONO!Z$12,OFFSET(CÁLCULO!$AJ$15:$BB$15,$F80,0,OFFSET(ORÇAMENTO!$D$15,CRONO!$F80,0)))
                +IF(AND($F82&lt;&gt;"",$F82&lt;&gt;0),
                        SUMIF(CÁLCULO!$BC$15:$BU$165,CRONO!Z$12,CÁLCULO!$AJ$15:$BB$165)/(ORÇAMENTO!$X$15-_xlfn.SINGLE(CÁLCULO.TotalAdmLocal))*CRONO!$F82,
                        0),
                 Z81*$S80),
          SUMIF(OFFSET($S82,1,0,$R80-2),($M80+1)&amp;"$",OFFSET(Z82,1,0,$R80-2)))</f>
        <v>0</v>
      </c>
      <c r="AA82" s="202" cm="1">
        <f t="array" aca="1" ref="AA82" ca="1">IF($R80=2,
         IF(AND(ACOMPANHAMENTO="PLE",ISNUMBER($F80)),
                SUMIF((OFFSET(CÁLCULO!$BC$15:$BU$15,$F80,0,OFFSET(ORÇAMENTO!$D$15,CRONO!$F80,0))),CRONO!AA$12,OFFSET(CÁLCULO!$AJ$15:$BB$15,$F80,0,OFFSET(ORÇAMENTO!$D$15,CRONO!$F80,0)))
                +IF(AND($F82&lt;&gt;"",$F82&lt;&gt;0),
                        SUMIF(CÁLCULO!$BC$15:$BU$165,CRONO!AA$12,CÁLCULO!$AJ$15:$BB$165)/(ORÇAMENTO!$X$15-_xlfn.SINGLE(CÁLCULO.TotalAdmLocal))*CRONO!$F82,
                        0),
                 AA81*$S80),
          SUMIF(OFFSET($S82,1,0,$R80-2),($M80+1)&amp;"$",OFFSET(AA82,1,0,$R80-2)))</f>
        <v>0</v>
      </c>
      <c r="AB82" s="202" cm="1">
        <f t="array" aca="1" ref="AB82" ca="1">IF($R80=2,
         IF(AND(ACOMPANHAMENTO="PLE",ISNUMBER($F80)),
                SUMIF((OFFSET(CÁLCULO!$BC$15:$BU$15,$F80,0,OFFSET(ORÇAMENTO!$D$15,CRONO!$F80,0))),CRONO!AB$12,OFFSET(CÁLCULO!$AJ$15:$BB$15,$F80,0,OFFSET(ORÇAMENTO!$D$15,CRONO!$F80,0)))
                +IF(AND($F82&lt;&gt;"",$F82&lt;&gt;0),
                        SUMIF(CÁLCULO!$BC$15:$BU$165,CRONO!AB$12,CÁLCULO!$AJ$15:$BB$165)/(ORÇAMENTO!$X$15-_xlfn.SINGLE(CÁLCULO.TotalAdmLocal))*CRONO!$F82,
                        0),
                 AB81*$S80),
          SUMIF(OFFSET($S82,1,0,$R80-2),($M80+1)&amp;"$",OFFSET(AB82,1,0,$R80-2)))</f>
        <v>0</v>
      </c>
      <c r="AC82" s="202" cm="1">
        <f t="array" aca="1" ref="AC82" ca="1">IF($R80=2,
         IF(AND(ACOMPANHAMENTO="PLE",ISNUMBER($F80)),
                SUMIF((OFFSET(CÁLCULO!$BC$15:$BU$15,$F80,0,OFFSET(ORÇAMENTO!$D$15,CRONO!$F80,0))),CRONO!AC$12,OFFSET(CÁLCULO!$AJ$15:$BB$15,$F80,0,OFFSET(ORÇAMENTO!$D$15,CRONO!$F80,0)))
                +IF(AND($F82&lt;&gt;"",$F82&lt;&gt;0),
                        SUMIF(CÁLCULO!$BC$15:$BU$165,CRONO!AC$12,CÁLCULO!$AJ$15:$BB$165)/(ORÇAMENTO!$X$15-_xlfn.SINGLE(CÁLCULO.TotalAdmLocal))*CRONO!$F82,
                        0),
                 AC81*$S80),
          SUMIF(OFFSET($S82,1,0,$R80-2),($M80+1)&amp;"$",OFFSET(AC82,1,0,$R80-2)))</f>
        <v>0</v>
      </c>
      <c r="AD82" s="202" cm="1">
        <f t="array" aca="1" ref="AD82" ca="1">IF($R80=2,
         IF(AND(ACOMPANHAMENTO="PLE",ISNUMBER($F80)),
                SUMIF((OFFSET(CÁLCULO!$BC$15:$BU$15,$F80,0,OFFSET(ORÇAMENTO!$D$15,CRONO!$F80,0))),CRONO!AD$12,OFFSET(CÁLCULO!$AJ$15:$BB$15,$F80,0,OFFSET(ORÇAMENTO!$D$15,CRONO!$F80,0)))
                +IF(AND($F82&lt;&gt;"",$F82&lt;&gt;0),
                        SUMIF(CÁLCULO!$BC$15:$BU$165,CRONO!AD$12,CÁLCULO!$AJ$15:$BB$165)/(ORÇAMENTO!$X$15-_xlfn.SINGLE(CÁLCULO.TotalAdmLocal))*CRONO!$F82,
                        0),
                 AD81*$S80),
          SUMIF(OFFSET($S82,1,0,$R80-2),($M80+1)&amp;"$",OFFSET(AD82,1,0,$R80-2)))</f>
        <v>0</v>
      </c>
      <c r="AE82" s="202" cm="1">
        <f t="array" aca="1" ref="AE82" ca="1">IF($R80=2,
         IF(AND(ACOMPANHAMENTO="PLE",ISNUMBER($F80)),
                SUMIF((OFFSET(CÁLCULO!$BC$15:$BU$15,$F80,0,OFFSET(ORÇAMENTO!$D$15,CRONO!$F80,0))),CRONO!AE$12,OFFSET(CÁLCULO!$AJ$15:$BB$15,$F80,0,OFFSET(ORÇAMENTO!$D$15,CRONO!$F80,0)))
                +IF(AND($F82&lt;&gt;"",$F82&lt;&gt;0),
                        SUMIF(CÁLCULO!$BC$15:$BU$165,CRONO!AE$12,CÁLCULO!$AJ$15:$BB$165)/(ORÇAMENTO!$X$15-_xlfn.SINGLE(CÁLCULO.TotalAdmLocal))*CRONO!$F82,
                        0),
                 AE81*$S80),
          SUMIF(OFFSET($S82,1,0,$R80-2),($M80+1)&amp;"$",OFFSET(AE82,1,0,$R80-2)))</f>
        <v>0</v>
      </c>
      <c r="AF82" s="202" cm="1">
        <f t="array" aca="1" ref="AF82" ca="1">IF($R80=2,
         IF(AND(ACOMPANHAMENTO="PLE",ISNUMBER($F80)),
                SUMIF((OFFSET(CÁLCULO!$BC$15:$BU$15,$F80,0,OFFSET(ORÇAMENTO!$D$15,CRONO!$F80,0))),CRONO!AF$12,OFFSET(CÁLCULO!$AJ$15:$BB$15,$F80,0,OFFSET(ORÇAMENTO!$D$15,CRONO!$F80,0)))
                +IF(AND($F82&lt;&gt;"",$F82&lt;&gt;0),
                        SUMIF(CÁLCULO!$BC$15:$BU$165,CRONO!AF$12,CÁLCULO!$AJ$15:$BB$165)/(ORÇAMENTO!$X$15-_xlfn.SINGLE(CÁLCULO.TotalAdmLocal))*CRONO!$F82,
                        0),
                 AF81*$S80),
          SUMIF(OFFSET($S82,1,0,$R80-2),($M80+1)&amp;"$",OFFSET(AF82,1,0,$R80-2)))</f>
        <v>0</v>
      </c>
      <c r="AG82" s="534"/>
    </row>
    <row r="83" spans="1:33" x14ac:dyDescent="0.25">
      <c r="A83" s="186" t="e">
        <f ca="1">IF($M83&gt;1,_xlfn.CONCAT($I83," ",$J83),"")</f>
        <v>#NAME?</v>
      </c>
      <c r="B83" s="185">
        <f t="shared" ref="B83" ca="1" si="126">OFFSET(B83,-3,0)+1</f>
        <v>24</v>
      </c>
      <c r="C83" s="185">
        <f ca="1">IF($R83&lt;&gt;2,0,IF($S83=0,1,IF(F84&gt;0,OFFSET(QCI!$M$13,SUBSTITUTE(F84,".",""),0),OFFSET(ORÇAMENTO!$AA$15,CRONO!$F83,0))/$S83))</f>
        <v>0.27621385324224029</v>
      </c>
      <c r="D83" s="185">
        <f ca="1">IF($R83&lt;&gt;2,0,IF($S83=0,1,IF(F84&gt;0,OFFSET(QCI!$N$13,SUBSTITUTE(F84,".",""),0),OFFSET(ORÇAMENTO!$AB$15,CRONO!$F83,0))/$S83))</f>
        <v>0</v>
      </c>
      <c r="E83" s="188" cm="1">
        <f t="array" aca="1" ref="E83" ca="1">IF(AND($R83=2,ACOMPANHAMENTO="BM"),ROUND(E84,4),E85/$S83)</f>
        <v>0</v>
      </c>
      <c r="F83" s="185">
        <f ca="1">IF(B83&lt;=ORÇAMENTO.MáximoListaCrono,MATCH(B83,ORÇAMENTO.ListaCrono,0),NA())</f>
        <v>126</v>
      </c>
      <c r="G83" s="185" t="str">
        <f t="shared" ref="G83" ca="1" si="127">IF(AND($F84&lt;&gt;-1,$S83&gt;0),"F","")</f>
        <v>F</v>
      </c>
      <c r="H83" s="189" t="str" cm="1">
        <f t="array" aca="1" ref="H83" ca="1">IF(OR(S83=0,S83=""),"Linha",IF(AND(OR(ACOMPANHAMENTO="PLE",$R83&lt;&gt;2),$F84=0),"Linha",ROUND(1-SUM(U83:AG83),4)))</f>
        <v>Linha</v>
      </c>
      <c r="I83" s="190" t="str">
        <f ca="1">IF($F84=0,OFFSET(ORÇAMENTO!O$15,$F83,0),IF($F84&lt;&gt;-1,OFFSET(QCI!$D$13,$F84,0),""))</f>
        <v>4.2.</v>
      </c>
      <c r="J83" s="191" t="str">
        <f ca="1">IF($F84=0,OFFSET(ORÇAMENTO!R$15,$F83,0),IF($F84&lt;&gt;-1,OFFSET(QCI!$G$13,$F84,0),""))</f>
        <v>PAVIMENTAÇÃO</v>
      </c>
      <c r="K83" s="191"/>
      <c r="L83" s="191"/>
      <c r="M83" s="192">
        <f ca="1">IF($F84=0,OFFSET(ORÇAMENTO!C$15,$F83,0),1)</f>
        <v>2</v>
      </c>
      <c r="N83" s="193">
        <f ca="1">IF($F84=-1,0,IF(N$13&lt;=$M83,IF(ISERROR(MATCH(N$13,OFFSET($M83,1,0,ROW($M$95)-ROW($M83)-1),0)),ROW($M$95)-ROW($M83)-1,MATCH(N$13,OFFSET($M83,1,0,ROW($M$95)-ROW($M83)-1),0)-1),0))</f>
        <v>11</v>
      </c>
      <c r="O83" s="193">
        <f ca="1">IF($F84=-1,0,IF(O$13&lt;=$M83,IF(ISERROR(MATCH(O$13,OFFSET($M83,1,0,ROW($M$95)-ROW($M83)-1),0)),ROW($M$95)-ROW($M83)-1,MATCH(O$13,OFFSET($M83,1,0,ROW($M$95)-ROW($M83)-1),0)-1),0))</f>
        <v>2</v>
      </c>
      <c r="P83" s="193">
        <f ca="1">IF($F84=-1,0,IF(P$13&lt;=$M83,IF(ISERROR(MATCH(P$13,OFFSET($M83,1,0,ROW($M$95)-ROW($M83)-1),0)),ROW($M$95)-ROW($M83)-1,MATCH(P$13,OFFSET($M83,1,0,ROW($M$95)-ROW($M83)-1),0)-1),0))</f>
        <v>0</v>
      </c>
      <c r="Q83" s="193">
        <f ca="1">IF($F84=-1,0,IF(Q$13&lt;=$M83,IF(ISERROR(MATCH(Q$13,OFFSET($M83,1,0,ROW($M$95)-ROW($M83)-1),0)),ROW($M$95)-ROW($M83)-1,MATCH(Q$13,OFFSET($M83,1,0,ROW($M$95)-ROW($M83)-1),0)-1),0))</f>
        <v>0</v>
      </c>
      <c r="R83" s="193">
        <f t="shared" ref="R83" ca="1" si="128">MIN(OFFSET(M83,0,1,,M83))</f>
        <v>2</v>
      </c>
      <c r="S83" s="194">
        <f ca="1">IF($F84=0,OFFSET(ORÇAMENTO!X$15,$F83,0),IF($F84&lt;&gt;-1,OFFSET(QCI!$O$13,$F84,0),""))</f>
        <v>346698.34</v>
      </c>
      <c r="T83" s="195" t="s">
        <v>785</v>
      </c>
      <c r="U83" s="188" cm="1">
        <f t="array" aca="1" ref="U83" ca="1">IF(AND($R83=2,ACOMPANHAMENTO="BM"),ROUND(U84,4),U85/$S83)</f>
        <v>0</v>
      </c>
      <c r="V83" s="188" cm="1">
        <f t="array" aca="1" ref="V83" ca="1">IF(AND($R83=2,ACOMPANHAMENTO="BM"),ROUND(V84,4),V85/$S83)</f>
        <v>0</v>
      </c>
      <c r="W83" s="188" cm="1">
        <f t="array" aca="1" ref="W83" ca="1">IF(AND($R83=2,ACOMPANHAMENTO="BM"),ROUND(W84,4),W85/$S83)</f>
        <v>0</v>
      </c>
      <c r="X83" s="188" cm="1">
        <f t="array" aca="1" ref="X83" ca="1">IF(AND($R83=2,ACOMPANHAMENTO="BM"),ROUND(X84,4),X85/$S83)</f>
        <v>0</v>
      </c>
      <c r="Y83" s="188" cm="1">
        <f t="array" aca="1" ref="Y83" ca="1">IF(AND($R83=2,ACOMPANHAMENTO="BM"),ROUND(Y84,4),Y85/$S83)</f>
        <v>0</v>
      </c>
      <c r="Z83" s="188" cm="1">
        <f t="array" aca="1" ref="Z83" ca="1">IF(AND($R83=2,ACOMPANHAMENTO="BM"),ROUND(Z84,4),Z85/$S83)</f>
        <v>0.99999999999999978</v>
      </c>
      <c r="AA83" s="188" cm="1">
        <f t="array" aca="1" ref="AA83" ca="1">IF(AND($R83=2,ACOMPANHAMENTO="BM"),ROUND(AA84,4),AA85/$S83)</f>
        <v>0</v>
      </c>
      <c r="AB83" s="188" cm="1">
        <f t="array" aca="1" ref="AB83" ca="1">IF(AND($R83=2,ACOMPANHAMENTO="BM"),ROUND(AB84,4),AB85/$S83)</f>
        <v>0</v>
      </c>
      <c r="AC83" s="188" cm="1">
        <f t="array" aca="1" ref="AC83" ca="1">IF(AND($R83=2,ACOMPANHAMENTO="BM"),ROUND(AC84,4),AC85/$S83)</f>
        <v>0</v>
      </c>
      <c r="AD83" s="188" cm="1">
        <f t="array" aca="1" ref="AD83" ca="1">IF(AND($R83=2,ACOMPANHAMENTO="BM"),ROUND(AD84,4),AD85/$S83)</f>
        <v>0</v>
      </c>
      <c r="AE83" s="188" cm="1">
        <f t="array" aca="1" ref="AE83" ca="1">IF(AND($R83=2,ACOMPANHAMENTO="BM"),ROUND(AE84,4),AE85/$S83)</f>
        <v>0</v>
      </c>
      <c r="AF83" s="188" cm="1">
        <f t="array" aca="1" ref="AF83" ca="1">IF(AND($R83=2,ACOMPANHAMENTO="BM"),ROUND(AF84,4),AF85/$S83)</f>
        <v>0</v>
      </c>
      <c r="AG83" s="534"/>
    </row>
    <row r="84" spans="1:33" ht="12.75" hidden="1" customHeight="1" x14ac:dyDescent="0.25">
      <c r="E84" s="587"/>
      <c r="F84" s="185">
        <f ca="1">IF(ISERROR(F83),IF(1+COUNTIF($M$13:OFFSET(M83,-1,0),1)&lt;=MAX(QCI!$D$13:$D$24),1+COUNTIF($M$13:OFFSET(M83,-1,0),1),-1),0)</f>
        <v>0</v>
      </c>
      <c r="G84" s="185" t="str" cm="1">
        <f t="array" aca="1" ref="G84" ca="1">IF(ACOMPANHAMENTO="BM",OFFSET(G84,-1,0),"")</f>
        <v/>
      </c>
      <c r="H84" s="196" t="str" cm="1">
        <f t="array" aca="1" ref="H84" ca="1">IF(OR(S83=0,S83=""),"vazia",IF(AND(OR(ACOMPANHAMENTO="PLE",$R83&lt;&gt;2),$F84=0),"calculada","--&gt;"))</f>
        <v>calculada</v>
      </c>
      <c r="I84" s="197"/>
      <c r="J84" s="198" t="str">
        <f t="shared" ref="J84" ca="1" si="129">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34"/>
    </row>
    <row r="85" spans="1:33" ht="12.75" hidden="1" customHeight="1" x14ac:dyDescent="0.25">
      <c r="D85" s="533"/>
      <c r="E85" s="202" cm="1">
        <f t="array" aca="1" ref="E85" ca="1">IF($R83=2,
         IF(AND(ACOMPANHAMENTO="PLE",ISNUMBER($F83)),
                SUMIF((OFFSET(CÁLCULO!$BC$15:$BU$15,$F83,0,OFFSET(ORÇAMENTO!$D$15,CRONO!$F83,0))),CRONO!E$12,OFFSET(CÁLCULO!$AJ$15:$BB$15,$F83,0,OFFSET(ORÇAMENTO!$D$15,CRONO!$F83,0)))
                +IF(AND($F85&lt;&gt;"",$F85&lt;&gt;0),
                        SUMIF(CÁLCULO!$BC$15:$BU$165,CRONO!E$12,CÁLCULO!$AJ$15:$BB$165)/(ORÇAMENTO!$X$15-_xlfn.SINGLE(CÁLCULO.TotalAdmLocal))*CRONO!$F85,
                        0),
                 E84*$S83),
          SUMIF(OFFSET($S85,1,0,$R83-2),($M83+1)&amp;"$",OFFSET(E85,1,0,$R83-2)))</f>
        <v>0</v>
      </c>
      <c r="F85" s="185" t="str">
        <f ca="1">IF(OR($R83&lt;&gt;2,AUTOEVENTO&lt;&gt;"manual",$F84&gt;0),"",
        IF(Import.TipoArredondamento="Tradicional",
              SUMIF(OFFSET(CÁLCULO!$M$15,CRONO!$F83,0,OFFSET(ORÇAMENTO!$D$15,CRONO!$F83,0)),1,OFFSET(ORÇAMENTO!$X$15,CRONO!$F83,0,OFFSET(ORÇAMENTO!$D$15,CRONO!$F83,0))),
              0))</f>
        <v/>
      </c>
      <c r="H85" s="203"/>
      <c r="S85" s="204" t="str">
        <f t="shared" ref="S85" ca="1" si="130">M83&amp;"$"</f>
        <v>2$</v>
      </c>
      <c r="T85" s="205"/>
      <c r="U85" s="202" cm="1">
        <f t="array" aca="1" ref="U85" ca="1">IF($R83=2,
         IF(AND(ACOMPANHAMENTO="PLE",ISNUMBER($F83)),
                SUMIF((OFFSET(CÁLCULO!$BC$15:$BU$15,$F83,0,OFFSET(ORÇAMENTO!$D$15,CRONO!$F83,0))),CRONO!U$12,OFFSET(CÁLCULO!$AJ$15:$BB$15,$F83,0,OFFSET(ORÇAMENTO!$D$15,CRONO!$F83,0)))
                +IF(AND($F85&lt;&gt;"",$F85&lt;&gt;0),
                        SUMIF(CÁLCULO!$BC$15:$BU$165,CRONO!U$12,CÁLCULO!$AJ$15:$BB$165)/(ORÇAMENTO!$X$15-_xlfn.SINGLE(CÁLCULO.TotalAdmLocal))*CRONO!$F85,
                        0),
                 U84*$S83),
          SUMIF(OFFSET($S85,1,0,$R83-2),($M83+1)&amp;"$",OFFSET(U85,1,0,$R83-2)))</f>
        <v>0</v>
      </c>
      <c r="V85" s="202" cm="1">
        <f t="array" aca="1" ref="V85" ca="1">IF($R83=2,
         IF(AND(ACOMPANHAMENTO="PLE",ISNUMBER($F83)),
                SUMIF((OFFSET(CÁLCULO!$BC$15:$BU$15,$F83,0,OFFSET(ORÇAMENTO!$D$15,CRONO!$F83,0))),CRONO!V$12,OFFSET(CÁLCULO!$AJ$15:$BB$15,$F83,0,OFFSET(ORÇAMENTO!$D$15,CRONO!$F83,0)))
                +IF(AND($F85&lt;&gt;"",$F85&lt;&gt;0),
                        SUMIF(CÁLCULO!$BC$15:$BU$165,CRONO!V$12,CÁLCULO!$AJ$15:$BB$165)/(ORÇAMENTO!$X$15-_xlfn.SINGLE(CÁLCULO.TotalAdmLocal))*CRONO!$F85,
                        0),
                 V84*$S83),
          SUMIF(OFFSET($S85,1,0,$R83-2),($M83+1)&amp;"$",OFFSET(V85,1,0,$R83-2)))</f>
        <v>0</v>
      </c>
      <c r="W85" s="202" cm="1">
        <f t="array" aca="1" ref="W85" ca="1">IF($R83=2,
         IF(AND(ACOMPANHAMENTO="PLE",ISNUMBER($F83)),
                SUMIF((OFFSET(CÁLCULO!$BC$15:$BU$15,$F83,0,OFFSET(ORÇAMENTO!$D$15,CRONO!$F83,0))),CRONO!W$12,OFFSET(CÁLCULO!$AJ$15:$BB$15,$F83,0,OFFSET(ORÇAMENTO!$D$15,CRONO!$F83,0)))
                +IF(AND($F85&lt;&gt;"",$F85&lt;&gt;0),
                        SUMIF(CÁLCULO!$BC$15:$BU$165,CRONO!W$12,CÁLCULO!$AJ$15:$BB$165)/(ORÇAMENTO!$X$15-_xlfn.SINGLE(CÁLCULO.TotalAdmLocal))*CRONO!$F85,
                        0),
                 W84*$S83),
          SUMIF(OFFSET($S85,1,0,$R83-2),($M83+1)&amp;"$",OFFSET(W85,1,0,$R83-2)))</f>
        <v>0</v>
      </c>
      <c r="X85" s="202" cm="1">
        <f t="array" aca="1" ref="X85" ca="1">IF($R83=2,
         IF(AND(ACOMPANHAMENTO="PLE",ISNUMBER($F83)),
                SUMIF((OFFSET(CÁLCULO!$BC$15:$BU$15,$F83,0,OFFSET(ORÇAMENTO!$D$15,CRONO!$F83,0))),CRONO!X$12,OFFSET(CÁLCULO!$AJ$15:$BB$15,$F83,0,OFFSET(ORÇAMENTO!$D$15,CRONO!$F83,0)))
                +IF(AND($F85&lt;&gt;"",$F85&lt;&gt;0),
                        SUMIF(CÁLCULO!$BC$15:$BU$165,CRONO!X$12,CÁLCULO!$AJ$15:$BB$165)/(ORÇAMENTO!$X$15-_xlfn.SINGLE(CÁLCULO.TotalAdmLocal))*CRONO!$F85,
                        0),
                 X84*$S83),
          SUMIF(OFFSET($S85,1,0,$R83-2),($M83+1)&amp;"$",OFFSET(X85,1,0,$R83-2)))</f>
        <v>0</v>
      </c>
      <c r="Y85" s="202" cm="1">
        <f t="array" aca="1" ref="Y85" ca="1">IF($R83=2,
         IF(AND(ACOMPANHAMENTO="PLE",ISNUMBER($F83)),
                SUMIF((OFFSET(CÁLCULO!$BC$15:$BU$15,$F83,0,OFFSET(ORÇAMENTO!$D$15,CRONO!$F83,0))),CRONO!Y$12,OFFSET(CÁLCULO!$AJ$15:$BB$15,$F83,0,OFFSET(ORÇAMENTO!$D$15,CRONO!$F83,0)))
                +IF(AND($F85&lt;&gt;"",$F85&lt;&gt;0),
                        SUMIF(CÁLCULO!$BC$15:$BU$165,CRONO!Y$12,CÁLCULO!$AJ$15:$BB$165)/(ORÇAMENTO!$X$15-_xlfn.SINGLE(CÁLCULO.TotalAdmLocal))*CRONO!$F85,
                        0),
                 Y84*$S83),
          SUMIF(OFFSET($S85,1,0,$R83-2),($M83+1)&amp;"$",OFFSET(Y85,1,0,$R83-2)))</f>
        <v>0</v>
      </c>
      <c r="Z85" s="202" cm="1">
        <f t="array" aca="1" ref="Z85" ca="1">IF($R83=2,
         IF(AND(ACOMPANHAMENTO="PLE",ISNUMBER($F83)),
                SUMIF((OFFSET(CÁLCULO!$BC$15:$BU$15,$F83,0,OFFSET(ORÇAMENTO!$D$15,CRONO!$F83,0))),CRONO!Z$12,OFFSET(CÁLCULO!$AJ$15:$BB$15,$F83,0,OFFSET(ORÇAMENTO!$D$15,CRONO!$F83,0)))
                +IF(AND($F85&lt;&gt;"",$F85&lt;&gt;0),
                        SUMIF(CÁLCULO!$BC$15:$BU$165,CRONO!Z$12,CÁLCULO!$AJ$15:$BB$165)/(ORÇAMENTO!$X$15-_xlfn.SINGLE(CÁLCULO.TotalAdmLocal))*CRONO!$F85,
                        0),
                 Z84*$S83),
          SUMIF(OFFSET($S85,1,0,$R83-2),($M83+1)&amp;"$",OFFSET(Z85,1,0,$R83-2)))</f>
        <v>346698.33999999997</v>
      </c>
      <c r="AA85" s="202" cm="1">
        <f t="array" aca="1" ref="AA85" ca="1">IF($R83=2,
         IF(AND(ACOMPANHAMENTO="PLE",ISNUMBER($F83)),
                SUMIF((OFFSET(CÁLCULO!$BC$15:$BU$15,$F83,0,OFFSET(ORÇAMENTO!$D$15,CRONO!$F83,0))),CRONO!AA$12,OFFSET(CÁLCULO!$AJ$15:$BB$15,$F83,0,OFFSET(ORÇAMENTO!$D$15,CRONO!$F83,0)))
                +IF(AND($F85&lt;&gt;"",$F85&lt;&gt;0),
                        SUMIF(CÁLCULO!$BC$15:$BU$165,CRONO!AA$12,CÁLCULO!$AJ$15:$BB$165)/(ORÇAMENTO!$X$15-_xlfn.SINGLE(CÁLCULO.TotalAdmLocal))*CRONO!$F85,
                        0),
                 AA84*$S83),
          SUMIF(OFFSET($S85,1,0,$R83-2),($M83+1)&amp;"$",OFFSET(AA85,1,0,$R83-2)))</f>
        <v>0</v>
      </c>
      <c r="AB85" s="202" cm="1">
        <f t="array" aca="1" ref="AB85" ca="1">IF($R83=2,
         IF(AND(ACOMPANHAMENTO="PLE",ISNUMBER($F83)),
                SUMIF((OFFSET(CÁLCULO!$BC$15:$BU$15,$F83,0,OFFSET(ORÇAMENTO!$D$15,CRONO!$F83,0))),CRONO!AB$12,OFFSET(CÁLCULO!$AJ$15:$BB$15,$F83,0,OFFSET(ORÇAMENTO!$D$15,CRONO!$F83,0)))
                +IF(AND($F85&lt;&gt;"",$F85&lt;&gt;0),
                        SUMIF(CÁLCULO!$BC$15:$BU$165,CRONO!AB$12,CÁLCULO!$AJ$15:$BB$165)/(ORÇAMENTO!$X$15-_xlfn.SINGLE(CÁLCULO.TotalAdmLocal))*CRONO!$F85,
                        0),
                 AB84*$S83),
          SUMIF(OFFSET($S85,1,0,$R83-2),($M83+1)&amp;"$",OFFSET(AB85,1,0,$R83-2)))</f>
        <v>0</v>
      </c>
      <c r="AC85" s="202" cm="1">
        <f t="array" aca="1" ref="AC85" ca="1">IF($R83=2,
         IF(AND(ACOMPANHAMENTO="PLE",ISNUMBER($F83)),
                SUMIF((OFFSET(CÁLCULO!$BC$15:$BU$15,$F83,0,OFFSET(ORÇAMENTO!$D$15,CRONO!$F83,0))),CRONO!AC$12,OFFSET(CÁLCULO!$AJ$15:$BB$15,$F83,0,OFFSET(ORÇAMENTO!$D$15,CRONO!$F83,0)))
                +IF(AND($F85&lt;&gt;"",$F85&lt;&gt;0),
                        SUMIF(CÁLCULO!$BC$15:$BU$165,CRONO!AC$12,CÁLCULO!$AJ$15:$BB$165)/(ORÇAMENTO!$X$15-_xlfn.SINGLE(CÁLCULO.TotalAdmLocal))*CRONO!$F85,
                        0),
                 AC84*$S83),
          SUMIF(OFFSET($S85,1,0,$R83-2),($M83+1)&amp;"$",OFFSET(AC85,1,0,$R83-2)))</f>
        <v>0</v>
      </c>
      <c r="AD85" s="202" cm="1">
        <f t="array" aca="1" ref="AD85" ca="1">IF($R83=2,
         IF(AND(ACOMPANHAMENTO="PLE",ISNUMBER($F83)),
                SUMIF((OFFSET(CÁLCULO!$BC$15:$BU$15,$F83,0,OFFSET(ORÇAMENTO!$D$15,CRONO!$F83,0))),CRONO!AD$12,OFFSET(CÁLCULO!$AJ$15:$BB$15,$F83,0,OFFSET(ORÇAMENTO!$D$15,CRONO!$F83,0)))
                +IF(AND($F85&lt;&gt;"",$F85&lt;&gt;0),
                        SUMIF(CÁLCULO!$BC$15:$BU$165,CRONO!AD$12,CÁLCULO!$AJ$15:$BB$165)/(ORÇAMENTO!$X$15-_xlfn.SINGLE(CÁLCULO.TotalAdmLocal))*CRONO!$F85,
                        0),
                 AD84*$S83),
          SUMIF(OFFSET($S85,1,0,$R83-2),($M83+1)&amp;"$",OFFSET(AD85,1,0,$R83-2)))</f>
        <v>0</v>
      </c>
      <c r="AE85" s="202" cm="1">
        <f t="array" aca="1" ref="AE85" ca="1">IF($R83=2,
         IF(AND(ACOMPANHAMENTO="PLE",ISNUMBER($F83)),
                SUMIF((OFFSET(CÁLCULO!$BC$15:$BU$15,$F83,0,OFFSET(ORÇAMENTO!$D$15,CRONO!$F83,0))),CRONO!AE$12,OFFSET(CÁLCULO!$AJ$15:$BB$15,$F83,0,OFFSET(ORÇAMENTO!$D$15,CRONO!$F83,0)))
                +IF(AND($F85&lt;&gt;"",$F85&lt;&gt;0),
                        SUMIF(CÁLCULO!$BC$15:$BU$165,CRONO!AE$12,CÁLCULO!$AJ$15:$BB$165)/(ORÇAMENTO!$X$15-_xlfn.SINGLE(CÁLCULO.TotalAdmLocal))*CRONO!$F85,
                        0),
                 AE84*$S83),
          SUMIF(OFFSET($S85,1,0,$R83-2),($M83+1)&amp;"$",OFFSET(AE85,1,0,$R83-2)))</f>
        <v>0</v>
      </c>
      <c r="AF85" s="202" cm="1">
        <f t="array" aca="1" ref="AF85" ca="1">IF($R83=2,
         IF(AND(ACOMPANHAMENTO="PLE",ISNUMBER($F83)),
                SUMIF((OFFSET(CÁLCULO!$BC$15:$BU$15,$F83,0,OFFSET(ORÇAMENTO!$D$15,CRONO!$F83,0))),CRONO!AF$12,OFFSET(CÁLCULO!$AJ$15:$BB$15,$F83,0,OFFSET(ORÇAMENTO!$D$15,CRONO!$F83,0)))
                +IF(AND($F85&lt;&gt;"",$F85&lt;&gt;0),
                        SUMIF(CÁLCULO!$BC$15:$BU$165,CRONO!AF$12,CÁLCULO!$AJ$15:$BB$165)/(ORÇAMENTO!$X$15-_xlfn.SINGLE(CÁLCULO.TotalAdmLocal))*CRONO!$F85,
                        0),
                 AF84*$S83),
          SUMIF(OFFSET($S85,1,0,$R83-2),($M83+1)&amp;"$",OFFSET(AF85,1,0,$R83-2)))</f>
        <v>0</v>
      </c>
      <c r="AG85" s="534"/>
    </row>
    <row r="86" spans="1:33" x14ac:dyDescent="0.25">
      <c r="A86" s="186" t="e">
        <f ca="1">IF($M86&gt;1,_xlfn.CONCAT($I86," ",$J86),"")</f>
        <v>#NAME?</v>
      </c>
      <c r="B86" s="185">
        <f t="shared" ref="B86" ca="1" si="131">OFFSET(B86,-3,0)+1</f>
        <v>25</v>
      </c>
      <c r="C86" s="185">
        <f ca="1">IF($R86&lt;&gt;2,0,IF($S86=0,1,IF(F87&gt;0,OFFSET(QCI!$M$13,SUBSTITUTE(F87,".",""),0),OFFSET(ORÇAMENTO!$AA$15,CRONO!$F86,0))/$S86))</f>
        <v>0.27621385324224024</v>
      </c>
      <c r="D86" s="185">
        <f ca="1">IF($R86&lt;&gt;2,0,IF($S86=0,1,IF(F87&gt;0,OFFSET(QCI!$N$13,SUBSTITUTE(F87,".",""),0),OFFSET(ORÇAMENTO!$AB$15,CRONO!$F86,0))/$S86))</f>
        <v>0</v>
      </c>
      <c r="E86" s="188" cm="1">
        <f t="array" aca="1" ref="E86" ca="1">IF(AND($R86=2,ACOMPANHAMENTO="BM"),ROUND(E87,4),E88/$S86)</f>
        <v>0</v>
      </c>
      <c r="F86" s="185">
        <f ca="1">IF(B86&lt;=ORÇAMENTO.MáximoListaCrono,MATCH(B86,ORÇAMENTO.ListaCrono,0),NA())</f>
        <v>141</v>
      </c>
      <c r="G86" s="185" t="str">
        <f t="shared" ref="G86" ca="1" si="132">IF(AND($F87&lt;&gt;-1,$S86&gt;0),"F","")</f>
        <v>F</v>
      </c>
      <c r="H86" s="189" t="str" cm="1">
        <f t="array" aca="1" ref="H86" ca="1">IF(OR(S86=0,S86=""),"Linha",IF(AND(OR(ACOMPANHAMENTO="PLE",$R86&lt;&gt;2),$F87=0),"Linha",ROUND(1-SUM(U86:AG86),4)))</f>
        <v>Linha</v>
      </c>
      <c r="I86" s="190" t="str">
        <f ca="1">IF($F87=0,OFFSET(ORÇAMENTO!O$15,$F86,0),IF($F87&lt;&gt;-1,OFFSET(QCI!$D$13,$F87,0),""))</f>
        <v>4.3.</v>
      </c>
      <c r="J86" s="191" t="str">
        <f ca="1">IF($F87=0,OFFSET(ORÇAMENTO!R$15,$F86,0),IF($F87&lt;&gt;-1,OFFSET(QCI!$G$13,$F87,0),""))</f>
        <v>SINALIZAÇÃO</v>
      </c>
      <c r="K86" s="191"/>
      <c r="L86" s="191"/>
      <c r="M86" s="192">
        <f ca="1">IF($F87=0,OFFSET(ORÇAMENTO!C$15,$F86,0),1)</f>
        <v>2</v>
      </c>
      <c r="N86" s="193">
        <f t="shared" ref="N86" ca="1" si="133">IF($F87=-1,0,IF(N$13&lt;=$M86,IF(ISERROR(MATCH(N$13,OFFSET($M86,1,0,ROW($M$95)-ROW($M86)-1),0)),ROW($M$95)-ROW($M86)-1,MATCH(N$13,OFFSET($M86,1,0,ROW($M$95)-ROW($M86)-1),0)-1),0))</f>
        <v>8</v>
      </c>
      <c r="O86" s="193">
        <f t="shared" ref="O86" ca="1" si="134">IF($F87=-1,0,IF(O$13&lt;=$M86,IF(ISERROR(MATCH(O$13,OFFSET($M86,1,0,ROW($M$95)-ROW($M86)-1),0)),ROW($M$95)-ROW($M86)-1,MATCH(O$13,OFFSET($M86,1,0,ROW($M$95)-ROW($M86)-1),0)-1),0))</f>
        <v>2</v>
      </c>
      <c r="P86" s="193">
        <f t="shared" ref="P86" ca="1" si="135">IF($F87=-1,0,IF(P$13&lt;=$M86,IF(ISERROR(MATCH(P$13,OFFSET($M86,1,0,ROW($M$95)-ROW($M86)-1),0)),ROW($M$95)-ROW($M86)-1,MATCH(P$13,OFFSET($M86,1,0,ROW($M$95)-ROW($M86)-1),0)-1),0))</f>
        <v>0</v>
      </c>
      <c r="Q86" s="193">
        <f t="shared" ref="Q86" ca="1" si="136">IF($F87=-1,0,IF(Q$13&lt;=$M86,IF(ISERROR(MATCH(Q$13,OFFSET($M86,1,0,ROW($M$95)-ROW($M86)-1),0)),ROW($M$95)-ROW($M86)-1,MATCH(Q$13,OFFSET($M86,1,0,ROW($M$95)-ROW($M86)-1),0)-1),0))</f>
        <v>0</v>
      </c>
      <c r="R86" s="193">
        <f t="shared" ref="R86" ca="1" si="137">MIN(OFFSET(M86,0,1,,M86))</f>
        <v>2</v>
      </c>
      <c r="S86" s="194">
        <f ca="1">IF($F87=0,OFFSET(ORÇAMENTO!X$15,$F86,0),IF($F87&lt;&gt;-1,OFFSET(QCI!$O$13,$F87,0),""))</f>
        <v>963.71</v>
      </c>
      <c r="T86" s="195" t="s">
        <v>785</v>
      </c>
      <c r="U86" s="188" cm="1">
        <f t="array" aca="1" ref="U86" ca="1">IF(AND($R86=2,ACOMPANHAMENTO="BM"),ROUND(U87,4),U88/$S86)</f>
        <v>0</v>
      </c>
      <c r="V86" s="188" cm="1">
        <f t="array" aca="1" ref="V86" ca="1">IF(AND($R86=2,ACOMPANHAMENTO="BM"),ROUND(V87,4),V88/$S86)</f>
        <v>0</v>
      </c>
      <c r="W86" s="188" cm="1">
        <f t="array" aca="1" ref="W86" ca="1">IF(AND($R86=2,ACOMPANHAMENTO="BM"),ROUND(W87,4),W88/$S86)</f>
        <v>0</v>
      </c>
      <c r="X86" s="188" cm="1">
        <f t="array" aca="1" ref="X86" ca="1">IF(AND($R86=2,ACOMPANHAMENTO="BM"),ROUND(X87,4),X88/$S86)</f>
        <v>0</v>
      </c>
      <c r="Y86" s="188" cm="1">
        <f t="array" aca="1" ref="Y86" ca="1">IF(AND($R86=2,ACOMPANHAMENTO="BM"),ROUND(Y87,4),Y88/$S86)</f>
        <v>0</v>
      </c>
      <c r="Z86" s="188" cm="1">
        <f t="array" aca="1" ref="Z86" ca="1">IF(AND($R86=2,ACOMPANHAMENTO="BM"),ROUND(Z87,4),Z88/$S86)</f>
        <v>1</v>
      </c>
      <c r="AA86" s="188" cm="1">
        <f t="array" aca="1" ref="AA86" ca="1">IF(AND($R86=2,ACOMPANHAMENTO="BM"),ROUND(AA87,4),AA88/$S86)</f>
        <v>0</v>
      </c>
      <c r="AB86" s="188" cm="1">
        <f t="array" aca="1" ref="AB86" ca="1">IF(AND($R86=2,ACOMPANHAMENTO="BM"),ROUND(AB87,4),AB88/$S86)</f>
        <v>0</v>
      </c>
      <c r="AC86" s="188" cm="1">
        <f t="array" aca="1" ref="AC86" ca="1">IF(AND($R86=2,ACOMPANHAMENTO="BM"),ROUND(AC87,4),AC88/$S86)</f>
        <v>0</v>
      </c>
      <c r="AD86" s="188" cm="1">
        <f t="array" aca="1" ref="AD86" ca="1">IF(AND($R86=2,ACOMPANHAMENTO="BM"),ROUND(AD87,4),AD88/$S86)</f>
        <v>0</v>
      </c>
      <c r="AE86" s="188" cm="1">
        <f t="array" aca="1" ref="AE86" ca="1">IF(AND($R86=2,ACOMPANHAMENTO="BM"),ROUND(AE87,4),AE88/$S86)</f>
        <v>0</v>
      </c>
      <c r="AF86" s="188" cm="1">
        <f t="array" aca="1" ref="AF86" ca="1">IF(AND($R86=2,ACOMPANHAMENTO="BM"),ROUND(AF87,4),AF88/$S86)</f>
        <v>0</v>
      </c>
      <c r="AG86" s="534"/>
    </row>
    <row r="87" spans="1:33" ht="12.75" hidden="1" customHeight="1" x14ac:dyDescent="0.25">
      <c r="E87" s="587"/>
      <c r="F87" s="185">
        <f ca="1">IF(ISERROR(F86),IF(1+COUNTIF($M$13:OFFSET(M86,-1,0),1)&lt;=MAX(QCI!$D$13:$D$24),1+COUNTIF($M$13:OFFSET(M86,-1,0),1),-1),0)</f>
        <v>0</v>
      </c>
      <c r="G87" s="185" t="str" cm="1">
        <f t="array" aca="1" ref="G87" ca="1">IF(ACOMPANHAMENTO="BM",OFFSET(G87,-1,0),"")</f>
        <v/>
      </c>
      <c r="H87" s="196" t="str" cm="1">
        <f t="array" aca="1" ref="H87" ca="1">IF(OR(S86=0,S86=""),"vazia",IF(AND(OR(ACOMPANHAMENTO="PLE",$R86&lt;&gt;2),$F87=0),"calculada","--&gt;"))</f>
        <v>calculada</v>
      </c>
      <c r="I87" s="197"/>
      <c r="J87" s="198" t="str">
        <f t="shared" ref="J87" ca="1" si="138">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34"/>
    </row>
    <row r="88" spans="1:33" ht="12.75" hidden="1" customHeight="1" x14ac:dyDescent="0.25">
      <c r="D88" s="533"/>
      <c r="E88" s="202" cm="1">
        <f t="array" aca="1" ref="E88" ca="1">IF($R86=2,
         IF(AND(ACOMPANHAMENTO="PLE",ISNUMBER($F86)),
                SUMIF((OFFSET(CÁLCULO!$BC$15:$BU$15,$F86,0,OFFSET(ORÇAMENTO!$D$15,CRONO!$F86,0))),CRONO!E$12,OFFSET(CÁLCULO!$AJ$15:$BB$15,$F86,0,OFFSET(ORÇAMENTO!$D$15,CRONO!$F86,0)))
                +IF(AND($F88&lt;&gt;"",$F88&lt;&gt;0),
                        SUMIF(CÁLCULO!$BC$15:$BU$165,CRONO!E$12,CÁLCULO!$AJ$15:$BB$165)/(ORÇAMENTO!$X$15-_xlfn.SINGLE(CÁLCULO.TotalAdmLocal))*CRONO!$F88,
                        0),
                 E87*$S86),
          SUMIF(OFFSET($S88,1,0,$R86-2),($M86+1)&amp;"$",OFFSET(E88,1,0,$R86-2)))</f>
        <v>0</v>
      </c>
      <c r="F88" s="185" t="str">
        <f ca="1">IF(OR($R86&lt;&gt;2,AUTOEVENTO&lt;&gt;"manual",$F87&gt;0),"",
        IF(Import.TipoArredondamento="Tradicional",
              SUMIF(OFFSET(CÁLCULO!$M$15,CRONO!$F86,0,OFFSET(ORÇAMENTO!$D$15,CRONO!$F86,0)),1,OFFSET(ORÇAMENTO!$X$15,CRONO!$F86,0,OFFSET(ORÇAMENTO!$D$15,CRONO!$F86,0))),
              0))</f>
        <v/>
      </c>
      <c r="H88" s="203"/>
      <c r="S88" s="204" t="str">
        <f t="shared" ref="S88" ca="1" si="139">M86&amp;"$"</f>
        <v>2$</v>
      </c>
      <c r="T88" s="205"/>
      <c r="U88" s="202" cm="1">
        <f t="array" aca="1" ref="U88" ca="1">IF($R86=2,
         IF(AND(ACOMPANHAMENTO="PLE",ISNUMBER($F86)),
                SUMIF((OFFSET(CÁLCULO!$BC$15:$BU$15,$F86,0,OFFSET(ORÇAMENTO!$D$15,CRONO!$F86,0))),CRONO!U$12,OFFSET(CÁLCULO!$AJ$15:$BB$15,$F86,0,OFFSET(ORÇAMENTO!$D$15,CRONO!$F86,0)))
                +IF(AND($F88&lt;&gt;"",$F88&lt;&gt;0),
                        SUMIF(CÁLCULO!$BC$15:$BU$165,CRONO!U$12,CÁLCULO!$AJ$15:$BB$165)/(ORÇAMENTO!$X$15-_xlfn.SINGLE(CÁLCULO.TotalAdmLocal))*CRONO!$F88,
                        0),
                 U87*$S86),
          SUMIF(OFFSET($S88,1,0,$R86-2),($M86+1)&amp;"$",OFFSET(U88,1,0,$R86-2)))</f>
        <v>0</v>
      </c>
      <c r="V88" s="202" cm="1">
        <f t="array" aca="1" ref="V88" ca="1">IF($R86=2,
         IF(AND(ACOMPANHAMENTO="PLE",ISNUMBER($F86)),
                SUMIF((OFFSET(CÁLCULO!$BC$15:$BU$15,$F86,0,OFFSET(ORÇAMENTO!$D$15,CRONO!$F86,0))),CRONO!V$12,OFFSET(CÁLCULO!$AJ$15:$BB$15,$F86,0,OFFSET(ORÇAMENTO!$D$15,CRONO!$F86,0)))
                +IF(AND($F88&lt;&gt;"",$F88&lt;&gt;0),
                        SUMIF(CÁLCULO!$BC$15:$BU$165,CRONO!V$12,CÁLCULO!$AJ$15:$BB$165)/(ORÇAMENTO!$X$15-_xlfn.SINGLE(CÁLCULO.TotalAdmLocal))*CRONO!$F88,
                        0),
                 V87*$S86),
          SUMIF(OFFSET($S88,1,0,$R86-2),($M86+1)&amp;"$",OFFSET(V88,1,0,$R86-2)))</f>
        <v>0</v>
      </c>
      <c r="W88" s="202" cm="1">
        <f t="array" aca="1" ref="W88" ca="1">IF($R86=2,
         IF(AND(ACOMPANHAMENTO="PLE",ISNUMBER($F86)),
                SUMIF((OFFSET(CÁLCULO!$BC$15:$BU$15,$F86,0,OFFSET(ORÇAMENTO!$D$15,CRONO!$F86,0))),CRONO!W$12,OFFSET(CÁLCULO!$AJ$15:$BB$15,$F86,0,OFFSET(ORÇAMENTO!$D$15,CRONO!$F86,0)))
                +IF(AND($F88&lt;&gt;"",$F88&lt;&gt;0),
                        SUMIF(CÁLCULO!$BC$15:$BU$165,CRONO!W$12,CÁLCULO!$AJ$15:$BB$165)/(ORÇAMENTO!$X$15-_xlfn.SINGLE(CÁLCULO.TotalAdmLocal))*CRONO!$F88,
                        0),
                 W87*$S86),
          SUMIF(OFFSET($S88,1,0,$R86-2),($M86+1)&amp;"$",OFFSET(W88,1,0,$R86-2)))</f>
        <v>0</v>
      </c>
      <c r="X88" s="202" cm="1">
        <f t="array" aca="1" ref="X88" ca="1">IF($R86=2,
         IF(AND(ACOMPANHAMENTO="PLE",ISNUMBER($F86)),
                SUMIF((OFFSET(CÁLCULO!$BC$15:$BU$15,$F86,0,OFFSET(ORÇAMENTO!$D$15,CRONO!$F86,0))),CRONO!X$12,OFFSET(CÁLCULO!$AJ$15:$BB$15,$F86,0,OFFSET(ORÇAMENTO!$D$15,CRONO!$F86,0)))
                +IF(AND($F88&lt;&gt;"",$F88&lt;&gt;0),
                        SUMIF(CÁLCULO!$BC$15:$BU$165,CRONO!X$12,CÁLCULO!$AJ$15:$BB$165)/(ORÇAMENTO!$X$15-_xlfn.SINGLE(CÁLCULO.TotalAdmLocal))*CRONO!$F88,
                        0),
                 X87*$S86),
          SUMIF(OFFSET($S88,1,0,$R86-2),($M86+1)&amp;"$",OFFSET(X88,1,0,$R86-2)))</f>
        <v>0</v>
      </c>
      <c r="Y88" s="202" cm="1">
        <f t="array" aca="1" ref="Y88" ca="1">IF($R86=2,
         IF(AND(ACOMPANHAMENTO="PLE",ISNUMBER($F86)),
                SUMIF((OFFSET(CÁLCULO!$BC$15:$BU$15,$F86,0,OFFSET(ORÇAMENTO!$D$15,CRONO!$F86,0))),CRONO!Y$12,OFFSET(CÁLCULO!$AJ$15:$BB$15,$F86,0,OFFSET(ORÇAMENTO!$D$15,CRONO!$F86,0)))
                +IF(AND($F88&lt;&gt;"",$F88&lt;&gt;0),
                        SUMIF(CÁLCULO!$BC$15:$BU$165,CRONO!Y$12,CÁLCULO!$AJ$15:$BB$165)/(ORÇAMENTO!$X$15-_xlfn.SINGLE(CÁLCULO.TotalAdmLocal))*CRONO!$F88,
                        0),
                 Y87*$S86),
          SUMIF(OFFSET($S88,1,0,$R86-2),($M86+1)&amp;"$",OFFSET(Y88,1,0,$R86-2)))</f>
        <v>0</v>
      </c>
      <c r="Z88" s="202" cm="1">
        <f t="array" aca="1" ref="Z88" ca="1">IF($R86=2,
         IF(AND(ACOMPANHAMENTO="PLE",ISNUMBER($F86)),
                SUMIF((OFFSET(CÁLCULO!$BC$15:$BU$15,$F86,0,OFFSET(ORÇAMENTO!$D$15,CRONO!$F86,0))),CRONO!Z$12,OFFSET(CÁLCULO!$AJ$15:$BB$15,$F86,0,OFFSET(ORÇAMENTO!$D$15,CRONO!$F86,0)))
                +IF(AND($F88&lt;&gt;"",$F88&lt;&gt;0),
                        SUMIF(CÁLCULO!$BC$15:$BU$165,CRONO!Z$12,CÁLCULO!$AJ$15:$BB$165)/(ORÇAMENTO!$X$15-_xlfn.SINGLE(CÁLCULO.TotalAdmLocal))*CRONO!$F88,
                        0),
                 Z87*$S86),
          SUMIF(OFFSET($S88,1,0,$R86-2),($M86+1)&amp;"$",OFFSET(Z88,1,0,$R86-2)))</f>
        <v>963.71</v>
      </c>
      <c r="AA88" s="202" cm="1">
        <f t="array" aca="1" ref="AA88" ca="1">IF($R86=2,
         IF(AND(ACOMPANHAMENTO="PLE",ISNUMBER($F86)),
                SUMIF((OFFSET(CÁLCULO!$BC$15:$BU$15,$F86,0,OFFSET(ORÇAMENTO!$D$15,CRONO!$F86,0))),CRONO!AA$12,OFFSET(CÁLCULO!$AJ$15:$BB$15,$F86,0,OFFSET(ORÇAMENTO!$D$15,CRONO!$F86,0)))
                +IF(AND($F88&lt;&gt;"",$F88&lt;&gt;0),
                        SUMIF(CÁLCULO!$BC$15:$BU$165,CRONO!AA$12,CÁLCULO!$AJ$15:$BB$165)/(ORÇAMENTO!$X$15-_xlfn.SINGLE(CÁLCULO.TotalAdmLocal))*CRONO!$F88,
                        0),
                 AA87*$S86),
          SUMIF(OFFSET($S88,1,0,$R86-2),($M86+1)&amp;"$",OFFSET(AA88,1,0,$R86-2)))</f>
        <v>0</v>
      </c>
      <c r="AB88" s="202" cm="1">
        <f t="array" aca="1" ref="AB88" ca="1">IF($R86=2,
         IF(AND(ACOMPANHAMENTO="PLE",ISNUMBER($F86)),
                SUMIF((OFFSET(CÁLCULO!$BC$15:$BU$15,$F86,0,OFFSET(ORÇAMENTO!$D$15,CRONO!$F86,0))),CRONO!AB$12,OFFSET(CÁLCULO!$AJ$15:$BB$15,$F86,0,OFFSET(ORÇAMENTO!$D$15,CRONO!$F86,0)))
                +IF(AND($F88&lt;&gt;"",$F88&lt;&gt;0),
                        SUMIF(CÁLCULO!$BC$15:$BU$165,CRONO!AB$12,CÁLCULO!$AJ$15:$BB$165)/(ORÇAMENTO!$X$15-_xlfn.SINGLE(CÁLCULO.TotalAdmLocal))*CRONO!$F88,
                        0),
                 AB87*$S86),
          SUMIF(OFFSET($S88,1,0,$R86-2),($M86+1)&amp;"$",OFFSET(AB88,1,0,$R86-2)))</f>
        <v>0</v>
      </c>
      <c r="AC88" s="202" cm="1">
        <f t="array" aca="1" ref="AC88" ca="1">IF($R86=2,
         IF(AND(ACOMPANHAMENTO="PLE",ISNUMBER($F86)),
                SUMIF((OFFSET(CÁLCULO!$BC$15:$BU$15,$F86,0,OFFSET(ORÇAMENTO!$D$15,CRONO!$F86,0))),CRONO!AC$12,OFFSET(CÁLCULO!$AJ$15:$BB$15,$F86,0,OFFSET(ORÇAMENTO!$D$15,CRONO!$F86,0)))
                +IF(AND($F88&lt;&gt;"",$F88&lt;&gt;0),
                        SUMIF(CÁLCULO!$BC$15:$BU$165,CRONO!AC$12,CÁLCULO!$AJ$15:$BB$165)/(ORÇAMENTO!$X$15-_xlfn.SINGLE(CÁLCULO.TotalAdmLocal))*CRONO!$F88,
                        0),
                 AC87*$S86),
          SUMIF(OFFSET($S88,1,0,$R86-2),($M86+1)&amp;"$",OFFSET(AC88,1,0,$R86-2)))</f>
        <v>0</v>
      </c>
      <c r="AD88" s="202" cm="1">
        <f t="array" aca="1" ref="AD88" ca="1">IF($R86=2,
         IF(AND(ACOMPANHAMENTO="PLE",ISNUMBER($F86)),
                SUMIF((OFFSET(CÁLCULO!$BC$15:$BU$15,$F86,0,OFFSET(ORÇAMENTO!$D$15,CRONO!$F86,0))),CRONO!AD$12,OFFSET(CÁLCULO!$AJ$15:$BB$15,$F86,0,OFFSET(ORÇAMENTO!$D$15,CRONO!$F86,0)))
                +IF(AND($F88&lt;&gt;"",$F88&lt;&gt;0),
                        SUMIF(CÁLCULO!$BC$15:$BU$165,CRONO!AD$12,CÁLCULO!$AJ$15:$BB$165)/(ORÇAMENTO!$X$15-_xlfn.SINGLE(CÁLCULO.TotalAdmLocal))*CRONO!$F88,
                        0),
                 AD87*$S86),
          SUMIF(OFFSET($S88,1,0,$R86-2),($M86+1)&amp;"$",OFFSET(AD88,1,0,$R86-2)))</f>
        <v>0</v>
      </c>
      <c r="AE88" s="202" cm="1">
        <f t="array" aca="1" ref="AE88" ca="1">IF($R86=2,
         IF(AND(ACOMPANHAMENTO="PLE",ISNUMBER($F86)),
                SUMIF((OFFSET(CÁLCULO!$BC$15:$BU$15,$F86,0,OFFSET(ORÇAMENTO!$D$15,CRONO!$F86,0))),CRONO!AE$12,OFFSET(CÁLCULO!$AJ$15:$BB$15,$F86,0,OFFSET(ORÇAMENTO!$D$15,CRONO!$F86,0)))
                +IF(AND($F88&lt;&gt;"",$F88&lt;&gt;0),
                        SUMIF(CÁLCULO!$BC$15:$BU$165,CRONO!AE$12,CÁLCULO!$AJ$15:$BB$165)/(ORÇAMENTO!$X$15-_xlfn.SINGLE(CÁLCULO.TotalAdmLocal))*CRONO!$F88,
                        0),
                 AE87*$S86),
          SUMIF(OFFSET($S88,1,0,$R86-2),($M86+1)&amp;"$",OFFSET(AE88,1,0,$R86-2)))</f>
        <v>0</v>
      </c>
      <c r="AF88" s="202" cm="1">
        <f t="array" aca="1" ref="AF88" ca="1">IF($R86=2,
         IF(AND(ACOMPANHAMENTO="PLE",ISNUMBER($F86)),
                SUMIF((OFFSET(CÁLCULO!$BC$15:$BU$15,$F86,0,OFFSET(ORÇAMENTO!$D$15,CRONO!$F86,0))),CRONO!AF$12,OFFSET(CÁLCULO!$AJ$15:$BB$15,$F86,0,OFFSET(ORÇAMENTO!$D$15,CRONO!$F86,0)))
                +IF(AND($F88&lt;&gt;"",$F88&lt;&gt;0),
                        SUMIF(CÁLCULO!$BC$15:$BU$165,CRONO!AF$12,CÁLCULO!$AJ$15:$BB$165)/(ORÇAMENTO!$X$15-_xlfn.SINGLE(CÁLCULO.TotalAdmLocal))*CRONO!$F88,
                        0),
                 AF87*$S86),
          SUMIF(OFFSET($S88,1,0,$R86-2),($M86+1)&amp;"$",OFFSET(AF88,1,0,$R86-2)))</f>
        <v>0</v>
      </c>
      <c r="AG88" s="534"/>
    </row>
    <row r="89" spans="1:33" x14ac:dyDescent="0.25">
      <c r="A89" s="186" t="e">
        <f ca="1">IF($M89&gt;1,_xlfn.CONCAT($I89," ",$J89),"")</f>
        <v>#NAME?</v>
      </c>
      <c r="B89" s="185">
        <f t="shared" ref="B89" ca="1" si="140">OFFSET(B89,-3,0)+1</f>
        <v>26</v>
      </c>
      <c r="C89" s="185">
        <f ca="1">IF($R89&lt;&gt;2,0,IF($S89=0,1,IF(F90&gt;0,OFFSET(QCI!$M$13,SUBSTITUTE(F90,".",""),0),OFFSET(ORÇAMENTO!$AA$15,CRONO!$F89,0))/$S89))</f>
        <v>0.27621385324224018</v>
      </c>
      <c r="D89" s="185">
        <f ca="1">IF($R89&lt;&gt;2,0,IF($S89=0,1,IF(F90&gt;0,OFFSET(QCI!$N$13,SUBSTITUTE(F90,".",""),0),OFFSET(ORÇAMENTO!$AB$15,CRONO!$F89,0))/$S89))</f>
        <v>0</v>
      </c>
      <c r="E89" s="188" cm="1">
        <f t="array" aca="1" ref="E89" ca="1">IF(AND($R89=2,ACOMPANHAMENTO="BM"),ROUND(E90,4),E91/$S89)</f>
        <v>0</v>
      </c>
      <c r="F89" s="185">
        <f ca="1">IF(B89&lt;=ORÇAMENTO.MáximoListaCrono,MATCH(B89,ORÇAMENTO.ListaCrono,0),NA())</f>
        <v>143</v>
      </c>
      <c r="G89" s="185" t="str">
        <f t="shared" ref="G89" ca="1" si="141">IF(AND($F90&lt;&gt;-1,$S89&gt;0),"F","")</f>
        <v>F</v>
      </c>
      <c r="H89" s="189" t="str" cm="1">
        <f t="array" aca="1" ref="H89" ca="1">IF(OR(S89=0,S89=""),"Linha",IF(AND(OR(ACOMPANHAMENTO="PLE",$R89&lt;&gt;2),$F90=0),"Linha",ROUND(1-SUM(U89:AG89),4)))</f>
        <v>Linha</v>
      </c>
      <c r="I89" s="190" t="str">
        <f ca="1">IF($F90=0,OFFSET(ORÇAMENTO!O$15,$F89,0),IF($F90&lt;&gt;-1,OFFSET(QCI!$D$13,$F90,0),""))</f>
        <v>4.4.</v>
      </c>
      <c r="J89" s="191" t="str">
        <f ca="1">IF($F90=0,OFFSET(ORÇAMENTO!R$15,$F89,0),IF($F90&lt;&gt;-1,OFFSET(QCI!$G$13,$F90,0),""))</f>
        <v xml:space="preserve">ENSAIOS </v>
      </c>
      <c r="K89" s="191"/>
      <c r="L89" s="191"/>
      <c r="M89" s="192">
        <f ca="1">IF($F90=0,OFFSET(ORÇAMENTO!C$15,$F89,0),1)</f>
        <v>2</v>
      </c>
      <c r="N89" s="193">
        <f t="shared" ref="N89" ca="1" si="142">IF($F90=-1,0,IF(N$13&lt;=$M89,IF(ISERROR(MATCH(N$13,OFFSET($M89,1,0,ROW($M$95)-ROW($M89)-1),0)),ROW($M$95)-ROW($M89)-1,MATCH(N$13,OFFSET($M89,1,0,ROW($M$95)-ROW($M89)-1),0)-1),0))</f>
        <v>5</v>
      </c>
      <c r="O89" s="193">
        <f t="shared" ref="O89" ca="1" si="143">IF($F90=-1,0,IF(O$13&lt;=$M89,IF(ISERROR(MATCH(O$13,OFFSET($M89,1,0,ROW($M$95)-ROW($M89)-1),0)),ROW($M$95)-ROW($M89)-1,MATCH(O$13,OFFSET($M89,1,0,ROW($M$95)-ROW($M89)-1),0)-1),0))</f>
        <v>2</v>
      </c>
      <c r="P89" s="193">
        <f t="shared" ref="P89" ca="1" si="144">IF($F90=-1,0,IF(P$13&lt;=$M89,IF(ISERROR(MATCH(P$13,OFFSET($M89,1,0,ROW($M$95)-ROW($M89)-1),0)),ROW($M$95)-ROW($M89)-1,MATCH(P$13,OFFSET($M89,1,0,ROW($M$95)-ROW($M89)-1),0)-1),0))</f>
        <v>0</v>
      </c>
      <c r="Q89" s="193">
        <f t="shared" ref="Q89" ca="1" si="145">IF($F90=-1,0,IF(Q$13&lt;=$M89,IF(ISERROR(MATCH(Q$13,OFFSET($M89,1,0,ROW($M$95)-ROW($M89)-1),0)),ROW($M$95)-ROW($M89)-1,MATCH(Q$13,OFFSET($M89,1,0,ROW($M$95)-ROW($M89)-1),0)-1),0))</f>
        <v>0</v>
      </c>
      <c r="R89" s="193">
        <f t="shared" ref="R89" ca="1" si="146">MIN(OFFSET(M89,0,1,,M89))</f>
        <v>2</v>
      </c>
      <c r="S89" s="194">
        <f ca="1">IF($F90=0,OFFSET(ORÇAMENTO!X$15,$F89,0),IF($F90&lt;&gt;-1,OFFSET(QCI!$O$13,$F90,0),""))</f>
        <v>1131.9100000000001</v>
      </c>
      <c r="T89" s="195" t="s">
        <v>785</v>
      </c>
      <c r="U89" s="188" cm="1">
        <f t="array" aca="1" ref="U89" ca="1">IF(AND($R89=2,ACOMPANHAMENTO="BM"),ROUND(U90,4),U91/$S89)</f>
        <v>0</v>
      </c>
      <c r="V89" s="188" cm="1">
        <f t="array" aca="1" ref="V89" ca="1">IF(AND($R89=2,ACOMPANHAMENTO="BM"),ROUND(V90,4),V91/$S89)</f>
        <v>0</v>
      </c>
      <c r="W89" s="188" cm="1">
        <f t="array" aca="1" ref="W89" ca="1">IF(AND($R89=2,ACOMPANHAMENTO="BM"),ROUND(W90,4),W91/$S89)</f>
        <v>0</v>
      </c>
      <c r="X89" s="188" cm="1">
        <f t="array" aca="1" ref="X89" ca="1">IF(AND($R89=2,ACOMPANHAMENTO="BM"),ROUND(X90,4),X91/$S89)</f>
        <v>0</v>
      </c>
      <c r="Y89" s="188" cm="1">
        <f t="array" aca="1" ref="Y89" ca="1">IF(AND($R89=2,ACOMPANHAMENTO="BM"),ROUND(Y90,4),Y91/$S89)</f>
        <v>1</v>
      </c>
      <c r="Z89" s="188" cm="1">
        <f t="array" aca="1" ref="Z89" ca="1">IF(AND($R89=2,ACOMPANHAMENTO="BM"),ROUND(Z90,4),Z91/$S89)</f>
        <v>0</v>
      </c>
      <c r="AA89" s="188" cm="1">
        <f t="array" aca="1" ref="AA89" ca="1">IF(AND($R89=2,ACOMPANHAMENTO="BM"),ROUND(AA90,4),AA91/$S89)</f>
        <v>0</v>
      </c>
      <c r="AB89" s="188" cm="1">
        <f t="array" aca="1" ref="AB89" ca="1">IF(AND($R89=2,ACOMPANHAMENTO="BM"),ROUND(AB90,4),AB91/$S89)</f>
        <v>0</v>
      </c>
      <c r="AC89" s="188" cm="1">
        <f t="array" aca="1" ref="AC89" ca="1">IF(AND($R89=2,ACOMPANHAMENTO="BM"),ROUND(AC90,4),AC91/$S89)</f>
        <v>0</v>
      </c>
      <c r="AD89" s="188" cm="1">
        <f t="array" aca="1" ref="AD89" ca="1">IF(AND($R89=2,ACOMPANHAMENTO="BM"),ROUND(AD90,4),AD91/$S89)</f>
        <v>0</v>
      </c>
      <c r="AE89" s="188" cm="1">
        <f t="array" aca="1" ref="AE89" ca="1">IF(AND($R89=2,ACOMPANHAMENTO="BM"),ROUND(AE90,4),AE91/$S89)</f>
        <v>0</v>
      </c>
      <c r="AF89" s="188" cm="1">
        <f t="array" aca="1" ref="AF89" ca="1">IF(AND($R89=2,ACOMPANHAMENTO="BM"),ROUND(AF90,4),AF91/$S89)</f>
        <v>0</v>
      </c>
      <c r="AG89" s="534"/>
    </row>
    <row r="90" spans="1:33" ht="12.75" hidden="1" customHeight="1" x14ac:dyDescent="0.25">
      <c r="E90" s="587"/>
      <c r="F90" s="185">
        <f ca="1">IF(ISERROR(F89),IF(1+COUNTIF($M$13:OFFSET(M89,-1,0),1)&lt;=MAX(QCI!$D$13:$D$24),1+COUNTIF($M$13:OFFSET(M89,-1,0),1),-1),0)</f>
        <v>0</v>
      </c>
      <c r="G90" s="185" t="str" cm="1">
        <f t="array" aca="1" ref="G90" ca="1">IF(ACOMPANHAMENTO="BM",OFFSET(G90,-1,0),"")</f>
        <v/>
      </c>
      <c r="H90" s="196" t="str" cm="1">
        <f t="array" aca="1" ref="H90" ca="1">IF(OR(S89=0,S89=""),"vazia",IF(AND(OR(ACOMPANHAMENTO="PLE",$R89&lt;&gt;2),$F90=0),"calculada","--&gt;"))</f>
        <v>calculada</v>
      </c>
      <c r="I90" s="197"/>
      <c r="J90" s="198" t="str">
        <f t="shared" ref="J90" ca="1" si="147">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34"/>
    </row>
    <row r="91" spans="1:33" ht="12.75" hidden="1" customHeight="1" x14ac:dyDescent="0.25">
      <c r="D91" s="533"/>
      <c r="E91" s="202" cm="1">
        <f t="array" aca="1" ref="E91" ca="1">IF($R89=2,
         IF(AND(ACOMPANHAMENTO="PLE",ISNUMBER($F89)),
                SUMIF((OFFSET(CÁLCULO!$BC$15:$BU$15,$F89,0,OFFSET(ORÇAMENTO!$D$15,CRONO!$F89,0))),CRONO!E$12,OFFSET(CÁLCULO!$AJ$15:$BB$15,$F89,0,OFFSET(ORÇAMENTO!$D$15,CRONO!$F89,0)))
                +IF(AND($F91&lt;&gt;"",$F91&lt;&gt;0),
                        SUMIF(CÁLCULO!$BC$15:$BU$165,CRONO!E$12,CÁLCULO!$AJ$15:$BB$165)/(ORÇAMENTO!$X$15-_xlfn.SINGLE(CÁLCULO.TotalAdmLocal))*CRONO!$F91,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203"/>
      <c r="S91" s="204" t="str">
        <f t="shared" ref="S91" ca="1" si="148">M89&amp;"$"</f>
        <v>2$</v>
      </c>
      <c r="T91" s="205"/>
      <c r="U91" s="202" cm="1">
        <f t="array" aca="1" ref="U91" ca="1">IF($R89=2,
         IF(AND(ACOMPANHAMENTO="PLE",ISNUMBER($F89)),
                SUMIF((OFFSET(CÁLCULO!$BC$15:$BU$15,$F89,0,OFFSET(ORÇAMENTO!$D$15,CRONO!$F89,0))),CRONO!U$12,OFFSET(CÁLCULO!$AJ$15:$BB$15,$F89,0,OFFSET(ORÇAMENTO!$D$15,CRONO!$F89,0)))
                +IF(AND($F91&lt;&gt;"",$F91&lt;&gt;0),
                        SUMIF(CÁLCULO!$BC$15:$BU$165,CRONO!U$12,CÁLCULO!$AJ$15:$BB$165)/(ORÇAMENTO!$X$15-_xlfn.SINGLE(CÁLCULO.TotalAdmLocal))*CRONO!$F91,
                        0),
                 U90*$S89),
          SUMIF(OFFSET($S91,1,0,$R89-2),($M89+1)&amp;"$",OFFSET(U91,1,0,$R89-2)))</f>
        <v>0</v>
      </c>
      <c r="V91" s="202" cm="1">
        <f t="array" aca="1" ref="V91" ca="1">IF($R89=2,
         IF(AND(ACOMPANHAMENTO="PLE",ISNUMBER($F89)),
                SUMIF((OFFSET(CÁLCULO!$BC$15:$BU$15,$F89,0,OFFSET(ORÇAMENTO!$D$15,CRONO!$F89,0))),CRONO!V$12,OFFSET(CÁLCULO!$AJ$15:$BB$15,$F89,0,OFFSET(ORÇAMENTO!$D$15,CRONO!$F89,0)))
                +IF(AND($F91&lt;&gt;"",$F91&lt;&gt;0),
                        SUMIF(CÁLCULO!$BC$15:$BU$165,CRONO!V$12,CÁLCULO!$AJ$15:$BB$165)/(ORÇAMENTO!$X$15-_xlfn.SINGLE(CÁLCULO.TotalAdmLocal))*CRONO!$F91,
                        0),
                 V90*$S89),
          SUMIF(OFFSET($S91,1,0,$R89-2),($M89+1)&amp;"$",OFFSET(V91,1,0,$R89-2)))</f>
        <v>0</v>
      </c>
      <c r="W91" s="202" cm="1">
        <f t="array" aca="1" ref="W91" ca="1">IF($R89=2,
         IF(AND(ACOMPANHAMENTO="PLE",ISNUMBER($F89)),
                SUMIF((OFFSET(CÁLCULO!$BC$15:$BU$15,$F89,0,OFFSET(ORÇAMENTO!$D$15,CRONO!$F89,0))),CRONO!W$12,OFFSET(CÁLCULO!$AJ$15:$BB$15,$F89,0,OFFSET(ORÇAMENTO!$D$15,CRONO!$F89,0)))
                +IF(AND($F91&lt;&gt;"",$F91&lt;&gt;0),
                        SUMIF(CÁLCULO!$BC$15:$BU$165,CRONO!W$12,CÁLCULO!$AJ$15:$BB$165)/(ORÇAMENTO!$X$15-_xlfn.SINGLE(CÁLCULO.TotalAdmLocal))*CRONO!$F91,
                        0),
                 W90*$S89),
          SUMIF(OFFSET($S91,1,0,$R89-2),($M89+1)&amp;"$",OFFSET(W91,1,0,$R89-2)))</f>
        <v>0</v>
      </c>
      <c r="X91" s="202" cm="1">
        <f t="array" aca="1" ref="X91" ca="1">IF($R89=2,
         IF(AND(ACOMPANHAMENTO="PLE",ISNUMBER($F89)),
                SUMIF((OFFSET(CÁLCULO!$BC$15:$BU$15,$F89,0,OFFSET(ORÇAMENTO!$D$15,CRONO!$F89,0))),CRONO!X$12,OFFSET(CÁLCULO!$AJ$15:$BB$15,$F89,0,OFFSET(ORÇAMENTO!$D$15,CRONO!$F89,0)))
                +IF(AND($F91&lt;&gt;"",$F91&lt;&gt;0),
                        SUMIF(CÁLCULO!$BC$15:$BU$165,CRONO!X$12,CÁLCULO!$AJ$15:$BB$165)/(ORÇAMENTO!$X$15-_xlfn.SINGLE(CÁLCULO.TotalAdmLocal))*CRONO!$F91,
                        0),
                 X90*$S89),
          SUMIF(OFFSET($S91,1,0,$R89-2),($M89+1)&amp;"$",OFFSET(X91,1,0,$R89-2)))</f>
        <v>0</v>
      </c>
      <c r="Y91" s="202" cm="1">
        <f t="array" aca="1" ref="Y91" ca="1">IF($R89=2,
         IF(AND(ACOMPANHAMENTO="PLE",ISNUMBER($F89)),
                SUMIF((OFFSET(CÁLCULO!$BC$15:$BU$15,$F89,0,OFFSET(ORÇAMENTO!$D$15,CRONO!$F89,0))),CRONO!Y$12,OFFSET(CÁLCULO!$AJ$15:$BB$15,$F89,0,OFFSET(ORÇAMENTO!$D$15,CRONO!$F89,0)))
                +IF(AND($F91&lt;&gt;"",$F91&lt;&gt;0),
                        SUMIF(CÁLCULO!$BC$15:$BU$165,CRONO!Y$12,CÁLCULO!$AJ$15:$BB$165)/(ORÇAMENTO!$X$15-_xlfn.SINGLE(CÁLCULO.TotalAdmLocal))*CRONO!$F91,
                        0),
                 Y90*$S89),
          SUMIF(OFFSET($S91,1,0,$R89-2),($M89+1)&amp;"$",OFFSET(Y91,1,0,$R89-2)))</f>
        <v>1131.9100000000001</v>
      </c>
      <c r="Z91" s="202" cm="1">
        <f t="array" aca="1" ref="Z91" ca="1">IF($R89=2,
         IF(AND(ACOMPANHAMENTO="PLE",ISNUMBER($F89)),
                SUMIF((OFFSET(CÁLCULO!$BC$15:$BU$15,$F89,0,OFFSET(ORÇAMENTO!$D$15,CRONO!$F89,0))),CRONO!Z$12,OFFSET(CÁLCULO!$AJ$15:$BB$15,$F89,0,OFFSET(ORÇAMENTO!$D$15,CRONO!$F89,0)))
                +IF(AND($F91&lt;&gt;"",$F91&lt;&gt;0),
                        SUMIF(CÁLCULO!$BC$15:$BU$165,CRONO!Z$12,CÁLCULO!$AJ$15:$BB$165)/(ORÇAMENTO!$X$15-_xlfn.SINGLE(CÁLCULO.TotalAdmLocal))*CRONO!$F91,
                        0),
                 Z90*$S89),
          SUMIF(OFFSET($S91,1,0,$R89-2),($M89+1)&amp;"$",OFFSET(Z91,1,0,$R89-2)))</f>
        <v>0</v>
      </c>
      <c r="AA91" s="202" cm="1">
        <f t="array" aca="1" ref="AA91" ca="1">IF($R89=2,
         IF(AND(ACOMPANHAMENTO="PLE",ISNUMBER($F89)),
                SUMIF((OFFSET(CÁLCULO!$BC$15:$BU$15,$F89,0,OFFSET(ORÇAMENTO!$D$15,CRONO!$F89,0))),CRONO!AA$12,OFFSET(CÁLCULO!$AJ$15:$BB$15,$F89,0,OFFSET(ORÇAMENTO!$D$15,CRONO!$F89,0)))
                +IF(AND($F91&lt;&gt;"",$F91&lt;&gt;0),
                        SUMIF(CÁLCULO!$BC$15:$BU$165,CRONO!AA$12,CÁLCULO!$AJ$15:$BB$165)/(ORÇAMENTO!$X$15-_xlfn.SINGLE(CÁLCULO.TotalAdmLocal))*CRONO!$F91,
                        0),
                 AA90*$S89),
          SUMIF(OFFSET($S91,1,0,$R89-2),($M89+1)&amp;"$",OFFSET(AA91,1,0,$R89-2)))</f>
        <v>0</v>
      </c>
      <c r="AB91" s="202" cm="1">
        <f t="array" aca="1" ref="AB91" ca="1">IF($R89=2,
         IF(AND(ACOMPANHAMENTO="PLE",ISNUMBER($F89)),
                SUMIF((OFFSET(CÁLCULO!$BC$15:$BU$15,$F89,0,OFFSET(ORÇAMENTO!$D$15,CRONO!$F89,0))),CRONO!AB$12,OFFSET(CÁLCULO!$AJ$15:$BB$15,$F89,0,OFFSET(ORÇAMENTO!$D$15,CRONO!$F89,0)))
                +IF(AND($F91&lt;&gt;"",$F91&lt;&gt;0),
                        SUMIF(CÁLCULO!$BC$15:$BU$165,CRONO!AB$12,CÁLCULO!$AJ$15:$BB$165)/(ORÇAMENTO!$X$15-_xlfn.SINGLE(CÁLCULO.TotalAdmLocal))*CRONO!$F91,
                        0),
                 AB90*$S89),
          SUMIF(OFFSET($S91,1,0,$R89-2),($M89+1)&amp;"$",OFFSET(AB91,1,0,$R89-2)))</f>
        <v>0</v>
      </c>
      <c r="AC91" s="202" cm="1">
        <f t="array" aca="1" ref="AC91" ca="1">IF($R89=2,
         IF(AND(ACOMPANHAMENTO="PLE",ISNUMBER($F89)),
                SUMIF((OFFSET(CÁLCULO!$BC$15:$BU$15,$F89,0,OFFSET(ORÇAMENTO!$D$15,CRONO!$F89,0))),CRONO!AC$12,OFFSET(CÁLCULO!$AJ$15:$BB$15,$F89,0,OFFSET(ORÇAMENTO!$D$15,CRONO!$F89,0)))
                +IF(AND($F91&lt;&gt;"",$F91&lt;&gt;0),
                        SUMIF(CÁLCULO!$BC$15:$BU$165,CRONO!AC$12,CÁLCULO!$AJ$15:$BB$165)/(ORÇAMENTO!$X$15-_xlfn.SINGLE(CÁLCULO.TotalAdmLocal))*CRONO!$F91,
                        0),
                 AC90*$S89),
          SUMIF(OFFSET($S91,1,0,$R89-2),($M89+1)&amp;"$",OFFSET(AC91,1,0,$R89-2)))</f>
        <v>0</v>
      </c>
      <c r="AD91" s="202" cm="1">
        <f t="array" aca="1" ref="AD91" ca="1">IF($R89=2,
         IF(AND(ACOMPANHAMENTO="PLE",ISNUMBER($F89)),
                SUMIF((OFFSET(CÁLCULO!$BC$15:$BU$15,$F89,0,OFFSET(ORÇAMENTO!$D$15,CRONO!$F89,0))),CRONO!AD$12,OFFSET(CÁLCULO!$AJ$15:$BB$15,$F89,0,OFFSET(ORÇAMENTO!$D$15,CRONO!$F89,0)))
                +IF(AND($F91&lt;&gt;"",$F91&lt;&gt;0),
                        SUMIF(CÁLCULO!$BC$15:$BU$165,CRONO!AD$12,CÁLCULO!$AJ$15:$BB$165)/(ORÇAMENTO!$X$15-_xlfn.SINGLE(CÁLCULO.TotalAdmLocal))*CRONO!$F91,
                        0),
                 AD90*$S89),
          SUMIF(OFFSET($S91,1,0,$R89-2),($M89+1)&amp;"$",OFFSET(AD91,1,0,$R89-2)))</f>
        <v>0</v>
      </c>
      <c r="AE91" s="202" cm="1">
        <f t="array" aca="1" ref="AE91" ca="1">IF($R89=2,
         IF(AND(ACOMPANHAMENTO="PLE",ISNUMBER($F89)),
                SUMIF((OFFSET(CÁLCULO!$BC$15:$BU$15,$F89,0,OFFSET(ORÇAMENTO!$D$15,CRONO!$F89,0))),CRONO!AE$12,OFFSET(CÁLCULO!$AJ$15:$BB$15,$F89,0,OFFSET(ORÇAMENTO!$D$15,CRONO!$F89,0)))
                +IF(AND($F91&lt;&gt;"",$F91&lt;&gt;0),
                        SUMIF(CÁLCULO!$BC$15:$BU$165,CRONO!AE$12,CÁLCULO!$AJ$15:$BB$165)/(ORÇAMENTO!$X$15-_xlfn.SINGLE(CÁLCULO.TotalAdmLocal))*CRONO!$F91,
                        0),
                 AE90*$S89),
          SUMIF(OFFSET($S91,1,0,$R89-2),($M89+1)&amp;"$",OFFSET(AE91,1,0,$R89-2)))</f>
        <v>0</v>
      </c>
      <c r="AF91" s="202" cm="1">
        <f t="array" aca="1" ref="AF91" ca="1">IF($R89=2,
         IF(AND(ACOMPANHAMENTO="PLE",ISNUMBER($F89)),
                SUMIF((OFFSET(CÁLCULO!$BC$15:$BU$15,$F89,0,OFFSET(ORÇAMENTO!$D$15,CRONO!$F89,0))),CRONO!AF$12,OFFSET(CÁLCULO!$AJ$15:$BB$15,$F89,0,OFFSET(ORÇAMENTO!$D$15,CRONO!$F89,0)))
                +IF(AND($F91&lt;&gt;"",$F91&lt;&gt;0),
                        SUMIF(CÁLCULO!$BC$15:$BU$165,CRONO!AF$12,CÁLCULO!$AJ$15:$BB$165)/(ORÇAMENTO!$X$15-_xlfn.SINGLE(CÁLCULO.TotalAdmLocal))*CRONO!$F91,
                        0),
                 AF90*$S89),
          SUMIF(OFFSET($S91,1,0,$R89-2),($M89+1)&amp;"$",OFFSET(AF91,1,0,$R89-2)))</f>
        <v>0</v>
      </c>
      <c r="AG91" s="534"/>
    </row>
    <row r="92" spans="1:33" x14ac:dyDescent="0.25">
      <c r="A92" s="186" t="e">
        <f ca="1">IF($M92&gt;1,_xlfn.CONCAT($I92," ",$J92),"")</f>
        <v>#NAME?</v>
      </c>
      <c r="B92" s="185">
        <f t="shared" ref="B92" ca="1" si="149">OFFSET(B92,-3,0)+1</f>
        <v>27</v>
      </c>
      <c r="C92" s="185">
        <f ca="1">IF($R92&lt;&gt;2,0,IF($S92=0,1,IF(F93&gt;0,OFFSET(QCI!$M$13,SUBSTITUTE(F93,".",""),0),OFFSET(ORÇAMENTO!$AA$15,CRONO!$F92,0))/$S92))</f>
        <v>0.27621385324224024</v>
      </c>
      <c r="D92" s="185">
        <f ca="1">IF($R92&lt;&gt;2,0,IF($S92=0,1,IF(F93&gt;0,OFFSET(QCI!$N$13,SUBSTITUTE(F93,".",""),0),OFFSET(ORÇAMENTO!$AB$15,CRONO!$F92,0))/$S92))</f>
        <v>0</v>
      </c>
      <c r="E92" s="188" cm="1">
        <f t="array" aca="1" ref="E92" ca="1">IF(AND($R92=2,ACOMPANHAMENTO="BM"),ROUND(E93,4),E94/$S92)</f>
        <v>0</v>
      </c>
      <c r="F92" s="185">
        <f ca="1">IF(B92&lt;=ORÇAMENTO.MáximoListaCrono,MATCH(B92,ORÇAMENTO.ListaCrono,0),NA())</f>
        <v>148</v>
      </c>
      <c r="G92" s="185" t="str">
        <f t="shared" ref="G92" ca="1" si="150">IF(AND($F93&lt;&gt;-1,$S92&gt;0),"F","")</f>
        <v>F</v>
      </c>
      <c r="H92" s="189" t="str" cm="1">
        <f t="array" aca="1" ref="H92" ca="1">IF(OR(S92=0,S92=""),"Linha",IF(AND(OR(ACOMPANHAMENTO="PLE",$R92&lt;&gt;2),$F93=0),"Linha",ROUND(1-SUM(U92:AG92),4)))</f>
        <v>Linha</v>
      </c>
      <c r="I92" s="190" t="str">
        <f ca="1">IF($F93=0,OFFSET(ORÇAMENTO!O$15,$F92,0),IF($F93&lt;&gt;-1,OFFSET(QCI!$D$13,$F93,0),""))</f>
        <v>4.5.</v>
      </c>
      <c r="J92" s="191" t="str">
        <f ca="1">IF($F93=0,OFFSET(ORÇAMENTO!R$15,$F92,0),IF($F93&lt;&gt;-1,OFFSET(QCI!$G$13,$F93,0),""))</f>
        <v xml:space="preserve">DESMOBILIZAÇÃO </v>
      </c>
      <c r="K92" s="191"/>
      <c r="L92" s="191"/>
      <c r="M92" s="192">
        <f ca="1">IF($F93=0,OFFSET(ORÇAMENTO!C$15,$F92,0),1)</f>
        <v>2</v>
      </c>
      <c r="N92" s="193">
        <f t="shared" ref="N92" ca="1" si="151">IF($F93=-1,0,IF(N$13&lt;=$M92,IF(ISERROR(MATCH(N$13,OFFSET($M92,1,0,ROW($M$95)-ROW($M92)-1),0)),ROW($M$95)-ROW($M92)-1,MATCH(N$13,OFFSET($M92,1,0,ROW($M$95)-ROW($M92)-1),0)-1),0))</f>
        <v>2</v>
      </c>
      <c r="O92" s="193">
        <f t="shared" ref="O92" ca="1" si="152">IF($F93=-1,0,IF(O$13&lt;=$M92,IF(ISERROR(MATCH(O$13,OFFSET($M92,1,0,ROW($M$95)-ROW($M92)-1),0)),ROW($M$95)-ROW($M92)-1,MATCH(O$13,OFFSET($M92,1,0,ROW($M$95)-ROW($M92)-1),0)-1),0))</f>
        <v>2</v>
      </c>
      <c r="P92" s="193">
        <f t="shared" ref="P92" ca="1" si="153">IF($F93=-1,0,IF(P$13&lt;=$M92,IF(ISERROR(MATCH(P$13,OFFSET($M92,1,0,ROW($M$95)-ROW($M92)-1),0)),ROW($M$95)-ROW($M92)-1,MATCH(P$13,OFFSET($M92,1,0,ROW($M$95)-ROW($M92)-1),0)-1),0))</f>
        <v>0</v>
      </c>
      <c r="Q92" s="193">
        <f t="shared" ref="Q92" ca="1" si="154">IF($F93=-1,0,IF(Q$13&lt;=$M92,IF(ISERROR(MATCH(Q$13,OFFSET($M92,1,0,ROW($M$95)-ROW($M92)-1),0)),ROW($M$95)-ROW($M92)-1,MATCH(Q$13,OFFSET($M92,1,0,ROW($M$95)-ROW($M92)-1),0)-1),0))</f>
        <v>0</v>
      </c>
      <c r="R92" s="193">
        <f t="shared" ref="R92" ca="1" si="155">MIN(OFFSET(M92,0,1,,M92))</f>
        <v>2</v>
      </c>
      <c r="S92" s="194">
        <f ca="1">IF($F93=0,OFFSET(ORÇAMENTO!X$15,$F92,0),IF($F93&lt;&gt;-1,OFFSET(QCI!$O$13,$F93,0),""))</f>
        <v>2174.1999999999998</v>
      </c>
      <c r="T92" s="195" t="s">
        <v>785</v>
      </c>
      <c r="U92" s="188" cm="1">
        <f t="array" aca="1" ref="U92" ca="1">IF(AND($R92=2,ACOMPANHAMENTO="BM"),ROUND(U93,4),U94/$S92)</f>
        <v>0</v>
      </c>
      <c r="V92" s="188" cm="1">
        <f t="array" aca="1" ref="V92" ca="1">IF(AND($R92=2,ACOMPANHAMENTO="BM"),ROUND(V93,4),V94/$S92)</f>
        <v>0</v>
      </c>
      <c r="W92" s="188" cm="1">
        <f t="array" aca="1" ref="W92" ca="1">IF(AND($R92=2,ACOMPANHAMENTO="BM"),ROUND(W93,4),W94/$S92)</f>
        <v>0</v>
      </c>
      <c r="X92" s="188" cm="1">
        <f t="array" aca="1" ref="X92" ca="1">IF(AND($R92=2,ACOMPANHAMENTO="BM"),ROUND(X93,4),X94/$S92)</f>
        <v>0</v>
      </c>
      <c r="Y92" s="188" cm="1">
        <f t="array" aca="1" ref="Y92" ca="1">IF(AND($R92=2,ACOMPANHAMENTO="BM"),ROUND(Y93,4),Y94/$S92)</f>
        <v>0</v>
      </c>
      <c r="Z92" s="188" cm="1">
        <f t="array" aca="1" ref="Z92" ca="1">IF(AND($R92=2,ACOMPANHAMENTO="BM"),ROUND(Z93,4),Z94/$S92)</f>
        <v>1</v>
      </c>
      <c r="AA92" s="188" cm="1">
        <f t="array" aca="1" ref="AA92" ca="1">IF(AND($R92=2,ACOMPANHAMENTO="BM"),ROUND(AA93,4),AA94/$S92)</f>
        <v>0</v>
      </c>
      <c r="AB92" s="188" cm="1">
        <f t="array" aca="1" ref="AB92" ca="1">IF(AND($R92=2,ACOMPANHAMENTO="BM"),ROUND(AB93,4),AB94/$S92)</f>
        <v>0</v>
      </c>
      <c r="AC92" s="188" cm="1">
        <f t="array" aca="1" ref="AC92" ca="1">IF(AND($R92=2,ACOMPANHAMENTO="BM"),ROUND(AC93,4),AC94/$S92)</f>
        <v>0</v>
      </c>
      <c r="AD92" s="188" cm="1">
        <f t="array" aca="1" ref="AD92" ca="1">IF(AND($R92=2,ACOMPANHAMENTO="BM"),ROUND(AD93,4),AD94/$S92)</f>
        <v>0</v>
      </c>
      <c r="AE92" s="188" cm="1">
        <f t="array" aca="1" ref="AE92" ca="1">IF(AND($R92=2,ACOMPANHAMENTO="BM"),ROUND(AE93,4),AE94/$S92)</f>
        <v>0</v>
      </c>
      <c r="AF92" s="188" cm="1">
        <f t="array" aca="1" ref="AF92" ca="1">IF(AND($R92=2,ACOMPANHAMENTO="BM"),ROUND(AF93,4),AF94/$S92)</f>
        <v>0</v>
      </c>
      <c r="AG92" s="534"/>
    </row>
    <row r="93" spans="1:33" ht="12.75" hidden="1" customHeight="1" x14ac:dyDescent="0.25">
      <c r="E93" s="587"/>
      <c r="F93" s="185">
        <f ca="1">IF(ISERROR(F92),IF(1+COUNTIF($M$13:OFFSET(M92,-1,0),1)&lt;=MAX(QCI!$D$13:$D$24),1+COUNTIF($M$13:OFFSET(M92,-1,0),1),-1),0)</f>
        <v>0</v>
      </c>
      <c r="G93" s="185" t="str" cm="1">
        <f t="array" aca="1" ref="G93" ca="1">IF(ACOMPANHAMENTO="BM",OFFSET(G93,-1,0),"")</f>
        <v/>
      </c>
      <c r="H93" s="196" t="str" cm="1">
        <f t="array" aca="1" ref="H93" ca="1">IF(OR(S92=0,S92=""),"vazia",IF(AND(OR(ACOMPANHAMENTO="PLE",$R92&lt;&gt;2),$F93=0),"calculada","--&gt;"))</f>
        <v>calculada</v>
      </c>
      <c r="I93" s="197"/>
      <c r="J93" s="198" t="str">
        <f t="shared" ref="J93" ca="1" si="156">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34"/>
    </row>
    <row r="94" spans="1:33" ht="12.75" hidden="1" customHeight="1" x14ac:dyDescent="0.25">
      <c r="D94" s="533"/>
      <c r="E94" s="202" cm="1">
        <f t="array" aca="1" ref="E94" ca="1">IF($R92=2,
         IF(AND(ACOMPANHAMENTO="PLE",ISNUMBER($F92)),
                SUMIF((OFFSET(CÁLCULO!$BC$15:$BU$15,$F92,0,OFFSET(ORÇAMENTO!$D$15,CRONO!$F92,0))),CRONO!E$12,OFFSET(CÁLCULO!$AJ$15:$BB$15,$F92,0,OFFSET(ORÇAMENTO!$D$15,CRONO!$F92,0)))
                +IF(AND($F94&lt;&gt;"",$F94&lt;&gt;0),
                        SUMIF(CÁLCULO!$BC$15:$BU$165,CRONO!E$12,CÁLCULO!$AJ$15:$BB$165)/(ORÇAMENTO!$X$15-_xlfn.SINGLE(CÁLCULO.TotalAdmLocal))*CRONO!$F94,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203"/>
      <c r="S94" s="204" t="str">
        <f t="shared" ref="S94" ca="1" si="157">M92&amp;"$"</f>
        <v>2$</v>
      </c>
      <c r="T94" s="205"/>
      <c r="U94" s="202" cm="1">
        <f t="array" aca="1" ref="U94" ca="1">IF($R92=2,
         IF(AND(ACOMPANHAMENTO="PLE",ISNUMBER($F92)),
                SUMIF((OFFSET(CÁLCULO!$BC$15:$BU$15,$F92,0,OFFSET(ORÇAMENTO!$D$15,CRONO!$F92,0))),CRONO!U$12,OFFSET(CÁLCULO!$AJ$15:$BB$15,$F92,0,OFFSET(ORÇAMENTO!$D$15,CRONO!$F92,0)))
                +IF(AND($F94&lt;&gt;"",$F94&lt;&gt;0),
                        SUMIF(CÁLCULO!$BC$15:$BU$165,CRONO!U$12,CÁLCULO!$AJ$15:$BB$165)/(ORÇAMENTO!$X$15-_xlfn.SINGLE(CÁLCULO.TotalAdmLocal))*CRONO!$F94,
                        0),
                 U93*$S92),
          SUMIF(OFFSET($S94,1,0,$R92-2),($M92+1)&amp;"$",OFFSET(U94,1,0,$R92-2)))</f>
        <v>0</v>
      </c>
      <c r="V94" s="202" cm="1">
        <f t="array" aca="1" ref="V94" ca="1">IF($R92=2,
         IF(AND(ACOMPANHAMENTO="PLE",ISNUMBER($F92)),
                SUMIF((OFFSET(CÁLCULO!$BC$15:$BU$15,$F92,0,OFFSET(ORÇAMENTO!$D$15,CRONO!$F92,0))),CRONO!V$12,OFFSET(CÁLCULO!$AJ$15:$BB$15,$F92,0,OFFSET(ORÇAMENTO!$D$15,CRONO!$F92,0)))
                +IF(AND($F94&lt;&gt;"",$F94&lt;&gt;0),
                        SUMIF(CÁLCULO!$BC$15:$BU$165,CRONO!V$12,CÁLCULO!$AJ$15:$BB$165)/(ORÇAMENTO!$X$15-_xlfn.SINGLE(CÁLCULO.TotalAdmLocal))*CRONO!$F94,
                        0),
                 V93*$S92),
          SUMIF(OFFSET($S94,1,0,$R92-2),($M92+1)&amp;"$",OFFSET(V94,1,0,$R92-2)))</f>
        <v>0</v>
      </c>
      <c r="W94" s="202" cm="1">
        <f t="array" aca="1" ref="W94" ca="1">IF($R92=2,
         IF(AND(ACOMPANHAMENTO="PLE",ISNUMBER($F92)),
                SUMIF((OFFSET(CÁLCULO!$BC$15:$BU$15,$F92,0,OFFSET(ORÇAMENTO!$D$15,CRONO!$F92,0))),CRONO!W$12,OFFSET(CÁLCULO!$AJ$15:$BB$15,$F92,0,OFFSET(ORÇAMENTO!$D$15,CRONO!$F92,0)))
                +IF(AND($F94&lt;&gt;"",$F94&lt;&gt;0),
                        SUMIF(CÁLCULO!$BC$15:$BU$165,CRONO!W$12,CÁLCULO!$AJ$15:$BB$165)/(ORÇAMENTO!$X$15-_xlfn.SINGLE(CÁLCULO.TotalAdmLocal))*CRONO!$F94,
                        0),
                 W93*$S92),
          SUMIF(OFFSET($S94,1,0,$R92-2),($M92+1)&amp;"$",OFFSET(W94,1,0,$R92-2)))</f>
        <v>0</v>
      </c>
      <c r="X94" s="202" cm="1">
        <f t="array" aca="1" ref="X94" ca="1">IF($R92=2,
         IF(AND(ACOMPANHAMENTO="PLE",ISNUMBER($F92)),
                SUMIF((OFFSET(CÁLCULO!$BC$15:$BU$15,$F92,0,OFFSET(ORÇAMENTO!$D$15,CRONO!$F92,0))),CRONO!X$12,OFFSET(CÁLCULO!$AJ$15:$BB$15,$F92,0,OFFSET(ORÇAMENTO!$D$15,CRONO!$F92,0)))
                +IF(AND($F94&lt;&gt;"",$F94&lt;&gt;0),
                        SUMIF(CÁLCULO!$BC$15:$BU$165,CRONO!X$12,CÁLCULO!$AJ$15:$BB$165)/(ORÇAMENTO!$X$15-_xlfn.SINGLE(CÁLCULO.TotalAdmLocal))*CRONO!$F94,
                        0),
                 X93*$S92),
          SUMIF(OFFSET($S94,1,0,$R92-2),($M92+1)&amp;"$",OFFSET(X94,1,0,$R92-2)))</f>
        <v>0</v>
      </c>
      <c r="Y94" s="202" cm="1">
        <f t="array" aca="1" ref="Y94" ca="1">IF($R92=2,
         IF(AND(ACOMPANHAMENTO="PLE",ISNUMBER($F92)),
                SUMIF((OFFSET(CÁLCULO!$BC$15:$BU$15,$F92,0,OFFSET(ORÇAMENTO!$D$15,CRONO!$F92,0))),CRONO!Y$12,OFFSET(CÁLCULO!$AJ$15:$BB$15,$F92,0,OFFSET(ORÇAMENTO!$D$15,CRONO!$F92,0)))
                +IF(AND($F94&lt;&gt;"",$F94&lt;&gt;0),
                        SUMIF(CÁLCULO!$BC$15:$BU$165,CRONO!Y$12,CÁLCULO!$AJ$15:$BB$165)/(ORÇAMENTO!$X$15-_xlfn.SINGLE(CÁLCULO.TotalAdmLocal))*CRONO!$F94,
                        0),
                 Y93*$S92),
          SUMIF(OFFSET($S94,1,0,$R92-2),($M92+1)&amp;"$",OFFSET(Y94,1,0,$R92-2)))</f>
        <v>0</v>
      </c>
      <c r="Z94" s="202" cm="1">
        <f t="array" aca="1" ref="Z94" ca="1">IF($R92=2,
         IF(AND(ACOMPANHAMENTO="PLE",ISNUMBER($F92)),
                SUMIF((OFFSET(CÁLCULO!$BC$15:$BU$15,$F92,0,OFFSET(ORÇAMENTO!$D$15,CRONO!$F92,0))),CRONO!Z$12,OFFSET(CÁLCULO!$AJ$15:$BB$15,$F92,0,OFFSET(ORÇAMENTO!$D$15,CRONO!$F92,0)))
                +IF(AND($F94&lt;&gt;"",$F94&lt;&gt;0),
                        SUMIF(CÁLCULO!$BC$15:$BU$165,CRONO!Z$12,CÁLCULO!$AJ$15:$BB$165)/(ORÇAMENTO!$X$15-_xlfn.SINGLE(CÁLCULO.TotalAdmLocal))*CRONO!$F94,
                        0),
                 Z93*$S92),
          SUMIF(OFFSET($S94,1,0,$R92-2),($M92+1)&amp;"$",OFFSET(Z94,1,0,$R92-2)))</f>
        <v>2174.1999999999998</v>
      </c>
      <c r="AA94" s="202" cm="1">
        <f t="array" aca="1" ref="AA94" ca="1">IF($R92=2,
         IF(AND(ACOMPANHAMENTO="PLE",ISNUMBER($F92)),
                SUMIF((OFFSET(CÁLCULO!$BC$15:$BU$15,$F92,0,OFFSET(ORÇAMENTO!$D$15,CRONO!$F92,0))),CRONO!AA$12,OFFSET(CÁLCULO!$AJ$15:$BB$15,$F92,0,OFFSET(ORÇAMENTO!$D$15,CRONO!$F92,0)))
                +IF(AND($F94&lt;&gt;"",$F94&lt;&gt;0),
                        SUMIF(CÁLCULO!$BC$15:$BU$165,CRONO!AA$12,CÁLCULO!$AJ$15:$BB$165)/(ORÇAMENTO!$X$15-_xlfn.SINGLE(CÁLCULO.TotalAdmLocal))*CRONO!$F94,
                        0),
                 AA93*$S92),
          SUMIF(OFFSET($S94,1,0,$R92-2),($M92+1)&amp;"$",OFFSET(AA94,1,0,$R92-2)))</f>
        <v>0</v>
      </c>
      <c r="AB94" s="202" cm="1">
        <f t="array" aca="1" ref="AB94" ca="1">IF($R92=2,
         IF(AND(ACOMPANHAMENTO="PLE",ISNUMBER($F92)),
                SUMIF((OFFSET(CÁLCULO!$BC$15:$BU$15,$F92,0,OFFSET(ORÇAMENTO!$D$15,CRONO!$F92,0))),CRONO!AB$12,OFFSET(CÁLCULO!$AJ$15:$BB$15,$F92,0,OFFSET(ORÇAMENTO!$D$15,CRONO!$F92,0)))
                +IF(AND($F94&lt;&gt;"",$F94&lt;&gt;0),
                        SUMIF(CÁLCULO!$BC$15:$BU$165,CRONO!AB$12,CÁLCULO!$AJ$15:$BB$165)/(ORÇAMENTO!$X$15-_xlfn.SINGLE(CÁLCULO.TotalAdmLocal))*CRONO!$F94,
                        0),
                 AB93*$S92),
          SUMIF(OFFSET($S94,1,0,$R92-2),($M92+1)&amp;"$",OFFSET(AB94,1,0,$R92-2)))</f>
        <v>0</v>
      </c>
      <c r="AC94" s="202" cm="1">
        <f t="array" aca="1" ref="AC94" ca="1">IF($R92=2,
         IF(AND(ACOMPANHAMENTO="PLE",ISNUMBER($F92)),
                SUMIF((OFFSET(CÁLCULO!$BC$15:$BU$15,$F92,0,OFFSET(ORÇAMENTO!$D$15,CRONO!$F92,0))),CRONO!AC$12,OFFSET(CÁLCULO!$AJ$15:$BB$15,$F92,0,OFFSET(ORÇAMENTO!$D$15,CRONO!$F92,0)))
                +IF(AND($F94&lt;&gt;"",$F94&lt;&gt;0),
                        SUMIF(CÁLCULO!$BC$15:$BU$165,CRONO!AC$12,CÁLCULO!$AJ$15:$BB$165)/(ORÇAMENTO!$X$15-_xlfn.SINGLE(CÁLCULO.TotalAdmLocal))*CRONO!$F94,
                        0),
                 AC93*$S92),
          SUMIF(OFFSET($S94,1,0,$R92-2),($M92+1)&amp;"$",OFFSET(AC94,1,0,$R92-2)))</f>
        <v>0</v>
      </c>
      <c r="AD94" s="202" cm="1">
        <f t="array" aca="1" ref="AD94" ca="1">IF($R92=2,
         IF(AND(ACOMPANHAMENTO="PLE",ISNUMBER($F92)),
                SUMIF((OFFSET(CÁLCULO!$BC$15:$BU$15,$F92,0,OFFSET(ORÇAMENTO!$D$15,CRONO!$F92,0))),CRONO!AD$12,OFFSET(CÁLCULO!$AJ$15:$BB$15,$F92,0,OFFSET(ORÇAMENTO!$D$15,CRONO!$F92,0)))
                +IF(AND($F94&lt;&gt;"",$F94&lt;&gt;0),
                        SUMIF(CÁLCULO!$BC$15:$BU$165,CRONO!AD$12,CÁLCULO!$AJ$15:$BB$165)/(ORÇAMENTO!$X$15-_xlfn.SINGLE(CÁLCULO.TotalAdmLocal))*CRONO!$F94,
                        0),
                 AD93*$S92),
          SUMIF(OFFSET($S94,1,0,$R92-2),($M92+1)&amp;"$",OFFSET(AD94,1,0,$R92-2)))</f>
        <v>0</v>
      </c>
      <c r="AE94" s="202" cm="1">
        <f t="array" aca="1" ref="AE94" ca="1">IF($R92=2,
         IF(AND(ACOMPANHAMENTO="PLE",ISNUMBER($F92)),
                SUMIF((OFFSET(CÁLCULO!$BC$15:$BU$15,$F92,0,OFFSET(ORÇAMENTO!$D$15,CRONO!$F92,0))),CRONO!AE$12,OFFSET(CÁLCULO!$AJ$15:$BB$15,$F92,0,OFFSET(ORÇAMENTO!$D$15,CRONO!$F92,0)))
                +IF(AND($F94&lt;&gt;"",$F94&lt;&gt;0),
                        SUMIF(CÁLCULO!$BC$15:$BU$165,CRONO!AE$12,CÁLCULO!$AJ$15:$BB$165)/(ORÇAMENTO!$X$15-_xlfn.SINGLE(CÁLCULO.TotalAdmLocal))*CRONO!$F94,
                        0),
                 AE93*$S92),
          SUMIF(OFFSET($S94,1,0,$R92-2),($M92+1)&amp;"$",OFFSET(AE94,1,0,$R92-2)))</f>
        <v>0</v>
      </c>
      <c r="AF94" s="202" cm="1">
        <f t="array" aca="1" ref="AF94" ca="1">IF($R92=2,
         IF(AND(ACOMPANHAMENTO="PLE",ISNUMBER($F92)),
                SUMIF((OFFSET(CÁLCULO!$BC$15:$BU$15,$F92,0,OFFSET(ORÇAMENTO!$D$15,CRONO!$F92,0))),CRONO!AF$12,OFFSET(CÁLCULO!$AJ$15:$BB$15,$F92,0,OFFSET(ORÇAMENTO!$D$15,CRONO!$F92,0)))
                +IF(AND($F94&lt;&gt;"",$F94&lt;&gt;0),
                        SUMIF(CÁLCULO!$BC$15:$BU$165,CRONO!AF$12,CÁLCULO!$AJ$15:$BB$165)/(ORÇAMENTO!$X$15-_xlfn.SINGLE(CÁLCULO.TotalAdmLocal))*CRONO!$F94,
                        0),
                 AF93*$S92),
          SUMIF(OFFSET($S94,1,0,$R92-2),($M92+1)&amp;"$",OFFSET(AF94,1,0,$R92-2)))</f>
        <v>0</v>
      </c>
      <c r="AG94" s="534"/>
    </row>
    <row r="95" spans="1:33" ht="5.0999999999999996" customHeight="1" x14ac:dyDescent="0.25">
      <c r="E95" s="640"/>
      <c r="G95" s="185" t="s">
        <v>536</v>
      </c>
      <c r="H95" s="432"/>
      <c r="I95" s="641"/>
      <c r="J95" s="642"/>
      <c r="K95" s="642"/>
      <c r="L95" s="642"/>
      <c r="M95" s="643" t="s">
        <v>797</v>
      </c>
      <c r="N95" s="643"/>
      <c r="O95" s="643"/>
      <c r="P95" s="643"/>
      <c r="Q95" s="643"/>
      <c r="R95" s="643"/>
      <c r="S95" s="644"/>
      <c r="T95" s="644"/>
      <c r="U95" s="642"/>
      <c r="V95" s="642"/>
      <c r="W95" s="642"/>
      <c r="X95" s="642"/>
      <c r="Y95" s="642"/>
      <c r="Z95" s="642"/>
      <c r="AA95" s="642"/>
      <c r="AB95" s="642"/>
      <c r="AC95" s="642"/>
      <c r="AD95" s="642"/>
      <c r="AE95" s="642"/>
      <c r="AF95" s="642"/>
      <c r="AG95" s="534"/>
    </row>
    <row r="96" spans="1:33" ht="12.75" customHeight="1" x14ac:dyDescent="0.25">
      <c r="E96" s="528">
        <f ca="1">E100/$R$96</f>
        <v>0.40506394950977853</v>
      </c>
      <c r="G96" s="185" t="s">
        <v>536</v>
      </c>
      <c r="I96" s="768" t="str">
        <f ca="1">"Total:    R$ "&amp;TEXT(R96,"#.##0,00")</f>
        <v>Total:    R$ 1.381.623,57</v>
      </c>
      <c r="J96" s="768"/>
      <c r="K96" s="768"/>
      <c r="L96" s="227"/>
      <c r="R96" s="228">
        <f ca="1">SUMIF(M12:M95,1,S12:S95)</f>
        <v>1381623.57</v>
      </c>
      <c r="S96" s="229"/>
      <c r="T96" s="230" t="s">
        <v>798</v>
      </c>
      <c r="U96" s="528">
        <f t="shared" ref="U96:AF96" ca="1" si="158">ROUND(U100,2)/$R$96</f>
        <v>0.40506394950977853</v>
      </c>
      <c r="V96" s="528">
        <f t="shared" ca="1" si="158"/>
        <v>3.5854302919861157E-2</v>
      </c>
      <c r="W96" s="528">
        <f t="shared" ca="1" si="158"/>
        <v>6.8824911549532977E-2</v>
      </c>
      <c r="X96" s="528">
        <f t="shared" ca="1" si="158"/>
        <v>0.18395012615483969</v>
      </c>
      <c r="Y96" s="528">
        <f t="shared" ca="1" si="158"/>
        <v>4.6363395494186596E-2</v>
      </c>
      <c r="Z96" s="528">
        <f t="shared" ca="1" si="158"/>
        <v>0.25994331437180096</v>
      </c>
      <c r="AA96" s="528">
        <f t="shared" ca="1" si="158"/>
        <v>0</v>
      </c>
      <c r="AB96" s="528">
        <f t="shared" ca="1" si="158"/>
        <v>0</v>
      </c>
      <c r="AC96" s="528">
        <f t="shared" ca="1" si="158"/>
        <v>0</v>
      </c>
      <c r="AD96" s="528">
        <f t="shared" ca="1" si="158"/>
        <v>0</v>
      </c>
      <c r="AE96" s="528">
        <f t="shared" ca="1" si="158"/>
        <v>0</v>
      </c>
      <c r="AF96" s="539">
        <f t="shared" ca="1" si="158"/>
        <v>0</v>
      </c>
      <c r="AG96" s="534"/>
    </row>
    <row r="97" spans="4:33" ht="15" customHeight="1" x14ac:dyDescent="0.25">
      <c r="E97" s="231">
        <f ca="1">IF(E$12=1,ROUND(E102,2),ROUND(E102,2)-ROUND(D102,2))</f>
        <v>405063.95</v>
      </c>
      <c r="G97" s="185" t="s">
        <v>536</v>
      </c>
      <c r="I97" s="768"/>
      <c r="J97" s="768"/>
      <c r="K97" s="768"/>
      <c r="L97" s="232"/>
      <c r="R97" s="228"/>
      <c r="S97" s="233"/>
      <c r="T97" s="234" t="str">
        <f>IF(import.recurso="FGTS","Financiamento:","Repasse:")</f>
        <v>Repasse:</v>
      </c>
      <c r="U97" s="231">
        <f t="shared" ref="U97:AF97" ca="1" si="159">IF(U$12=1,ROUND(U102,2),ROUND(U102,2)-ROUND(T102,2))</f>
        <v>405063.95</v>
      </c>
      <c r="V97" s="231">
        <f t="shared" ca="1" si="159"/>
        <v>35854.299999999988</v>
      </c>
      <c r="W97" s="231">
        <f t="shared" ca="1" si="159"/>
        <v>68824.909999999974</v>
      </c>
      <c r="X97" s="231">
        <f t="shared" ca="1" si="159"/>
        <v>183950.13000000006</v>
      </c>
      <c r="Y97" s="231">
        <f t="shared" ca="1" si="159"/>
        <v>46363.399999999907</v>
      </c>
      <c r="Z97" s="231">
        <f t="shared" ca="1" si="159"/>
        <v>259943.31000000006</v>
      </c>
      <c r="AA97" s="231">
        <f t="shared" ca="1" si="159"/>
        <v>0</v>
      </c>
      <c r="AB97" s="231">
        <f t="shared" ca="1" si="159"/>
        <v>0</v>
      </c>
      <c r="AC97" s="231">
        <f t="shared" ca="1" si="159"/>
        <v>0</v>
      </c>
      <c r="AD97" s="231">
        <f t="shared" ca="1" si="159"/>
        <v>0</v>
      </c>
      <c r="AE97" s="231">
        <f t="shared" ca="1" si="159"/>
        <v>0</v>
      </c>
      <c r="AF97" s="231">
        <f t="shared" ca="1" si="159"/>
        <v>0</v>
      </c>
      <c r="AG97" s="534"/>
    </row>
    <row r="98" spans="4:33" ht="12.75" customHeight="1" x14ac:dyDescent="0.25">
      <c r="E98" s="529">
        <f ca="1">IF(E$12=1,ROUND(E103,2),ROUND(E103,2)-ROUND(D103,2))</f>
        <v>154581.95000000001</v>
      </c>
      <c r="G98" s="185" t="s">
        <v>536</v>
      </c>
      <c r="I98" s="235"/>
      <c r="L98" s="236" t="s">
        <v>799</v>
      </c>
      <c r="R98" s="228"/>
      <c r="S98" s="237"/>
      <c r="T98" s="238" t="s">
        <v>800</v>
      </c>
      <c r="U98" s="529">
        <f t="shared" ref="U98:AF98" ca="1" si="160">IF(U$12=1,ROUND(U103,2),ROUND(U103,2)-ROUND(T103,2))</f>
        <v>154581.95000000001</v>
      </c>
      <c r="V98" s="529">
        <f t="shared" ca="1" si="160"/>
        <v>13682.849999999977</v>
      </c>
      <c r="W98" s="529">
        <f t="shared" ca="1" si="160"/>
        <v>26265.210000000021</v>
      </c>
      <c r="X98" s="529">
        <f t="shared" ca="1" si="160"/>
        <v>70199.700000000012</v>
      </c>
      <c r="Y98" s="529">
        <f t="shared" ca="1" si="160"/>
        <v>17693.359999999986</v>
      </c>
      <c r="Z98" s="529">
        <f t="shared" ca="1" si="160"/>
        <v>99200.5</v>
      </c>
      <c r="AA98" s="529">
        <f t="shared" ca="1" si="160"/>
        <v>0</v>
      </c>
      <c r="AB98" s="529">
        <f t="shared" ca="1" si="160"/>
        <v>0</v>
      </c>
      <c r="AC98" s="529">
        <f t="shared" ca="1" si="160"/>
        <v>0</v>
      </c>
      <c r="AD98" s="529">
        <f t="shared" ca="1" si="160"/>
        <v>0</v>
      </c>
      <c r="AE98" s="529">
        <f t="shared" ca="1" si="160"/>
        <v>0</v>
      </c>
      <c r="AF98" s="529">
        <f t="shared" ca="1" si="160"/>
        <v>0</v>
      </c>
      <c r="AG98" s="534"/>
    </row>
    <row r="99" spans="4:33" x14ac:dyDescent="0.25">
      <c r="E99" s="239">
        <f ca="1">IF(E$12=1,ROUND(E104,2),ROUND(E104,2)-ROUND(D104,2))</f>
        <v>0</v>
      </c>
      <c r="G99" s="185" t="s">
        <v>536</v>
      </c>
      <c r="I99" s="235"/>
      <c r="L99" s="236"/>
      <c r="R99" s="228"/>
      <c r="S99" s="240"/>
      <c r="T99" s="241" t="s">
        <v>801</v>
      </c>
      <c r="U99" s="239">
        <f t="shared" ref="U99:AF99" ca="1" si="161">IF(U$12=1,ROUND(U104,2),ROUND(U104,2)-ROUND(T104,2))</f>
        <v>0</v>
      </c>
      <c r="V99" s="239">
        <f t="shared" ca="1" si="161"/>
        <v>0</v>
      </c>
      <c r="W99" s="239">
        <f t="shared" ca="1" si="161"/>
        <v>0</v>
      </c>
      <c r="X99" s="239">
        <f t="shared" ca="1" si="161"/>
        <v>0</v>
      </c>
      <c r="Y99" s="239">
        <f t="shared" ca="1" si="161"/>
        <v>0</v>
      </c>
      <c r="Z99" s="239">
        <f t="shared" ca="1" si="161"/>
        <v>0</v>
      </c>
      <c r="AA99" s="239">
        <f t="shared" ca="1" si="161"/>
        <v>0</v>
      </c>
      <c r="AB99" s="239">
        <f t="shared" ca="1" si="161"/>
        <v>0</v>
      </c>
      <c r="AC99" s="239">
        <f t="shared" ca="1" si="161"/>
        <v>0</v>
      </c>
      <c r="AD99" s="239">
        <f t="shared" ca="1" si="161"/>
        <v>0</v>
      </c>
      <c r="AE99" s="239">
        <f t="shared" ca="1" si="161"/>
        <v>0</v>
      </c>
      <c r="AF99" s="239">
        <f t="shared" ca="1" si="161"/>
        <v>0</v>
      </c>
      <c r="AG99" s="534"/>
    </row>
    <row r="100" spans="4:33" x14ac:dyDescent="0.25">
      <c r="E100" s="530">
        <f ca="1">IF(E$12=1,ROUND(E105,2),ROUND(E105,2)-ROUND(D105,2))</f>
        <v>559645.9</v>
      </c>
      <c r="G100" s="185" t="s">
        <v>536</v>
      </c>
      <c r="H100" s="536"/>
      <c r="L100" s="242"/>
      <c r="S100" s="243"/>
      <c r="T100" s="244" t="s">
        <v>802</v>
      </c>
      <c r="U100" s="530">
        <f t="shared" ref="U100:AF100" ca="1" si="162">IF(U$12=1,ROUND(U105,2),ROUND(U105,2)-ROUND(T105,2))</f>
        <v>559645.9</v>
      </c>
      <c r="V100" s="530">
        <f t="shared" ca="1" si="162"/>
        <v>49537.150000000023</v>
      </c>
      <c r="W100" s="530">
        <f t="shared" ca="1" si="162"/>
        <v>95090.12</v>
      </c>
      <c r="X100" s="530">
        <f t="shared" ca="1" si="162"/>
        <v>254149.82999999996</v>
      </c>
      <c r="Y100" s="530">
        <f t="shared" ca="1" si="162"/>
        <v>64056.760000000009</v>
      </c>
      <c r="Z100" s="530">
        <f t="shared" ca="1" si="162"/>
        <v>359143.81000000006</v>
      </c>
      <c r="AA100" s="530">
        <f t="shared" ca="1" si="162"/>
        <v>0</v>
      </c>
      <c r="AB100" s="530">
        <f t="shared" ca="1" si="162"/>
        <v>0</v>
      </c>
      <c r="AC100" s="530">
        <f t="shared" ca="1" si="162"/>
        <v>0</v>
      </c>
      <c r="AD100" s="530">
        <f t="shared" ca="1" si="162"/>
        <v>0</v>
      </c>
      <c r="AE100" s="530">
        <f t="shared" ca="1" si="162"/>
        <v>0</v>
      </c>
      <c r="AF100" s="530">
        <f t="shared" ca="1" si="162"/>
        <v>0</v>
      </c>
      <c r="AG100" s="534"/>
    </row>
    <row r="101" spans="4:33" x14ac:dyDescent="0.25">
      <c r="E101" s="528">
        <f ca="1">ROUND(ROUND(E105,2)/$R$96,4)</f>
        <v>0.40510000000000002</v>
      </c>
      <c r="G101" s="185" t="s">
        <v>536</v>
      </c>
      <c r="L101" s="227"/>
      <c r="S101" s="229"/>
      <c r="T101" s="230" t="s">
        <v>798</v>
      </c>
      <c r="U101" s="528">
        <f t="shared" ref="U101:AF101" ca="1" si="163">ROUND(ROUND(U105,2)/$R$96,4)</f>
        <v>0.40510000000000002</v>
      </c>
      <c r="V101" s="528">
        <f t="shared" ca="1" si="163"/>
        <v>0.44090000000000001</v>
      </c>
      <c r="W101" s="528">
        <f t="shared" ca="1" si="163"/>
        <v>0.50970000000000004</v>
      </c>
      <c r="X101" s="528">
        <f t="shared" ca="1" si="163"/>
        <v>0.69369999999999998</v>
      </c>
      <c r="Y101" s="528">
        <f t="shared" ca="1" si="163"/>
        <v>0.74009999999999998</v>
      </c>
      <c r="Z101" s="528">
        <f t="shared" ca="1" si="163"/>
        <v>1</v>
      </c>
      <c r="AA101" s="528">
        <f t="shared" ca="1" si="163"/>
        <v>1</v>
      </c>
      <c r="AB101" s="528">
        <f t="shared" ca="1" si="163"/>
        <v>1</v>
      </c>
      <c r="AC101" s="528">
        <f t="shared" ca="1" si="163"/>
        <v>1</v>
      </c>
      <c r="AD101" s="528">
        <f t="shared" ca="1" si="163"/>
        <v>1</v>
      </c>
      <c r="AE101" s="528">
        <f t="shared" ca="1" si="163"/>
        <v>1</v>
      </c>
      <c r="AF101" s="528">
        <f t="shared" ca="1" si="163"/>
        <v>1</v>
      </c>
      <c r="AG101" s="534"/>
    </row>
    <row r="102" spans="4:33" x14ac:dyDescent="0.25">
      <c r="E102" s="231">
        <f ca="1">ROUND(E105-E104-E103,2)</f>
        <v>405063.95</v>
      </c>
      <c r="G102" s="185" t="s">
        <v>536</v>
      </c>
      <c r="L102" s="232"/>
      <c r="S102" s="233"/>
      <c r="T102" s="234" t="str">
        <f>IF(import.recurso="FGTS","Financiamento:","Repasse:")</f>
        <v>Repasse:</v>
      </c>
      <c r="U102" s="231">
        <f t="shared" ref="U102:AF102" ca="1" si="164">ROUND(U105-U104-U103,2)</f>
        <v>405063.95</v>
      </c>
      <c r="V102" s="231">
        <f t="shared" ca="1" si="164"/>
        <v>440918.25</v>
      </c>
      <c r="W102" s="231">
        <f t="shared" ca="1" si="164"/>
        <v>509743.16</v>
      </c>
      <c r="X102" s="231">
        <f t="shared" ca="1" si="164"/>
        <v>693693.29</v>
      </c>
      <c r="Y102" s="231">
        <f t="shared" ca="1" si="164"/>
        <v>740056.69</v>
      </c>
      <c r="Z102" s="231">
        <f t="shared" ca="1" si="164"/>
        <v>1000000</v>
      </c>
      <c r="AA102" s="231">
        <f t="shared" ca="1" si="164"/>
        <v>1000000</v>
      </c>
      <c r="AB102" s="231">
        <f t="shared" ca="1" si="164"/>
        <v>1000000</v>
      </c>
      <c r="AC102" s="231">
        <f t="shared" ca="1" si="164"/>
        <v>1000000</v>
      </c>
      <c r="AD102" s="231">
        <f t="shared" ca="1" si="164"/>
        <v>1000000</v>
      </c>
      <c r="AE102" s="231">
        <f t="shared" ca="1" si="164"/>
        <v>1000000</v>
      </c>
      <c r="AF102" s="231">
        <f t="shared" ca="1" si="164"/>
        <v>1000000</v>
      </c>
      <c r="AG102" s="534"/>
    </row>
    <row r="103" spans="4:33" x14ac:dyDescent="0.25">
      <c r="E103" s="529" cm="1">
        <f t="array" aca="1" ref="E103" ca="1">IF(E$12=1,0,OFFSET(E103,0,-1))+SUM((OFFSET($C$13,1,0):OFFSET($C$95,-3,0))*IF(ISNUMBER(OFFSET(E$11,5,0):OFFSET(E$95,-1,0)),OFFSET(E$11,5,0):OFFSET(E$95,-1,0),0))</f>
        <v>154581.95049022147</v>
      </c>
      <c r="G103" s="185" t="s">
        <v>536</v>
      </c>
      <c r="L103" s="236" t="s">
        <v>803</v>
      </c>
      <c r="S103" s="237"/>
      <c r="T103" s="238" t="s">
        <v>800</v>
      </c>
      <c r="U103" s="529" cm="1">
        <f t="array" aca="1" ref="U103" ca="1">IF(U$12=1,0,OFFSET(U103,0,-1))+SUM((OFFSET($C$13,1,0):OFFSET($C$95,-3,0))*IF(ISNUMBER(OFFSET(U$11,5,0):OFFSET(U$95,-1,0)),OFFSET(U$11,5,0):OFFSET(U$95,-1,0),0))</f>
        <v>154581.95049022147</v>
      </c>
      <c r="V103" s="529" cm="1">
        <f t="array" aca="1" ref="V103" ca="1">IF(V$12=1,0,OFFSET(V103,0,-1))+SUM((OFFSET($C$13,1,0):OFFSET($C$95,-3,0))*IF(ISNUMBER(OFFSET(V$11,5,0):OFFSET(V$95,-1,0)),OFFSET(V$11,5,0):OFFSET(V$95,-1,0),0))</f>
        <v>168264.7975703603</v>
      </c>
      <c r="W103" s="529" cm="1">
        <f t="array" aca="1" ref="W103" ca="1">IF(W$12=1,0,OFFSET(W103,0,-1))+SUM((OFFSET($C$13,1,0):OFFSET($C$95,-3,0))*IF(ISNUMBER(OFFSET(W$11,5,0):OFFSET(W$95,-1,0)),OFFSET(W$11,5,0):OFFSET(W$95,-1,0),0))</f>
        <v>194530.00602082731</v>
      </c>
      <c r="X103" s="529" cm="1">
        <f t="array" aca="1" ref="X103" ca="1">IF(X$12=1,0,OFFSET(X103,0,-1))+SUM((OFFSET($C$13,1,0):OFFSET($C$95,-3,0))*IF(ISNUMBER(OFFSET(X$11,5,0):OFFSET(X$95,-1,0)),OFFSET(X$11,5,0):OFFSET(X$95,-1,0),0))</f>
        <v>264729.70986598765</v>
      </c>
      <c r="Y103" s="529" cm="1">
        <f t="array" aca="1" ref="Y103" ca="1">IF(Y$12=1,0,OFFSET(Y103,0,-1))+SUM((OFFSET($C$13,1,0):OFFSET($C$95,-3,0))*IF(ISNUMBER(OFFSET(Y$11,5,0):OFFSET(Y$95,-1,0)),OFFSET(Y$11,5,0):OFFSET(Y$95,-1,0),0))</f>
        <v>282423.07437180105</v>
      </c>
      <c r="Z103" s="529" cm="1">
        <f t="array" aca="1" ref="Z103" ca="1">IF(Z$12=1,0,OFFSET(Z103,0,-1))+SUM((OFFSET($C$13,1,0):OFFSET($C$95,-3,0))*IF(ISNUMBER(OFFSET(Z$11,5,0):OFFSET(Z$95,-1,0)),OFFSET(Z$11,5,0):OFFSET(Z$95,-1,0),0))</f>
        <v>381623.57000000007</v>
      </c>
      <c r="AA103" s="529" cm="1">
        <f t="array" aca="1" ref="AA103" ca="1">IF(AA$12=1,0,OFFSET(AA103,0,-1))+SUM((OFFSET($C$13,1,0):OFFSET($C$95,-3,0))*IF(ISNUMBER(OFFSET(AA$11,5,0):OFFSET(AA$95,-1,0)),OFFSET(AA$11,5,0):OFFSET(AA$95,-1,0),0))</f>
        <v>381623.57000000007</v>
      </c>
      <c r="AB103" s="529" cm="1">
        <f t="array" aca="1" ref="AB103" ca="1">IF(AB$12=1,0,OFFSET(AB103,0,-1))+SUM((OFFSET($C$13,1,0):OFFSET($C$95,-3,0))*IF(ISNUMBER(OFFSET(AB$11,5,0):OFFSET(AB$95,-1,0)),OFFSET(AB$11,5,0):OFFSET(AB$95,-1,0),0))</f>
        <v>381623.57000000007</v>
      </c>
      <c r="AC103" s="529" cm="1">
        <f t="array" aca="1" ref="AC103" ca="1">IF(AC$12=1,0,OFFSET(AC103,0,-1))+SUM((OFFSET($C$13,1,0):OFFSET($C$95,-3,0))*IF(ISNUMBER(OFFSET(AC$11,5,0):OFFSET(AC$95,-1,0)),OFFSET(AC$11,5,0):OFFSET(AC$95,-1,0),0))</f>
        <v>381623.57000000007</v>
      </c>
      <c r="AD103" s="529" cm="1">
        <f t="array" aca="1" ref="AD103" ca="1">IF(AD$12=1,0,OFFSET(AD103,0,-1))+SUM((OFFSET($C$13,1,0):OFFSET($C$95,-3,0))*IF(ISNUMBER(OFFSET(AD$11,5,0):OFFSET(AD$95,-1,0)),OFFSET(AD$11,5,0):OFFSET(AD$95,-1,0),0))</f>
        <v>381623.57000000007</v>
      </c>
      <c r="AE103" s="529" cm="1">
        <f t="array" aca="1" ref="AE103" ca="1">IF(AE$12=1,0,OFFSET(AE103,0,-1))+SUM((OFFSET($C$13,1,0):OFFSET($C$95,-3,0))*IF(ISNUMBER(OFFSET(AE$11,5,0):OFFSET(AE$95,-1,0)),OFFSET(AE$11,5,0):OFFSET(AE$95,-1,0),0))</f>
        <v>381623.57000000007</v>
      </c>
      <c r="AF103" s="529" cm="1">
        <f t="array" aca="1" ref="AF103" ca="1">IF(AF$12=1,0,OFFSET(AF103,0,-1))+SUM((OFFSET($C$13,1,0):OFFSET($C$95,-3,0))*IF(ISNUMBER(OFFSET(AF$11,5,0):OFFSET(AF$95,-1,0)),OFFSET(AF$11,5,0):OFFSET(AF$95,-1,0),0))</f>
        <v>381623.57000000007</v>
      </c>
      <c r="AG103" s="534"/>
    </row>
    <row r="104" spans="4:33" x14ac:dyDescent="0.25">
      <c r="E104" s="239" cm="1">
        <f t="array" aca="1" ref="E104" ca="1">IF(E$12=1,0,OFFSET(E104,0,-1))+SUM((OFFSET($D$13,1,0):OFFSET($D$95,-3,0))*IF(ISNUMBER(OFFSET(E$11,5,0):OFFSET(E$95,-1,0)),OFFSET(E$11,5,0):OFFSET(E$95,-1,0),0))</f>
        <v>0</v>
      </c>
      <c r="G104" s="185" t="s">
        <v>536</v>
      </c>
      <c r="L104" s="236"/>
      <c r="S104" s="240"/>
      <c r="T104" s="241" t="s">
        <v>801</v>
      </c>
      <c r="U104" s="239" cm="1">
        <f t="array" aca="1" ref="U104" ca="1">IF(U$12=1,0,OFFSET(U104,0,-1))+SUM((OFFSET($D$13,1,0):OFFSET($D$95,-3,0))*IF(ISNUMBER(OFFSET(U$11,5,0):OFFSET(U$95,-1,0)),OFFSET(U$11,5,0):OFFSET(U$95,-1,0),0))</f>
        <v>0</v>
      </c>
      <c r="V104" s="239" cm="1">
        <f t="array" aca="1" ref="V104" ca="1">IF(V$12=1,0,OFFSET(V104,0,-1))+SUM((OFFSET($D$13,1,0):OFFSET($D$95,-3,0))*IF(ISNUMBER(OFFSET(V$11,5,0):OFFSET(V$95,-1,0)),OFFSET(V$11,5,0):OFFSET(V$95,-1,0),0))</f>
        <v>0</v>
      </c>
      <c r="W104" s="239" cm="1">
        <f t="array" aca="1" ref="W104" ca="1">IF(W$12=1,0,OFFSET(W104,0,-1))+SUM((OFFSET($D$13,1,0):OFFSET($D$95,-3,0))*IF(ISNUMBER(OFFSET(W$11,5,0):OFFSET(W$95,-1,0)),OFFSET(W$11,5,0):OFFSET(W$95,-1,0),0))</f>
        <v>0</v>
      </c>
      <c r="X104" s="239" cm="1">
        <f t="array" aca="1" ref="X104" ca="1">IF(X$12=1,0,OFFSET(X104,0,-1))+SUM((OFFSET($D$13,1,0):OFFSET($D$95,-3,0))*IF(ISNUMBER(OFFSET(X$11,5,0):OFFSET(X$95,-1,0)),OFFSET(X$11,5,0):OFFSET(X$95,-1,0),0))</f>
        <v>0</v>
      </c>
      <c r="Y104" s="239" cm="1">
        <f t="array" aca="1" ref="Y104" ca="1">IF(Y$12=1,0,OFFSET(Y104,0,-1))+SUM((OFFSET($D$13,1,0):OFFSET($D$95,-3,0))*IF(ISNUMBER(OFFSET(Y$11,5,0):OFFSET(Y$95,-1,0)),OFFSET(Y$11,5,0):OFFSET(Y$95,-1,0),0))</f>
        <v>0</v>
      </c>
      <c r="Z104" s="239" cm="1">
        <f t="array" aca="1" ref="Z104" ca="1">IF(Z$12=1,0,OFFSET(Z104,0,-1))+SUM((OFFSET($D$13,1,0):OFFSET($D$95,-3,0))*IF(ISNUMBER(OFFSET(Z$11,5,0):OFFSET(Z$95,-1,0)),OFFSET(Z$11,5,0):OFFSET(Z$95,-1,0),0))</f>
        <v>0</v>
      </c>
      <c r="AA104" s="239" cm="1">
        <f t="array" aca="1" ref="AA104" ca="1">IF(AA$12=1,0,OFFSET(AA104,0,-1))+SUM((OFFSET($D$13,1,0):OFFSET($D$95,-3,0))*IF(ISNUMBER(OFFSET(AA$11,5,0):OFFSET(AA$95,-1,0)),OFFSET(AA$11,5,0):OFFSET(AA$95,-1,0),0))</f>
        <v>0</v>
      </c>
      <c r="AB104" s="239" cm="1">
        <f t="array" aca="1" ref="AB104" ca="1">IF(AB$12=1,0,OFFSET(AB104,0,-1))+SUM((OFFSET($D$13,1,0):OFFSET($D$95,-3,0))*IF(ISNUMBER(OFFSET(AB$11,5,0):OFFSET(AB$95,-1,0)),OFFSET(AB$11,5,0):OFFSET(AB$95,-1,0),0))</f>
        <v>0</v>
      </c>
      <c r="AC104" s="239" cm="1">
        <f t="array" aca="1" ref="AC104" ca="1">IF(AC$12=1,0,OFFSET(AC104,0,-1))+SUM((OFFSET($D$13,1,0):OFFSET($D$95,-3,0))*IF(ISNUMBER(OFFSET(AC$11,5,0):OFFSET(AC$95,-1,0)),OFFSET(AC$11,5,0):OFFSET(AC$95,-1,0),0))</f>
        <v>0</v>
      </c>
      <c r="AD104" s="239" cm="1">
        <f t="array" aca="1" ref="AD104" ca="1">IF(AD$12=1,0,OFFSET(AD104,0,-1))+SUM((OFFSET($D$13,1,0):OFFSET($D$95,-3,0))*IF(ISNUMBER(OFFSET(AD$11,5,0):OFFSET(AD$95,-1,0)),OFFSET(AD$11,5,0):OFFSET(AD$95,-1,0),0))</f>
        <v>0</v>
      </c>
      <c r="AE104" s="239" cm="1">
        <f t="array" aca="1" ref="AE104" ca="1">IF(AE$12=1,0,OFFSET(AE104,0,-1))+SUM((OFFSET($D$13,1,0):OFFSET($D$95,-3,0))*IF(ISNUMBER(OFFSET(AE$11,5,0):OFFSET(AE$95,-1,0)),OFFSET(AE$11,5,0):OFFSET(AE$95,-1,0),0))</f>
        <v>0</v>
      </c>
      <c r="AF104" s="239" cm="1">
        <f t="array" aca="1" ref="AF104" ca="1">IF(AF$12=1,0,OFFSET(AF104,0,-1))+SUM((OFFSET($D$13,1,0):OFFSET($D$95,-3,0))*IF(ISNUMBER(OFFSET(AF$11,5,0):OFFSET(AF$95,-1,0)),OFFSET(AF$11,5,0):OFFSET(AF$95,-1,0),0))</f>
        <v>0</v>
      </c>
      <c r="AG104" s="534"/>
    </row>
    <row r="105" spans="4:33" ht="13.8" thickBot="1" x14ac:dyDescent="0.3">
      <c r="D105" s="533"/>
      <c r="E105" s="531">
        <f ca="1">SUMIF($S$12:$S$95,"1$",E12:E95)+IF(E$12&gt;1,OFFSET(E105,0,-1),0)</f>
        <v>559645.9</v>
      </c>
      <c r="G105" s="185" t="s">
        <v>536</v>
      </c>
      <c r="H105" s="522" t="str" cm="1">
        <f t="array" ref="H105">IF(ACOMPANHAMENTO="BM","Selecione o Macrosserviço da Administração Local:","")</f>
        <v/>
      </c>
      <c r="I105"/>
      <c r="L105" s="236"/>
      <c r="S105" s="237"/>
      <c r="T105" s="526" t="s">
        <v>802</v>
      </c>
      <c r="U105" s="531">
        <f t="shared" ref="U105:AF105" ca="1" si="165">SUMIF($S$12:$S$95,"1$",U12:U95)+IF(U$12&gt;1,OFFSET(U105,0,-1),0)</f>
        <v>559645.9</v>
      </c>
      <c r="V105" s="531">
        <f t="shared" ca="1" si="165"/>
        <v>609183.05000000005</v>
      </c>
      <c r="W105" s="531">
        <f t="shared" ca="1" si="165"/>
        <v>704273.17</v>
      </c>
      <c r="X105" s="531">
        <f t="shared" ca="1" si="165"/>
        <v>958423</v>
      </c>
      <c r="Y105" s="531">
        <f t="shared" ca="1" si="165"/>
        <v>1022479.76</v>
      </c>
      <c r="Z105" s="531">
        <f t="shared" ca="1" si="165"/>
        <v>1381623.57</v>
      </c>
      <c r="AA105" s="531">
        <f t="shared" ca="1" si="165"/>
        <v>1381623.57</v>
      </c>
      <c r="AB105" s="531">
        <f t="shared" ca="1" si="165"/>
        <v>1381623.57</v>
      </c>
      <c r="AC105" s="531">
        <f t="shared" ca="1" si="165"/>
        <v>1381623.57</v>
      </c>
      <c r="AD105" s="531">
        <f t="shared" ca="1" si="165"/>
        <v>1381623.57</v>
      </c>
      <c r="AE105" s="531">
        <f t="shared" ca="1" si="165"/>
        <v>1381623.57</v>
      </c>
      <c r="AF105" s="540">
        <f t="shared" ca="1" si="165"/>
        <v>1381623.57</v>
      </c>
      <c r="AG105" s="534"/>
    </row>
    <row r="106" spans="4:33" ht="13.8" thickBot="1" x14ac:dyDescent="0.3">
      <c r="D106" s="533"/>
      <c r="E106" s="532" t="str">
        <f ca="1">IF($F$106="","",
  IF(ACOMPANHAMENTO="PLE",
     IF(AUTOEVENTO="Manual",
         IF(AdmLocal="Automática",
              E101,
              SUMIF(OFFSET(CRONOPLE!$F$14,CRONOPLE!$A$8+1,1,1,OFFSET(CRONOPLE!$AF$12,0,-1)),"&lt;="&amp;E$12,OFFSET(EVENTOS!$G$14,CRONOPLE!$A$8+1,1,1,OFFSET(CRONOPLE!$AF$12,0,-1)))/OFFSET(EVENTOS!$G$14,CRONOPLE!$A$8+1,-1)),
         SUMIFS(OFFSET(CÁLCULO!$AI$15,$F$106,1,OFFSET(ORÇAMENTO!$D$15,$F$106,0),CÁLCULO.FrentesPreenchidas),OFFSET(CÁLCULO!$BB$15,$F$106,1,OFFSET(ORÇAMENTO!$D$15,$F$106,0),CÁLCULO.FrentesPreenchidas),"&lt;="&amp;E$12)/OFFSET(ORÇAMENTO!$X$15,$F$106,0)),
     IF(ACOMPANHAMENTO="BM",SUM(OFFSET($T$13,$F$106+2,1,1,E$12))/OFFSET($S$13,$F$106,0),"")))</f>
        <v/>
      </c>
      <c r="F106" s="185" t="str">
        <f>IF(ACOMPANHAMENTO="PLE",
    IF(AUTOEVENTO="Manual",
        IF(AdmLocal="Automática",1,IF(CRONOPLE!$D$8&lt;&gt;"","",MATCH(Import.EventoAdmLocal,EVENTOS!$B$15:$B$65,0))),
        IF(CRONOPLE!$D$8&lt;&gt;"","",CRONOPLE!$A$10)),
    IF($H$107&lt;&gt;"","",MATCH(Import.MacrosserviçoAdmLocal,$A$13:$A$95,0)-1))</f>
        <v/>
      </c>
      <c r="G106" s="185" t="s">
        <v>536</v>
      </c>
      <c r="H106" s="733"/>
      <c r="I106" s="773"/>
      <c r="J106" s="734"/>
      <c r="L106" s="242"/>
      <c r="S106" s="525"/>
      <c r="T106" s="527" t="s">
        <v>804</v>
      </c>
      <c r="U106" s="532" t="str">
        <f ca="1">IF($F$106="","",
  IF(ACOMPANHAMENTO="PLE",
     IF(AUTOEVENTO="Manual",
         IF(AdmLocal="Automática",
              U101,
              SUMIF(OFFSET(CRONOPLE!$F$14,CRONOPLE!$A$8+1,1,1,OFFSET(CRONOPLE!$AF$12,0,-1)),"&lt;="&amp;U$12,OFFSET(EVENTOS!$G$14,CRONOPLE!$A$8+1,1,1,OFFSET(CRONOPLE!$AF$12,0,-1)))/OFFSET(EVENTOS!$G$14,CRONOPLE!$A$8+1,-1)),
         SUMIFS(OFFSET(CÁLCULO!$AI$15,$F$106,1,OFFSET(ORÇAMENTO!$D$15,$F$106,0),CÁLCULO.FrentesPreenchidas),OFFSET(CÁLCULO!$BB$15,$F$106,1,OFFSET(ORÇAMENTO!$D$15,$F$106,0),CÁLCULO.FrentesPreenchidas),"&lt;="&amp;U$12)/OFFSET(ORÇAMENTO!$X$15,$F$106,0)),
     IF(ACOMPANHAMENTO="BM",SUM(OFFSET($T$13,$F$106+2,1,1,U$12))/OFFSET($S$13,$F$106,0),"")))</f>
        <v/>
      </c>
      <c r="V106" s="532" t="str">
        <f ca="1">IF($F$106="","",
  IF(ACOMPANHAMENTO="PLE",
     IF(AUTOEVENTO="Manual",
         IF(AdmLocal="Automática",
              V101,
              SUMIF(OFFSET(CRONOPLE!$F$14,CRONOPLE!$A$8+1,1,1,OFFSET(CRONOPLE!$AF$12,0,-1)),"&lt;="&amp;V$12,OFFSET(EVENTOS!$G$14,CRONOPLE!$A$8+1,1,1,OFFSET(CRONOPLE!$AF$12,0,-1)))/OFFSET(EVENTOS!$G$14,CRONOPLE!$A$8+1,-1)),
         SUMIFS(OFFSET(CÁLCULO!$AI$15,$F$106,1,OFFSET(ORÇAMENTO!$D$15,$F$106,0),CÁLCULO.FrentesPreenchidas),OFFSET(CÁLCULO!$BB$15,$F$106,1,OFFSET(ORÇAMENTO!$D$15,$F$106,0),CÁLCULO.FrentesPreenchidas),"&lt;="&amp;V$12)/OFFSET(ORÇAMENTO!$X$15,$F$106,0)),
     IF(ACOMPANHAMENTO="BM",SUM(OFFSET($T$13,$F$106+2,1,1,V$12))/OFFSET($S$13,$F$106,0),"")))</f>
        <v/>
      </c>
      <c r="W106" s="532" t="str">
        <f ca="1">IF($F$106="","",
  IF(ACOMPANHAMENTO="PLE",
     IF(AUTOEVENTO="Manual",
         IF(AdmLocal="Automática",
              W101,
              SUMIF(OFFSET(CRONOPLE!$F$14,CRONOPLE!$A$8+1,1,1,OFFSET(CRONOPLE!$AF$12,0,-1)),"&lt;="&amp;W$12,OFFSET(EVENTOS!$G$14,CRONOPLE!$A$8+1,1,1,OFFSET(CRONOPLE!$AF$12,0,-1)))/OFFSET(EVENTOS!$G$14,CRONOPLE!$A$8+1,-1)),
         SUMIFS(OFFSET(CÁLCULO!$AI$15,$F$106,1,OFFSET(ORÇAMENTO!$D$15,$F$106,0),CÁLCULO.FrentesPreenchidas),OFFSET(CÁLCULO!$BB$15,$F$106,1,OFFSET(ORÇAMENTO!$D$15,$F$106,0),CÁLCULO.FrentesPreenchidas),"&lt;="&amp;W$12)/OFFSET(ORÇAMENTO!$X$15,$F$106,0)),
     IF(ACOMPANHAMENTO="BM",SUM(OFFSET($T$13,$F$106+2,1,1,W$12))/OFFSET($S$13,$F$106,0),"")))</f>
        <v/>
      </c>
      <c r="X106" s="532" t="str">
        <f ca="1">IF($F$106="","",
  IF(ACOMPANHAMENTO="PLE",
     IF(AUTOEVENTO="Manual",
         IF(AdmLocal="Automática",
              X101,
              SUMIF(OFFSET(CRONOPLE!$F$14,CRONOPLE!$A$8+1,1,1,OFFSET(CRONOPLE!$AF$12,0,-1)),"&lt;="&amp;X$12,OFFSET(EVENTOS!$G$14,CRONOPLE!$A$8+1,1,1,OFFSET(CRONOPLE!$AF$12,0,-1)))/OFFSET(EVENTOS!$G$14,CRONOPLE!$A$8+1,-1)),
         SUMIFS(OFFSET(CÁLCULO!$AI$15,$F$106,1,OFFSET(ORÇAMENTO!$D$15,$F$106,0),CÁLCULO.FrentesPreenchidas),OFFSET(CÁLCULO!$BB$15,$F$106,1,OFFSET(ORÇAMENTO!$D$15,$F$106,0),CÁLCULO.FrentesPreenchidas),"&lt;="&amp;X$12)/OFFSET(ORÇAMENTO!$X$15,$F$106,0)),
     IF(ACOMPANHAMENTO="BM",SUM(OFFSET($T$13,$F$106+2,1,1,X$12))/OFFSET($S$13,$F$106,0),"")))</f>
        <v/>
      </c>
      <c r="Y106" s="532" t="str">
        <f ca="1">IF($F$106="","",
  IF(ACOMPANHAMENTO="PLE",
     IF(AUTOEVENTO="Manual",
         IF(AdmLocal="Automática",
              Y101,
              SUMIF(OFFSET(CRONOPLE!$F$14,CRONOPLE!$A$8+1,1,1,OFFSET(CRONOPLE!$AF$12,0,-1)),"&lt;="&amp;Y$12,OFFSET(EVENTOS!$G$14,CRONOPLE!$A$8+1,1,1,OFFSET(CRONOPLE!$AF$12,0,-1)))/OFFSET(EVENTOS!$G$14,CRONOPLE!$A$8+1,-1)),
         SUMIFS(OFFSET(CÁLCULO!$AI$15,$F$106,1,OFFSET(ORÇAMENTO!$D$15,$F$106,0),CÁLCULO.FrentesPreenchidas),OFFSET(CÁLCULO!$BB$15,$F$106,1,OFFSET(ORÇAMENTO!$D$15,$F$106,0),CÁLCULO.FrentesPreenchidas),"&lt;="&amp;Y$12)/OFFSET(ORÇAMENTO!$X$15,$F$106,0)),
     IF(ACOMPANHAMENTO="BM",SUM(OFFSET($T$13,$F$106+2,1,1,Y$12))/OFFSET($S$13,$F$106,0),"")))</f>
        <v/>
      </c>
      <c r="Z106" s="532" t="str">
        <f ca="1">IF($F$106="","",
  IF(ACOMPANHAMENTO="PLE",
     IF(AUTOEVENTO="Manual",
         IF(AdmLocal="Automática",
              Z101,
              SUMIF(OFFSET(CRONOPLE!$F$14,CRONOPLE!$A$8+1,1,1,OFFSET(CRONOPLE!$AF$12,0,-1)),"&lt;="&amp;Z$12,OFFSET(EVENTOS!$G$14,CRONOPLE!$A$8+1,1,1,OFFSET(CRONOPLE!$AF$12,0,-1)))/OFFSET(EVENTOS!$G$14,CRONOPLE!$A$8+1,-1)),
         SUMIFS(OFFSET(CÁLCULO!$AI$15,$F$106,1,OFFSET(ORÇAMENTO!$D$15,$F$106,0),CÁLCULO.FrentesPreenchidas),OFFSET(CÁLCULO!$BB$15,$F$106,1,OFFSET(ORÇAMENTO!$D$15,$F$106,0),CÁLCULO.FrentesPreenchidas),"&lt;="&amp;Z$12)/OFFSET(ORÇAMENTO!$X$15,$F$106,0)),
     IF(ACOMPANHAMENTO="BM",SUM(OFFSET($T$13,$F$106+2,1,1,Z$12))/OFFSET($S$13,$F$106,0),"")))</f>
        <v/>
      </c>
      <c r="AA106" s="532" t="str">
        <f ca="1">IF($F$106="","",
  IF(ACOMPANHAMENTO="PLE",
     IF(AUTOEVENTO="Manual",
         IF(AdmLocal="Automática",
              AA101,
              SUMIF(OFFSET(CRONOPLE!$F$14,CRONOPLE!$A$8+1,1,1,OFFSET(CRONOPLE!$AF$12,0,-1)),"&lt;="&amp;AA$12,OFFSET(EVENTOS!$G$14,CRONOPLE!$A$8+1,1,1,OFFSET(CRONOPLE!$AF$12,0,-1)))/OFFSET(EVENTOS!$G$14,CRONOPLE!$A$8+1,-1)),
         SUMIFS(OFFSET(CÁLCULO!$AI$15,$F$106,1,OFFSET(ORÇAMENTO!$D$15,$F$106,0),CÁLCULO.FrentesPreenchidas),OFFSET(CÁLCULO!$BB$15,$F$106,1,OFFSET(ORÇAMENTO!$D$15,$F$106,0),CÁLCULO.FrentesPreenchidas),"&lt;="&amp;AA$12)/OFFSET(ORÇAMENTO!$X$15,$F$106,0)),
     IF(ACOMPANHAMENTO="BM",SUM(OFFSET($T$13,$F$106+2,1,1,AA$12))/OFFSET($S$13,$F$106,0),"")))</f>
        <v/>
      </c>
      <c r="AB106" s="532" t="str">
        <f ca="1">IF($F$106="","",
  IF(ACOMPANHAMENTO="PLE",
     IF(AUTOEVENTO="Manual",
         IF(AdmLocal="Automática",
              AB101,
              SUMIF(OFFSET(CRONOPLE!$F$14,CRONOPLE!$A$8+1,1,1,OFFSET(CRONOPLE!$AF$12,0,-1)),"&lt;="&amp;AB$12,OFFSET(EVENTOS!$G$14,CRONOPLE!$A$8+1,1,1,OFFSET(CRONOPLE!$AF$12,0,-1)))/OFFSET(EVENTOS!$G$14,CRONOPLE!$A$8+1,-1)),
         SUMIFS(OFFSET(CÁLCULO!$AI$15,$F$106,1,OFFSET(ORÇAMENTO!$D$15,$F$106,0),CÁLCULO.FrentesPreenchidas),OFFSET(CÁLCULO!$BB$15,$F$106,1,OFFSET(ORÇAMENTO!$D$15,$F$106,0),CÁLCULO.FrentesPreenchidas),"&lt;="&amp;AB$12)/OFFSET(ORÇAMENTO!$X$15,$F$106,0)),
     IF(ACOMPANHAMENTO="BM",SUM(OFFSET($T$13,$F$106+2,1,1,AB$12))/OFFSET($S$13,$F$106,0),"")))</f>
        <v/>
      </c>
      <c r="AC106" s="532" t="str">
        <f ca="1">IF($F$106="","",
  IF(ACOMPANHAMENTO="PLE",
     IF(AUTOEVENTO="Manual",
         IF(AdmLocal="Automática",
              AC101,
              SUMIF(OFFSET(CRONOPLE!$F$14,CRONOPLE!$A$8+1,1,1,OFFSET(CRONOPLE!$AF$12,0,-1)),"&lt;="&amp;AC$12,OFFSET(EVENTOS!$G$14,CRONOPLE!$A$8+1,1,1,OFFSET(CRONOPLE!$AF$12,0,-1)))/OFFSET(EVENTOS!$G$14,CRONOPLE!$A$8+1,-1)),
         SUMIFS(OFFSET(CÁLCULO!$AI$15,$F$106,1,OFFSET(ORÇAMENTO!$D$15,$F$106,0),CÁLCULO.FrentesPreenchidas),OFFSET(CÁLCULO!$BB$15,$F$106,1,OFFSET(ORÇAMENTO!$D$15,$F$106,0),CÁLCULO.FrentesPreenchidas),"&lt;="&amp;AC$12)/OFFSET(ORÇAMENTO!$X$15,$F$106,0)),
     IF(ACOMPANHAMENTO="BM",SUM(OFFSET($T$13,$F$106+2,1,1,AC$12))/OFFSET($S$13,$F$106,0),"")))</f>
        <v/>
      </c>
      <c r="AD106" s="532" t="str">
        <f ca="1">IF($F$106="","",
  IF(ACOMPANHAMENTO="PLE",
     IF(AUTOEVENTO="Manual",
         IF(AdmLocal="Automática",
              AD101,
              SUMIF(OFFSET(CRONOPLE!$F$14,CRONOPLE!$A$8+1,1,1,OFFSET(CRONOPLE!$AF$12,0,-1)),"&lt;="&amp;AD$12,OFFSET(EVENTOS!$G$14,CRONOPLE!$A$8+1,1,1,OFFSET(CRONOPLE!$AF$12,0,-1)))/OFFSET(EVENTOS!$G$14,CRONOPLE!$A$8+1,-1)),
         SUMIFS(OFFSET(CÁLCULO!$AI$15,$F$106,1,OFFSET(ORÇAMENTO!$D$15,$F$106,0),CÁLCULO.FrentesPreenchidas),OFFSET(CÁLCULO!$BB$15,$F$106,1,OFFSET(ORÇAMENTO!$D$15,$F$106,0),CÁLCULO.FrentesPreenchidas),"&lt;="&amp;AD$12)/OFFSET(ORÇAMENTO!$X$15,$F$106,0)),
     IF(ACOMPANHAMENTO="BM",SUM(OFFSET($T$13,$F$106+2,1,1,AD$12))/OFFSET($S$13,$F$106,0),"")))</f>
        <v/>
      </c>
      <c r="AE106" s="532" t="str">
        <f ca="1">IF($F$106="","",
  IF(ACOMPANHAMENTO="PLE",
     IF(AUTOEVENTO="Manual",
         IF(AdmLocal="Automática",
              AE101,
              SUMIF(OFFSET(CRONOPLE!$F$14,CRONOPLE!$A$8+1,1,1,OFFSET(CRONOPLE!$AF$12,0,-1)),"&lt;="&amp;AE$12,OFFSET(EVENTOS!$G$14,CRONOPLE!$A$8+1,1,1,OFFSET(CRONOPLE!$AF$12,0,-1)))/OFFSET(EVENTOS!$G$14,CRONOPLE!$A$8+1,-1)),
         SUMIFS(OFFSET(CÁLCULO!$AI$15,$F$106,1,OFFSET(ORÇAMENTO!$D$15,$F$106,0),CÁLCULO.FrentesPreenchidas),OFFSET(CÁLCULO!$BB$15,$F$106,1,OFFSET(ORÇAMENTO!$D$15,$F$106,0),CÁLCULO.FrentesPreenchidas),"&lt;="&amp;AE$12)/OFFSET(ORÇAMENTO!$X$15,$F$106,0)),
     IF(ACOMPANHAMENTO="BM",SUM(OFFSET($T$13,$F$106+2,1,1,AE$12))/OFFSET($S$13,$F$106,0),"")))</f>
        <v/>
      </c>
      <c r="AF106" s="532" t="str">
        <f ca="1">IF($F$106="","",
  IF(ACOMPANHAMENTO="PLE",
     IF(AUTOEVENTO="Manual",
         IF(AdmLocal="Automática",
              AF101,
              SUMIF(OFFSET(CRONOPLE!$F$14,CRONOPLE!$A$8+1,1,1,OFFSET(CRONOPLE!$AF$12,0,-1)),"&lt;="&amp;AF$12,OFFSET(EVENTOS!$G$14,CRONOPLE!$A$8+1,1,1,OFFSET(CRONOPLE!$AF$12,0,-1)))/OFFSET(EVENTOS!$G$14,CRONOPLE!$A$8+1,-1)),
         SUMIFS(OFFSET(CÁLCULO!$AI$15,$F$106,1,OFFSET(ORÇAMENTO!$D$15,$F$106,0),CÁLCULO.FrentesPreenchidas),OFFSET(CÁLCULO!$BB$15,$F$106,1,OFFSET(ORÇAMENTO!$D$15,$F$106,0),CÁLCULO.FrentesPreenchidas),"&lt;="&amp;AF$12)/OFFSET(ORÇAMENTO!$X$15,$F$106,0)),
     IF(ACOMPANHAMENTO="BM",SUM(OFFSET($T$13,$F$106+2,1,1,AF$12))/OFFSET($S$13,$F$106,0),"")))</f>
        <v/>
      </c>
      <c r="AG106" s="534"/>
    </row>
    <row r="107" spans="4:33" ht="17.100000000000001" customHeight="1" x14ac:dyDescent="0.3">
      <c r="G107" s="185" t="s">
        <v>536</v>
      </c>
      <c r="H107" s="571" t="str" cm="1">
        <f t="array" ref="H107">IF(AND(ACOMPANHAMENTO="BM",$H$106=""),"↑ Não foi indicado o Macrosserviço de Administração Local","")</f>
        <v/>
      </c>
      <c r="T107" s="583" t="str">
        <f ca="1">IF(COUNTIF(U107:AG107,"%Adm&gt;%Global")&gt;0,"Verificar proporcionalidade da Administração Local","")</f>
        <v/>
      </c>
      <c r="U107" s="535" t="str">
        <f ca="1">IF(U106="","",IF(ROUND(U106,4)&gt;ROUND(U101,4),"%Adm&gt;%Global",""))</f>
        <v/>
      </c>
      <c r="V107" s="535" t="str">
        <f t="shared" ref="V107:AG107" ca="1" si="166">IF(V106="","",IF(ROUND(V106,4)&gt;ROUND(V101,4),"%Adm&gt;%Global",""))</f>
        <v/>
      </c>
      <c r="W107" s="535" t="str">
        <f t="shared" ca="1" si="166"/>
        <v/>
      </c>
      <c r="X107" s="535" t="str">
        <f t="shared" ca="1" si="166"/>
        <v/>
      </c>
      <c r="Y107" s="535" t="str">
        <f t="shared" ca="1" si="166"/>
        <v/>
      </c>
      <c r="Z107" s="535" t="str">
        <f t="shared" ca="1" si="166"/>
        <v/>
      </c>
      <c r="AA107" s="535" t="str">
        <f t="shared" ca="1" si="166"/>
        <v/>
      </c>
      <c r="AB107" s="535" t="str">
        <f t="shared" ca="1" si="166"/>
        <v/>
      </c>
      <c r="AC107" s="535" t="str">
        <f t="shared" ca="1" si="166"/>
        <v/>
      </c>
      <c r="AD107" s="535" t="str">
        <f t="shared" ca="1" si="166"/>
        <v/>
      </c>
      <c r="AE107" s="535" t="str">
        <f t="shared" ca="1" si="166"/>
        <v/>
      </c>
      <c r="AF107" s="535" t="str">
        <f t="shared" ca="1" si="166"/>
        <v/>
      </c>
      <c r="AG107" s="535" t="str">
        <f t="shared" si="166"/>
        <v/>
      </c>
    </row>
    <row r="108" spans="4:33" ht="32.25" customHeight="1" x14ac:dyDescent="0.25">
      <c r="G108" s="185" t="s">
        <v>536</v>
      </c>
      <c r="I108" s="724" t="str">
        <f>Import.Município</f>
        <v>SARANDI/RS</v>
      </c>
      <c r="J108" s="724"/>
      <c r="K108" s="724"/>
      <c r="L108" s="724"/>
      <c r="M108" s="724"/>
      <c r="N108" s="724"/>
      <c r="O108" s="724"/>
      <c r="P108" s="724"/>
      <c r="Q108" s="724"/>
      <c r="R108" s="724"/>
      <c r="S108" s="724"/>
      <c r="AA108" s="460"/>
      <c r="AB108" s="460"/>
      <c r="AC108" s="460"/>
      <c r="AD108" s="460"/>
      <c r="AE108" s="462"/>
      <c r="AF108" s="462"/>
    </row>
    <row r="109" spans="4:33" x14ac:dyDescent="0.25">
      <c r="G109" s="185" t="s">
        <v>536</v>
      </c>
      <c r="I109" s="9" t="s">
        <v>693</v>
      </c>
      <c r="J109"/>
      <c r="K109"/>
      <c r="L109"/>
      <c r="AA109" s="181" t="s">
        <v>696</v>
      </c>
      <c r="AB109" s="181"/>
      <c r="AC109" s="181"/>
      <c r="AD109" s="181"/>
      <c r="AE109" s="185"/>
      <c r="AF109" s="185"/>
    </row>
    <row r="110" spans="4:33" x14ac:dyDescent="0.25">
      <c r="G110" s="185" t="s">
        <v>536</v>
      </c>
      <c r="I110"/>
      <c r="J110"/>
      <c r="K110"/>
      <c r="L110"/>
      <c r="AA110" s="398" t="str">
        <f t="array" aca="1" ref="AA110:AA112" ca="1">OFFSET(Import.RespOrçamento,0,-1) &amp; " " &amp; Import.RespOrçamento</f>
        <v>Nome: LEONARDO HENRIQUE ZAMBERLAN</v>
      </c>
      <c r="AC110"/>
      <c r="AD110" s="79"/>
      <c r="AE110" s="185"/>
      <c r="AF110" s="185"/>
    </row>
    <row r="111" spans="4:33" x14ac:dyDescent="0.25">
      <c r="G111" s="185" t="s">
        <v>536</v>
      </c>
      <c r="I111" s="772">
        <f>DADOS!$C$25</f>
        <v>46034</v>
      </c>
      <c r="J111" s="772"/>
      <c r="K111" s="772"/>
      <c r="L111" s="180"/>
      <c r="M111" s="245"/>
      <c r="N111" s="245"/>
      <c r="O111" s="245"/>
      <c r="P111" s="245"/>
      <c r="Q111" s="245"/>
      <c r="R111" s="245"/>
      <c r="S111" s="246"/>
      <c r="AA111" s="398" t="str">
        <f ca="1"/>
        <v>CREA/CAU: CREA-RS 242523</v>
      </c>
      <c r="AC111" s="79"/>
      <c r="AD111" s="79"/>
      <c r="AE111" s="185"/>
      <c r="AF111" s="185"/>
    </row>
    <row r="112" spans="4:33" x14ac:dyDescent="0.25">
      <c r="G112" s="185" t="s">
        <v>536</v>
      </c>
      <c r="I112" s="9" t="s">
        <v>694</v>
      </c>
      <c r="J112"/>
      <c r="K112"/>
      <c r="L112"/>
      <c r="AA112" s="398" t="str">
        <f ca="1"/>
        <v xml:space="preserve">ART/RRT: </v>
      </c>
      <c r="AC112" s="79"/>
      <c r="AD112" s="79"/>
      <c r="AE112" s="185"/>
      <c r="AF112" s="185"/>
    </row>
  </sheetData>
  <sheetProtection algorithmName="SHA-512" hashValue="5+kxmUFsStyg3Y4QHjZuV4qbV6e310chrlXFX662fLM6KB5wwS72/10xvCe9DmNIeEPEYp/2OtSVClA8pmCCQg==" saltValue="yChUzwn7KsuSRksZap2klg==" spinCount="100000" sheet="1" objects="1" scenarios="1" autoFilter="0"/>
  <autoFilter ref="G13:G112"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111:K111"/>
    <mergeCell ref="I108:S108"/>
    <mergeCell ref="H106:J106"/>
    <mergeCell ref="S12:S13"/>
    <mergeCell ref="T12:T13"/>
    <mergeCell ref="L8:T8"/>
    <mergeCell ref="U8:Y8"/>
    <mergeCell ref="K10:T11"/>
    <mergeCell ref="I96:K97"/>
  </mergeCells>
  <phoneticPr fontId="38" type="noConversion"/>
  <conditionalFormatting sqref="U12:U13">
    <cfRule type="expression" dxfId="263" priority="13988" stopIfTrue="1">
      <formula>NOT(ISNUMBER(T$12))</formula>
    </cfRule>
  </conditionalFormatting>
  <conditionalFormatting sqref="E2 U2:AF2">
    <cfRule type="expression" dxfId="262" priority="13989" stopIfTrue="1">
      <formula>AND(ISNUMBER($H1),$H1&lt;&gt;0)</formula>
    </cfRule>
  </conditionalFormatting>
  <conditionalFormatting sqref="I2:S2">
    <cfRule type="expression" dxfId="261" priority="13990" stopIfTrue="1">
      <formula>$M1=2</formula>
    </cfRule>
    <cfRule type="expression" dxfId="260" priority="13991" stopIfTrue="1">
      <formula>AND($M1=1,$S1&lt;&gt;"")</formula>
    </cfRule>
  </conditionalFormatting>
  <conditionalFormatting sqref="I1:S1">
    <cfRule type="expression" dxfId="259" priority="13992" stopIfTrue="1">
      <formula>$M1=2</formula>
    </cfRule>
    <cfRule type="expression" dxfId="258" priority="13993" stopIfTrue="1">
      <formula>AND($M1=1,$S1&lt;&gt;"")</formula>
    </cfRule>
  </conditionalFormatting>
  <conditionalFormatting sqref="E96 E98 E100:E101 E103 E105 U105:AF105 U96:AF96 U98:AF98 U100:AF101 U103:AF103">
    <cfRule type="expression" dxfId="257" priority="13994" stopIfTrue="1">
      <formula>D$101=1</formula>
    </cfRule>
  </conditionalFormatting>
  <conditionalFormatting sqref="E97 E99 E102 E104 E106 U97:AF97 U99:AF99 U102:AF102 U104:AF104 U106:AF106">
    <cfRule type="expression" dxfId="256" priority="13995" stopIfTrue="1">
      <formula>D$101=1</formula>
    </cfRule>
  </conditionalFormatting>
  <conditionalFormatting sqref="AF7:AF8">
    <cfRule type="expression" dxfId="255" priority="13999" stopIfTrue="1">
      <formula>OR(TIPOORCAMENTO&lt;&gt;"Licitado",QCI.ExisteManual)</formula>
    </cfRule>
  </conditionalFormatting>
  <conditionalFormatting sqref="Z7:AE8">
    <cfRule type="expression" dxfId="254" priority="13987" stopIfTrue="1">
      <formula>QCI.ExisteManual</formula>
    </cfRule>
  </conditionalFormatting>
  <conditionalFormatting sqref="H2">
    <cfRule type="expression" dxfId="253" priority="10133">
      <formula>AND(H1&lt;&gt;0,ISNUMBER(H1))</formula>
    </cfRule>
  </conditionalFormatting>
  <conditionalFormatting sqref="E106 U106:AF106">
    <cfRule type="expression" dxfId="252" priority="10124">
      <formula>ROUND(E106,4)&gt;ROUND(E101,4)</formula>
    </cfRule>
  </conditionalFormatting>
  <conditionalFormatting sqref="H1">
    <cfRule type="expression" dxfId="251" priority="10123">
      <formula>AND(H1&lt;&gt;0,ISNUMBER(H1))</formula>
    </cfRule>
  </conditionalFormatting>
  <conditionalFormatting sqref="H106:J106">
    <cfRule type="expression" dxfId="250" priority="10122">
      <formula>$H$105=""</formula>
    </cfRule>
  </conditionalFormatting>
  <conditionalFormatting sqref="E106">
    <cfRule type="expression" dxfId="249" priority="10115" stopIfTrue="1">
      <formula>D$101=1</formula>
    </cfRule>
  </conditionalFormatting>
  <conditionalFormatting sqref="E1">
    <cfRule type="expression" dxfId="248" priority="10112" stopIfTrue="1">
      <formula>E1&lt;&gt;0</formula>
    </cfRule>
  </conditionalFormatting>
  <conditionalFormatting sqref="E2">
    <cfRule type="expression" dxfId="247" priority="10111">
      <formula>AND(_xlfn.SINGLE(ACOMPANHAMENTO)="BM",E2&gt;ROUND(E2,4))</formula>
    </cfRule>
  </conditionalFormatting>
  <conditionalFormatting sqref="E106">
    <cfRule type="expression" dxfId="246" priority="10110" stopIfTrue="1">
      <formula>D$101=1</formula>
    </cfRule>
  </conditionalFormatting>
  <conditionalFormatting sqref="U1:AF1">
    <cfRule type="expression" dxfId="245" priority="10109" stopIfTrue="1">
      <formula>U1&lt;&gt;0</formula>
    </cfRule>
  </conditionalFormatting>
  <conditionalFormatting sqref="U2:AF2">
    <cfRule type="expression" dxfId="244" priority="10108">
      <formula>AND(_xlfn.SINGLE(ACOMPANHAMENTO)="BM",U2&gt;ROUND(U2,4))</formula>
    </cfRule>
  </conditionalFormatting>
  <conditionalFormatting sqref="E15 E18 E21 U15:AF15 U18:AF18 U21:AF21">
    <cfRule type="expression" dxfId="243" priority="249" stopIfTrue="1">
      <formula>AND(ISNUMBER($H14),$H14&lt;&gt;0)</formula>
    </cfRule>
  </conditionalFormatting>
  <conditionalFormatting sqref="I15:S15 I18:S18 I21:S21">
    <cfRule type="expression" dxfId="242" priority="250" stopIfTrue="1">
      <formula>$M14=2</formula>
    </cfRule>
    <cfRule type="expression" dxfId="241" priority="251" stopIfTrue="1">
      <formula>AND($M14=1,$S14&lt;&gt;"")</formula>
    </cfRule>
  </conditionalFormatting>
  <conditionalFormatting sqref="I14:S14 I17:S17 I20:S20">
    <cfRule type="expression" dxfId="240" priority="252" stopIfTrue="1">
      <formula>$M14=2</formula>
    </cfRule>
    <cfRule type="expression" dxfId="239" priority="253" stopIfTrue="1">
      <formula>AND($M14=1,$S14&lt;&gt;"")</formula>
    </cfRule>
  </conditionalFormatting>
  <conditionalFormatting sqref="H15 H18 H21">
    <cfRule type="expression" dxfId="238" priority="248">
      <formula>AND(H14&lt;&gt;0,ISNUMBER(H14))</formula>
    </cfRule>
  </conditionalFormatting>
  <conditionalFormatting sqref="H14 H17 H20">
    <cfRule type="expression" dxfId="237" priority="247">
      <formula>AND(H14&lt;&gt;0,ISNUMBER(H14))</formula>
    </cfRule>
  </conditionalFormatting>
  <conditionalFormatting sqref="E14 E17 E20">
    <cfRule type="expression" dxfId="236" priority="246" stopIfTrue="1">
      <formula>E14&lt;&gt;0</formula>
    </cfRule>
  </conditionalFormatting>
  <conditionalFormatting sqref="E15 E18 E21">
    <cfRule type="expression" dxfId="235" priority="245">
      <formula>AND(_xlfn.SINGLE(ACOMPANHAMENTO)="BM",E15&gt;ROUND(E15,4))</formula>
    </cfRule>
  </conditionalFormatting>
  <conditionalFormatting sqref="U14:AF14 U17:AF17 U20:AF20">
    <cfRule type="expression" dxfId="234" priority="244" stopIfTrue="1">
      <formula>U14&lt;&gt;0</formula>
    </cfRule>
  </conditionalFormatting>
  <conditionalFormatting sqref="U15:AF15 U18:AF18 U21:AF21">
    <cfRule type="expression" dxfId="233" priority="243">
      <formula>AND(_xlfn.SINGLE(ACOMPANHAMENTO)="BM",U15&gt;ROUND(U15,4))</formula>
    </cfRule>
  </conditionalFormatting>
  <conditionalFormatting sqref="E24 E27 E30 U24:AF24 U27:AF27 U30:AF30">
    <cfRule type="expression" dxfId="232" priority="238" stopIfTrue="1">
      <formula>AND(ISNUMBER($H23),$H23&lt;&gt;0)</formula>
    </cfRule>
  </conditionalFormatting>
  <conditionalFormatting sqref="I24:S24 I27:S27 I30:S30">
    <cfRule type="expression" dxfId="231" priority="239" stopIfTrue="1">
      <formula>$M23=2</formula>
    </cfRule>
    <cfRule type="expression" dxfId="230" priority="240" stopIfTrue="1">
      <formula>AND($M23=1,$S23&lt;&gt;"")</formula>
    </cfRule>
  </conditionalFormatting>
  <conditionalFormatting sqref="I23:S23 I26:S26 I29:S29">
    <cfRule type="expression" dxfId="229" priority="241" stopIfTrue="1">
      <formula>$M23=2</formula>
    </cfRule>
    <cfRule type="expression" dxfId="228" priority="242" stopIfTrue="1">
      <formula>AND($M23=1,$S23&lt;&gt;"")</formula>
    </cfRule>
  </conditionalFormatting>
  <conditionalFormatting sqref="H24 H27 H30">
    <cfRule type="expression" dxfId="227" priority="237">
      <formula>AND(H23&lt;&gt;0,ISNUMBER(H23))</formula>
    </cfRule>
  </conditionalFormatting>
  <conditionalFormatting sqref="H23 H26 H29">
    <cfRule type="expression" dxfId="226" priority="236">
      <formula>AND(H23&lt;&gt;0,ISNUMBER(H23))</formula>
    </cfRule>
  </conditionalFormatting>
  <conditionalFormatting sqref="E23 E26 E29">
    <cfRule type="expression" dxfId="225" priority="235" stopIfTrue="1">
      <formula>E23&lt;&gt;0</formula>
    </cfRule>
  </conditionalFormatting>
  <conditionalFormatting sqref="E24 E27 E30">
    <cfRule type="expression" dxfId="224" priority="234">
      <formula>AND(_xlfn.SINGLE(ACOMPANHAMENTO)="BM",E24&gt;ROUND(E24,4))</formula>
    </cfRule>
  </conditionalFormatting>
  <conditionalFormatting sqref="U23:AF23 U26:AF26 U29:AF29">
    <cfRule type="expression" dxfId="223" priority="233" stopIfTrue="1">
      <formula>U23&lt;&gt;0</formula>
    </cfRule>
  </conditionalFormatting>
  <conditionalFormatting sqref="U24:AF24 U27:AF27 U30:AF30">
    <cfRule type="expression" dxfId="222" priority="232">
      <formula>AND(_xlfn.SINGLE(ACOMPANHAMENTO)="BM",U24&gt;ROUND(U24,4))</formula>
    </cfRule>
  </conditionalFormatting>
  <conditionalFormatting sqref="E33 E36 E39 U33:AF33 U36:AF36 U39:AF39">
    <cfRule type="expression" dxfId="221" priority="227" stopIfTrue="1">
      <formula>AND(ISNUMBER($H32),$H32&lt;&gt;0)</formula>
    </cfRule>
  </conditionalFormatting>
  <conditionalFormatting sqref="I33:S33 I36:S36 I39:S39">
    <cfRule type="expression" dxfId="220" priority="228" stopIfTrue="1">
      <formula>$M32=2</formula>
    </cfRule>
    <cfRule type="expression" dxfId="219" priority="229" stopIfTrue="1">
      <formula>AND($M32=1,$S32&lt;&gt;"")</formula>
    </cfRule>
  </conditionalFormatting>
  <conditionalFormatting sqref="I32:S32 I35:S35 I38:S38">
    <cfRule type="expression" dxfId="218" priority="230" stopIfTrue="1">
      <formula>$M32=2</formula>
    </cfRule>
    <cfRule type="expression" dxfId="217" priority="231" stopIfTrue="1">
      <formula>AND($M32=1,$S32&lt;&gt;"")</formula>
    </cfRule>
  </conditionalFormatting>
  <conditionalFormatting sqref="H33 H36 H39">
    <cfRule type="expression" dxfId="216" priority="226">
      <formula>AND(H32&lt;&gt;0,ISNUMBER(H32))</formula>
    </cfRule>
  </conditionalFormatting>
  <conditionalFormatting sqref="H32 H35 H38">
    <cfRule type="expression" dxfId="215" priority="225">
      <formula>AND(H32&lt;&gt;0,ISNUMBER(H32))</formula>
    </cfRule>
  </conditionalFormatting>
  <conditionalFormatting sqref="E32 E35 E38">
    <cfRule type="expression" dxfId="214" priority="224" stopIfTrue="1">
      <formula>E32&lt;&gt;0</formula>
    </cfRule>
  </conditionalFormatting>
  <conditionalFormatting sqref="E33 E36 E39">
    <cfRule type="expression" dxfId="213" priority="223">
      <formula>AND(_xlfn.SINGLE(ACOMPANHAMENTO)="BM",E33&gt;ROUND(E33,4))</formula>
    </cfRule>
  </conditionalFormatting>
  <conditionalFormatting sqref="U32:AF32 U35:AF35 U38:AF38">
    <cfRule type="expression" dxfId="212" priority="222" stopIfTrue="1">
      <formula>U32&lt;&gt;0</formula>
    </cfRule>
  </conditionalFormatting>
  <conditionalFormatting sqref="U33:AF33 U36:AF36 U39:AF39">
    <cfRule type="expression" dxfId="211" priority="221">
      <formula>AND(_xlfn.SINGLE(ACOMPANHAMENTO)="BM",U33&gt;ROUND(U33,4))</formula>
    </cfRule>
  </conditionalFormatting>
  <conditionalFormatting sqref="E42 E45 E48 U42:AF42 U45:AF45 U48:AF48">
    <cfRule type="expression" dxfId="210" priority="62" stopIfTrue="1">
      <formula>AND(ISNUMBER($H41),$H41&lt;&gt;0)</formula>
    </cfRule>
  </conditionalFormatting>
  <conditionalFormatting sqref="I42:S42 I45:S45 I48:S48">
    <cfRule type="expression" dxfId="209" priority="63" stopIfTrue="1">
      <formula>$M41=2</formula>
    </cfRule>
    <cfRule type="expression" dxfId="208" priority="64" stopIfTrue="1">
      <formula>AND($M41=1,$S41&lt;&gt;"")</formula>
    </cfRule>
  </conditionalFormatting>
  <conditionalFormatting sqref="I41:S41 I44:S44 I47:S47">
    <cfRule type="expression" dxfId="207" priority="65" stopIfTrue="1">
      <formula>$M41=2</formula>
    </cfRule>
    <cfRule type="expression" dxfId="206" priority="66" stopIfTrue="1">
      <formula>AND($M41=1,$S41&lt;&gt;"")</formula>
    </cfRule>
  </conditionalFormatting>
  <conditionalFormatting sqref="H42 H45 H48">
    <cfRule type="expression" dxfId="205" priority="61">
      <formula>AND(H41&lt;&gt;0,ISNUMBER(H41))</formula>
    </cfRule>
  </conditionalFormatting>
  <conditionalFormatting sqref="H41 H44 H47">
    <cfRule type="expression" dxfId="204" priority="60">
      <formula>AND(H41&lt;&gt;0,ISNUMBER(H41))</formula>
    </cfRule>
  </conditionalFormatting>
  <conditionalFormatting sqref="E41 E44 E47">
    <cfRule type="expression" dxfId="203" priority="59" stopIfTrue="1">
      <formula>E41&lt;&gt;0</formula>
    </cfRule>
  </conditionalFormatting>
  <conditionalFormatting sqref="E42 E45 E48">
    <cfRule type="expression" dxfId="202" priority="58">
      <formula>AND(_xlfn.SINGLE(ACOMPANHAMENTO)="BM",E42&gt;ROUND(E42,4))</formula>
    </cfRule>
  </conditionalFormatting>
  <conditionalFormatting sqref="U41:AF41 U44:AF44 U47:AF47">
    <cfRule type="expression" dxfId="201" priority="57" stopIfTrue="1">
      <formula>U41&lt;&gt;0</formula>
    </cfRule>
  </conditionalFormatting>
  <conditionalFormatting sqref="U42:AF42 U45:AF45 U48:AF48">
    <cfRule type="expression" dxfId="200" priority="56">
      <formula>AND(_xlfn.SINGLE(ACOMPANHAMENTO)="BM",U42&gt;ROUND(U42,4))</formula>
    </cfRule>
  </conditionalFormatting>
  <conditionalFormatting sqref="E51 E54 E57 U51:AF51 U54:AF54 U57:AF57">
    <cfRule type="expression" dxfId="199" priority="51" stopIfTrue="1">
      <formula>AND(ISNUMBER($H50),$H50&lt;&gt;0)</formula>
    </cfRule>
  </conditionalFormatting>
  <conditionalFormatting sqref="I51:S51 I54:S54 I57:S57">
    <cfRule type="expression" dxfId="198" priority="52" stopIfTrue="1">
      <formula>$M50=2</formula>
    </cfRule>
    <cfRule type="expression" dxfId="197" priority="53" stopIfTrue="1">
      <formula>AND($M50=1,$S50&lt;&gt;"")</formula>
    </cfRule>
  </conditionalFormatting>
  <conditionalFormatting sqref="I50:S50 I53:S53 I56:S56">
    <cfRule type="expression" dxfId="196" priority="54" stopIfTrue="1">
      <formula>$M50=2</formula>
    </cfRule>
    <cfRule type="expression" dxfId="195" priority="55" stopIfTrue="1">
      <formula>AND($M50=1,$S50&lt;&gt;"")</formula>
    </cfRule>
  </conditionalFormatting>
  <conditionalFormatting sqref="H51 H54 H57">
    <cfRule type="expression" dxfId="194" priority="50">
      <formula>AND(H50&lt;&gt;0,ISNUMBER(H50))</formula>
    </cfRule>
  </conditionalFormatting>
  <conditionalFormatting sqref="H50 H53 H56">
    <cfRule type="expression" dxfId="193" priority="49">
      <formula>AND(H50&lt;&gt;0,ISNUMBER(H50))</formula>
    </cfRule>
  </conditionalFormatting>
  <conditionalFormatting sqref="E50 E53 E56">
    <cfRule type="expression" dxfId="192" priority="48" stopIfTrue="1">
      <formula>E50&lt;&gt;0</formula>
    </cfRule>
  </conditionalFormatting>
  <conditionalFormatting sqref="E51 E54 E57">
    <cfRule type="expression" dxfId="191" priority="47">
      <formula>AND(_xlfn.SINGLE(ACOMPANHAMENTO)="BM",E51&gt;ROUND(E51,4))</formula>
    </cfRule>
  </conditionalFormatting>
  <conditionalFormatting sqref="U50:AF50 U53:AF53 U56:AF56">
    <cfRule type="expression" dxfId="190" priority="46" stopIfTrue="1">
      <formula>U50&lt;&gt;0</formula>
    </cfRule>
  </conditionalFormatting>
  <conditionalFormatting sqref="U51:AF51 U54:AF54 U57:AF57">
    <cfRule type="expression" dxfId="189" priority="45">
      <formula>AND(_xlfn.SINGLE(ACOMPANHAMENTO)="BM",U51&gt;ROUND(U51,4))</formula>
    </cfRule>
  </conditionalFormatting>
  <conditionalFormatting sqref="E60 E63 E66 U60:AF60 U63:AF63 U66:AF66">
    <cfRule type="expression" dxfId="188" priority="40" stopIfTrue="1">
      <formula>AND(ISNUMBER($H59),$H59&lt;&gt;0)</formula>
    </cfRule>
  </conditionalFormatting>
  <conditionalFormatting sqref="I60:S60 I63:S63 I66:S66">
    <cfRule type="expression" dxfId="187" priority="41" stopIfTrue="1">
      <formula>$M59=2</formula>
    </cfRule>
    <cfRule type="expression" dxfId="186" priority="42" stopIfTrue="1">
      <formula>AND($M59=1,$S59&lt;&gt;"")</formula>
    </cfRule>
  </conditionalFormatting>
  <conditionalFormatting sqref="I59:S59 I62:S62 I65:S65">
    <cfRule type="expression" dxfId="185" priority="43" stopIfTrue="1">
      <formula>$M59=2</formula>
    </cfRule>
    <cfRule type="expression" dxfId="184" priority="44" stopIfTrue="1">
      <formula>AND($M59=1,$S59&lt;&gt;"")</formula>
    </cfRule>
  </conditionalFormatting>
  <conditionalFormatting sqref="H60 H63 H66">
    <cfRule type="expression" dxfId="183" priority="39">
      <formula>AND(H59&lt;&gt;0,ISNUMBER(H59))</formula>
    </cfRule>
  </conditionalFormatting>
  <conditionalFormatting sqref="H59 H62 H65">
    <cfRule type="expression" dxfId="182" priority="38">
      <formula>AND(H59&lt;&gt;0,ISNUMBER(H59))</formula>
    </cfRule>
  </conditionalFormatting>
  <conditionalFormatting sqref="E59 E62 E65">
    <cfRule type="expression" dxfId="181" priority="37" stopIfTrue="1">
      <formula>E59&lt;&gt;0</formula>
    </cfRule>
  </conditionalFormatting>
  <conditionalFormatting sqref="E60 E63 E66">
    <cfRule type="expression" dxfId="180" priority="36">
      <formula>AND(_xlfn.SINGLE(ACOMPANHAMENTO)="BM",E60&gt;ROUND(E60,4))</formula>
    </cfRule>
  </conditionalFormatting>
  <conditionalFormatting sqref="U59:AF59 U62:AF62 U65:AF65">
    <cfRule type="expression" dxfId="179" priority="35" stopIfTrue="1">
      <formula>U59&lt;&gt;0</formula>
    </cfRule>
  </conditionalFormatting>
  <conditionalFormatting sqref="U60:AF60 U63:AF63 U66:AF66">
    <cfRule type="expression" dxfId="178" priority="34">
      <formula>AND(_xlfn.SINGLE(ACOMPANHAMENTO)="BM",U60&gt;ROUND(U60,4))</formula>
    </cfRule>
  </conditionalFormatting>
  <conditionalFormatting sqref="E69 E72 E75 U69:AF69 U72:AF72 U75:AF75">
    <cfRule type="expression" dxfId="177" priority="29" stopIfTrue="1">
      <formula>AND(ISNUMBER($H68),$H68&lt;&gt;0)</formula>
    </cfRule>
  </conditionalFormatting>
  <conditionalFormatting sqref="I69:S69 I72:S72 I75:S75">
    <cfRule type="expression" dxfId="176" priority="30" stopIfTrue="1">
      <formula>$M68=2</formula>
    </cfRule>
    <cfRule type="expression" dxfId="175" priority="31" stopIfTrue="1">
      <formula>AND($M68=1,$S68&lt;&gt;"")</formula>
    </cfRule>
  </conditionalFormatting>
  <conditionalFormatting sqref="I68:S68 I71:S71 I74:S74">
    <cfRule type="expression" dxfId="174" priority="32" stopIfTrue="1">
      <formula>$M68=2</formula>
    </cfRule>
    <cfRule type="expression" dxfId="173" priority="33" stopIfTrue="1">
      <formula>AND($M68=1,$S68&lt;&gt;"")</formula>
    </cfRule>
  </conditionalFormatting>
  <conditionalFormatting sqref="H69 H72 H75">
    <cfRule type="expression" dxfId="172" priority="28">
      <formula>AND(H68&lt;&gt;0,ISNUMBER(H68))</formula>
    </cfRule>
  </conditionalFormatting>
  <conditionalFormatting sqref="H68 H71 H74">
    <cfRule type="expression" dxfId="171" priority="27">
      <formula>AND(H68&lt;&gt;0,ISNUMBER(H68))</formula>
    </cfRule>
  </conditionalFormatting>
  <conditionalFormatting sqref="E68 E71 E74">
    <cfRule type="expression" dxfId="170" priority="26" stopIfTrue="1">
      <formula>E68&lt;&gt;0</formula>
    </cfRule>
  </conditionalFormatting>
  <conditionalFormatting sqref="E69 E72 E75">
    <cfRule type="expression" dxfId="169" priority="25">
      <formula>AND(_xlfn.SINGLE(ACOMPANHAMENTO)="BM",E69&gt;ROUND(E69,4))</formula>
    </cfRule>
  </conditionalFormatting>
  <conditionalFormatting sqref="U68:AF68 U71:AF71 U74:AF74">
    <cfRule type="expression" dxfId="168" priority="24" stopIfTrue="1">
      <formula>U68&lt;&gt;0</formula>
    </cfRule>
  </conditionalFormatting>
  <conditionalFormatting sqref="U69:AF69 U72:AF72 U75:AF75">
    <cfRule type="expression" dxfId="167" priority="23">
      <formula>AND(_xlfn.SINGLE(ACOMPANHAMENTO)="BM",U69&gt;ROUND(U69,4))</formula>
    </cfRule>
  </conditionalFormatting>
  <conditionalFormatting sqref="E78 E81 E84 U78:AF78 U81:AF81 U84:AF84">
    <cfRule type="expression" dxfId="166" priority="18" stopIfTrue="1">
      <formula>AND(ISNUMBER($H77),$H77&lt;&gt;0)</formula>
    </cfRule>
  </conditionalFormatting>
  <conditionalFormatting sqref="I78:S78 I81:S81 I84:S84">
    <cfRule type="expression" dxfId="165" priority="19" stopIfTrue="1">
      <formula>$M77=2</formula>
    </cfRule>
    <cfRule type="expression" dxfId="164" priority="20" stopIfTrue="1">
      <formula>AND($M77=1,$S77&lt;&gt;"")</formula>
    </cfRule>
  </conditionalFormatting>
  <conditionalFormatting sqref="I77:S77 I80:S80 I83:S83">
    <cfRule type="expression" dxfId="163" priority="21" stopIfTrue="1">
      <formula>$M77=2</formula>
    </cfRule>
    <cfRule type="expression" dxfId="162" priority="22" stopIfTrue="1">
      <formula>AND($M77=1,$S77&lt;&gt;"")</formula>
    </cfRule>
  </conditionalFormatting>
  <conditionalFormatting sqref="H78 H81 H84">
    <cfRule type="expression" dxfId="161" priority="17">
      <formula>AND(H77&lt;&gt;0,ISNUMBER(H77))</formula>
    </cfRule>
  </conditionalFormatting>
  <conditionalFormatting sqref="H77 H80 H83">
    <cfRule type="expression" dxfId="160" priority="16">
      <formula>AND(H77&lt;&gt;0,ISNUMBER(H77))</formula>
    </cfRule>
  </conditionalFormatting>
  <conditionalFormatting sqref="E77 E80 E83">
    <cfRule type="expression" dxfId="159" priority="15" stopIfTrue="1">
      <formula>E77&lt;&gt;0</formula>
    </cfRule>
  </conditionalFormatting>
  <conditionalFormatting sqref="E78 E81 E84">
    <cfRule type="expression" dxfId="158" priority="14">
      <formula>AND(_xlfn.SINGLE(ACOMPANHAMENTO)="BM",E78&gt;ROUND(E78,4))</formula>
    </cfRule>
  </conditionalFormatting>
  <conditionalFormatting sqref="U77:AF77 U80:AF80 U83:AF83">
    <cfRule type="expression" dxfId="157" priority="13" stopIfTrue="1">
      <formula>U77&lt;&gt;0</formula>
    </cfRule>
  </conditionalFormatting>
  <conditionalFormatting sqref="U78:AF78 U81:AF81 U84:AF84">
    <cfRule type="expression" dxfId="156" priority="12">
      <formula>AND(_xlfn.SINGLE(ACOMPANHAMENTO)="BM",U78&gt;ROUND(U78,4))</formula>
    </cfRule>
  </conditionalFormatting>
  <conditionalFormatting sqref="E87 E90 E93 U87:AF87 U90:AF90 U93:AF93">
    <cfRule type="expression" dxfId="155" priority="7" stopIfTrue="1">
      <formula>AND(ISNUMBER($H86),$H86&lt;&gt;0)</formula>
    </cfRule>
  </conditionalFormatting>
  <conditionalFormatting sqref="I87:S87 I90:S90 I93:S93">
    <cfRule type="expression" dxfId="154" priority="8" stopIfTrue="1">
      <formula>$M86=2</formula>
    </cfRule>
    <cfRule type="expression" dxfId="153" priority="9" stopIfTrue="1">
      <formula>AND($M86=1,$S86&lt;&gt;"")</formula>
    </cfRule>
  </conditionalFormatting>
  <conditionalFormatting sqref="I86:S86 I89:S89 I92:S92">
    <cfRule type="expression" dxfId="152" priority="10" stopIfTrue="1">
      <formula>$M86=2</formula>
    </cfRule>
    <cfRule type="expression" dxfId="151" priority="11" stopIfTrue="1">
      <formula>AND($M86=1,$S86&lt;&gt;"")</formula>
    </cfRule>
  </conditionalFormatting>
  <conditionalFormatting sqref="H87 H90 H93">
    <cfRule type="expression" dxfId="150" priority="6">
      <formula>AND(H86&lt;&gt;0,ISNUMBER(H86))</formula>
    </cfRule>
  </conditionalFormatting>
  <conditionalFormatting sqref="H86 H89 H92">
    <cfRule type="expression" dxfId="149" priority="5">
      <formula>AND(H86&lt;&gt;0,ISNUMBER(H86))</formula>
    </cfRule>
  </conditionalFormatting>
  <conditionalFormatting sqref="E86 E89 E92">
    <cfRule type="expression" dxfId="148" priority="4" stopIfTrue="1">
      <formula>E86&lt;&gt;0</formula>
    </cfRule>
  </conditionalFormatting>
  <conditionalFormatting sqref="E87 E90 E93">
    <cfRule type="expression" dxfId="147" priority="3">
      <formula>AND(_xlfn.SINGLE(ACOMPANHAMENTO)="BM",E87&gt;ROUND(E87,4))</formula>
    </cfRule>
  </conditionalFormatting>
  <conditionalFormatting sqref="U86:AF86 U89:AF89 U92:AF92">
    <cfRule type="expression" dxfId="146" priority="2" stopIfTrue="1">
      <formula>U86&lt;&gt;0</formula>
    </cfRule>
  </conditionalFormatting>
  <conditionalFormatting sqref="U87:AF87 U90:AF90 U93:AF93">
    <cfRule type="expression" dxfId="145" priority="1">
      <formula>AND(_xlfn.SINGLE(ACOMPANHAMENTO)="BM",U87&gt;ROUND(U87,4))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06:J106"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&amp;LPMv3.13&amp;R&amp;P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3.2" x14ac:dyDescent="0.25"/>
  <cols>
    <col min="1" max="1" width="15.88671875" hidden="1" customWidth="1"/>
    <col min="2" max="2" width="10.44140625" hidden="1" customWidth="1"/>
    <col min="3" max="3" width="3.5546875" customWidth="1"/>
    <col min="4" max="4" width="6.5546875" customWidth="1"/>
    <col min="5" max="5" width="18.5546875" customWidth="1"/>
    <col min="6" max="6" width="28.5546875" customWidth="1"/>
    <col min="7" max="7" width="35.5546875" customWidth="1"/>
    <col min="8" max="8" width="15.5546875" customWidth="1"/>
    <col min="9" max="9" width="12.5546875" customWidth="1"/>
    <col min="10" max="10" width="7.5546875" customWidth="1"/>
    <col min="11" max="15" width="16.5546875" customWidth="1"/>
    <col min="16" max="17" width="5.5546875" customWidth="1"/>
    <col min="18" max="18" width="35.5546875" customWidth="1"/>
    <col min="19" max="19" width="1.5546875" customWidth="1"/>
    <col min="20" max="21" width="16.5546875" customWidth="1"/>
    <col min="22" max="22" width="13.5546875" customWidth="1"/>
    <col min="23" max="24" width="16.5546875" customWidth="1"/>
    <col min="25" max="25" width="1.5546875" customWidth="1"/>
    <col min="26" max="28" width="9.109375" hidden="1" customWidth="1"/>
    <col min="29" max="29" width="3.5546875" hidden="1" customWidth="1"/>
    <col min="30" max="30" width="13.44140625" hidden="1" customWidth="1"/>
    <col min="31" max="31" width="9.109375" hidden="1" customWidth="1"/>
  </cols>
  <sheetData>
    <row r="1" spans="1:31" ht="30" customHeight="1" x14ac:dyDescent="0.25">
      <c r="A1" s="654" t="s">
        <v>981</v>
      </c>
      <c r="F1" s="272" t="s">
        <v>805</v>
      </c>
      <c r="I1" s="8"/>
      <c r="J1" s="8"/>
      <c r="O1" s="492" t="s">
        <v>757</v>
      </c>
      <c r="P1" s="86"/>
    </row>
    <row r="2" spans="1:31" x14ac:dyDescent="0.25">
      <c r="A2" t="s">
        <v>976</v>
      </c>
      <c r="Z2" t="s">
        <v>806</v>
      </c>
      <c r="AA2" s="88" t="s">
        <v>807</v>
      </c>
      <c r="AB2" s="77"/>
    </row>
    <row r="3" spans="1:31" x14ac:dyDescent="0.25">
      <c r="A3" t="s">
        <v>977</v>
      </c>
      <c r="D3" s="701" t="s">
        <v>650</v>
      </c>
      <c r="E3" s="701"/>
      <c r="F3" s="87" t="s">
        <v>707</v>
      </c>
      <c r="G3" s="701" t="s">
        <v>652</v>
      </c>
      <c r="H3" s="701"/>
      <c r="I3" s="701"/>
      <c r="J3" s="782" t="s">
        <v>808</v>
      </c>
      <c r="K3" s="782"/>
      <c r="L3" s="782"/>
      <c r="M3" s="783" t="s">
        <v>809</v>
      </c>
      <c r="N3" s="783"/>
      <c r="O3" s="783"/>
      <c r="Z3" s="102">
        <f ca="1">MAX(Z7:AB7)</f>
        <v>0.27621385324224024</v>
      </c>
      <c r="AA3" s="273">
        <f ca="1">IF(OR($O$24=ORÇAMENTO.SumINVMANUAL+QCI.SumINVMANUAL,$O$24=0),0,MIN(MAX(0,($Z$3*$O$24-ORÇAMENTO.SumCPMANUAL-QCI.SumCPMANUAL)/($O$24-ORÇAMENTO.SumINVMANUAL-QCI.SumINVMANUAL)),1))</f>
        <v>0.27621385324224024</v>
      </c>
      <c r="AB3" s="92"/>
    </row>
    <row r="4" spans="1:31" x14ac:dyDescent="0.25">
      <c r="A4" t="s">
        <v>978</v>
      </c>
      <c r="D4" s="704">
        <f>Import.CR</f>
        <v>0</v>
      </c>
      <c r="E4" s="704"/>
      <c r="F4" s="56">
        <f>Import.TransfereGOV</f>
        <v>0</v>
      </c>
      <c r="G4" s="704" t="str">
        <f>Import.Proponente</f>
        <v>MUNICÍPIO DE SARANDI</v>
      </c>
      <c r="H4" s="704"/>
      <c r="I4" s="704"/>
      <c r="J4" s="784" t="str">
        <f>Import.Município</f>
        <v>SARANDI/RS</v>
      </c>
      <c r="K4" s="784"/>
      <c r="L4" s="784"/>
      <c r="M4" s="783"/>
      <c r="N4" s="783"/>
      <c r="O4" s="783"/>
      <c r="R4" s="129"/>
      <c r="Z4" s="92"/>
      <c r="AA4" s="92"/>
      <c r="AB4" s="92"/>
    </row>
    <row r="5" spans="1:31" ht="5.0999999999999996" customHeight="1" x14ac:dyDescent="0.25">
      <c r="A5" t="s">
        <v>979</v>
      </c>
      <c r="M5" s="265"/>
      <c r="O5" s="4"/>
    </row>
    <row r="6" spans="1:31" x14ac:dyDescent="0.25">
      <c r="A6" t="s">
        <v>980</v>
      </c>
      <c r="D6" s="701" t="s">
        <v>708</v>
      </c>
      <c r="E6" s="701"/>
      <c r="F6" s="701"/>
      <c r="G6" s="701"/>
      <c r="H6" s="701"/>
      <c r="I6" s="701"/>
      <c r="J6" s="701"/>
      <c r="K6" s="701"/>
      <c r="L6" s="274" t="s">
        <v>715</v>
      </c>
      <c r="M6" s="87" t="str">
        <f>IF(import.recurso="FGTS","FINANCIAMENTO","REPASSE")</f>
        <v>REPASSE</v>
      </c>
      <c r="N6" s="87" t="s">
        <v>810</v>
      </c>
      <c r="O6" s="87" t="s">
        <v>811</v>
      </c>
      <c r="Z6" t="s">
        <v>812</v>
      </c>
      <c r="AA6" t="s">
        <v>813</v>
      </c>
      <c r="AB6" t="s">
        <v>814</v>
      </c>
    </row>
    <row r="7" spans="1:31" ht="12.75" customHeight="1" x14ac:dyDescent="0.25">
      <c r="A7" s="658" t="s">
        <v>983</v>
      </c>
      <c r="C7" s="694" t="s">
        <v>655</v>
      </c>
      <c r="D7" s="704" t="str">
        <f>Import.Apelido</f>
        <v>PAVIMENTAÇÃO ASFÁLTICA EM DIVERSOS TRECHOS NO MUNICÍPIO DE SARANDI</v>
      </c>
      <c r="E7" s="704"/>
      <c r="F7" s="704"/>
      <c r="G7" s="704"/>
      <c r="H7" s="704"/>
      <c r="I7" s="704"/>
      <c r="J7" s="704"/>
      <c r="K7" s="704"/>
      <c r="L7" s="275" t="str">
        <f>import.recurso</f>
        <v>(SELECIONAR)</v>
      </c>
      <c r="M7" s="276">
        <f>Import.Repasse</f>
        <v>1000000</v>
      </c>
      <c r="N7" s="276">
        <f>Import.Contrapartida</f>
        <v>387623.57</v>
      </c>
      <c r="O7" s="276">
        <f>M7+N7</f>
        <v>1387623.57</v>
      </c>
      <c r="Z7" s="102">
        <f>ROUND(Import.CPMinPerc,4)</f>
        <v>0</v>
      </c>
      <c r="AA7" s="102">
        <f ca="1">IF($O$24=0,0,Import.CPMinAbsoluta/$O$24)</f>
        <v>0</v>
      </c>
      <c r="AB7" s="102">
        <f ca="1">IF($O$24=0,0,($O$24-$AB$24-Import.Repasse)/($O$24))</f>
        <v>0.27621385324224024</v>
      </c>
    </row>
    <row r="8" spans="1:31" x14ac:dyDescent="0.25">
      <c r="A8" t="s">
        <v>819</v>
      </c>
      <c r="C8" s="694"/>
      <c r="D8" s="92"/>
      <c r="E8" s="92"/>
      <c r="F8" s="277"/>
      <c r="G8" s="92"/>
      <c r="H8" s="92"/>
      <c r="I8" s="92"/>
      <c r="J8" s="92"/>
      <c r="K8" s="92"/>
      <c r="L8" s="92"/>
      <c r="M8" s="92"/>
      <c r="N8" s="92"/>
      <c r="O8" s="92"/>
    </row>
    <row r="9" spans="1:31" ht="12.75" customHeight="1" x14ac:dyDescent="0.25">
      <c r="A9" t="s">
        <v>982</v>
      </c>
      <c r="C9" s="694"/>
      <c r="G9" s="781"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IF(OFFSET($A$24,-1,0)&lt;OFFSET(ORÇAMENTO!$E$165,-1,0),"ERRO: NÚMERO DE LINHAS DO QCI INSUFICIENTE. CLIQUE NO BOTÃO ADICIONAR LINHAS",
  "")))))))</f>
        <v>PREENCHIMENTO INCOMPLETO DA TABELA PRINCIPAL DO QCI</v>
      </c>
      <c r="H9" s="781"/>
      <c r="I9" s="512"/>
      <c r="J9" s="511"/>
      <c r="K9" s="780" t="s">
        <v>815</v>
      </c>
      <c r="L9" s="278" t="str">
        <f>$L$13</f>
        <v>Repasse (R$)</v>
      </c>
      <c r="M9" s="278" t="s">
        <v>741</v>
      </c>
      <c r="AD9" s="778"/>
      <c r="AE9" s="778"/>
    </row>
    <row r="10" spans="1:31" ht="12.75" customHeight="1" x14ac:dyDescent="0.25">
      <c r="A10" s="777" t="s">
        <v>816</v>
      </c>
      <c r="C10" s="694"/>
      <c r="G10" s="781"/>
      <c r="H10" s="781"/>
      <c r="I10" s="512"/>
      <c r="J10" s="511"/>
      <c r="K10" s="780"/>
      <c r="L10" s="279">
        <f ca="1">Import.Repasse-L24</f>
        <v>0</v>
      </c>
      <c r="M10" s="280">
        <f ca="1">Import.Contrapartida-M24</f>
        <v>6000.0000000000582</v>
      </c>
      <c r="Z10" s="714" t="s">
        <v>721</v>
      </c>
      <c r="AA10" s="714"/>
      <c r="AB10" s="714"/>
      <c r="AD10" s="778" t="s">
        <v>817</v>
      </c>
      <c r="AE10" s="778"/>
    </row>
    <row r="11" spans="1:31" ht="20.100000000000001" customHeight="1" x14ac:dyDescent="0.3">
      <c r="A11" s="777"/>
      <c r="C11" s="694"/>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5">
      <c r="A12">
        <f ca="1">IF(NOT(ISBLANK(QCI.DescManual)),OFFSET(A12,-1,0),D12)</f>
        <v>-1</v>
      </c>
      <c r="B12" t="str">
        <f ca="1">IF(NOT(ISBLANK(QCI.DescManual)),IF(QCI.Divisao="Calculado","Manual","SemiAuto"),IF(ISERROR(MATCH($A12,ORÇAMENTO!$E$15:$E$165,0)),"Branco","Automático"))</f>
        <v>Branco</v>
      </c>
      <c r="C12" t="str">
        <f ca="1">IF(O12&gt;0,"F","")</f>
        <v/>
      </c>
      <c r="D12" s="281">
        <f>ROW()-ROW($D$13)</f>
        <v>-1</v>
      </c>
      <c r="E12" s="118"/>
      <c r="F12" s="118"/>
      <c r="G12" s="163" t="str">
        <f ca="1">IF(OR($B12="Manual",$B12="SemiAuto"),QCI.DescManual,IF($B12="Automático",INDEX(ORÇAMENTO!$R$15:$R$165,MATCH($A12,ORÇAMENTO!$E$15:$E$165,0)),""))</f>
        <v/>
      </c>
      <c r="H12" s="118"/>
      <c r="I12" s="464"/>
      <c r="J12" s="282" t="str">
        <f ca="1">IF(AND(ISBLANK(E12),ISBLANK(F12)),"",VLOOKUP($F12,OFFSET(DADOS!$A$2,1,MATCH(QCI!$E12,DADOS!$2:$2,0)-1,100,50),2,FALSE))</f>
        <v/>
      </c>
      <c r="K12" s="463" t="str">
        <f ca="1">IF(OR($B12="Manual",$B12="SemiAuto"),QCI.LoteManual,IF($B12="Automático",IF(TIPOORCAMENTO="Licitado",Import.CTEF,"LOTE 1"),""))</f>
        <v/>
      </c>
      <c r="L12" s="283">
        <f ca="1">ROUND($O12,2)-ROUND($M12,2)-ROUND($N12,2)</f>
        <v>0</v>
      </c>
      <c r="M12" s="284">
        <f ca="1">ROUND($AA12,2)-ROUND($AE12,2)</f>
        <v>0</v>
      </c>
      <c r="N12" s="285">
        <f ca="1">ROUND($AB12,2)</f>
        <v>0</v>
      </c>
      <c r="O12" s="286">
        <f ca="1">IF($B12="Branco",0,IF(OR($B12="Manual",$B12="SemiAuto"),QCI.InvManual,INDEX(ORÇAMENTO!X$15:X$165,MATCH($A12,ORÇAMENTO!$E$15:$E$165,0))))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f ca="1">IF($B12="Branco",0,IF($B12="Manual",QCI.CPManual,IF($B12="SemiAuto",ROUND(QCI!$AA$3*QCI.InvManual,2),INDEX(ORÇAMENTO!$AA$15:$AA$165,MATCH($A12,ORÇAMENTO!$E$15:$E$165,0)))))</f>
        <v>0</v>
      </c>
      <c r="AB12">
        <f ca="1">IF($B12="Branco",0,IF($B12="Manual",QCI.OutrosManual,IF($B12="SemiAuto",0,INDEX(ORÇAMENTO!$AB$15:$AB$165,MATCH($A12,ORÇAMENTO!$E$15:$E$165,0)))))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5">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5">
      <c r="A14">
        <f t="shared" ref="A14:A23" ca="1" si="0">IF(NOT(ISBLANK(QCI.DescManual)),OFFSET(A14,-1,0),D14)</f>
        <v>1</v>
      </c>
      <c r="B14" t="str">
        <f ca="1">IF(NOT(ISBLANK(QCI.DescManual)),IF(QCI.Divisao="Calculado","Manual","SemiAuto"),IF(ISERROR(MATCH($A14,ORÇAMENTO!$E$15:$E$165,0)),"Branco","Automático"))</f>
        <v>Automático</v>
      </c>
      <c r="C14" t="str">
        <f t="shared" ref="C14:C22" ca="1" si="1">IF(O14&gt;0,"F","")</f>
        <v>F</v>
      </c>
      <c r="D14" s="281">
        <f t="shared" ref="D14:D22" si="2">ROW()-ROW($D$13)</f>
        <v>1</v>
      </c>
      <c r="E14" s="118"/>
      <c r="F14" s="118"/>
      <c r="G14" s="163" t="str">
        <f ca="1">IF(OR($B14="Manual",$B14="SemiAuto"),QCI.DescManual,IF($B14="Automático",INDEX(ORÇAMENTO!$R$15:$R$165,MATCH($A14,ORÇAMENTO!$E$15:$E$165,0)),""))</f>
        <v>RERPERFILAMENTO E CBUQ SOBRE CALÇAMENTO AV. SETE DE SETEMBRO LOTEAMENTO BEM MORAR (TRECHO 2)</v>
      </c>
      <c r="H14" s="118"/>
      <c r="I14" s="464"/>
      <c r="J14" s="282" t="str">
        <f ca="1">IF(AND(ISBLANK(E14),ISBLANK(F14)),"",VLOOKUP($F14,OFFSET(DADOS!$A$2,1,MATCH(QCI!$E14,DADOS!$2:$2,0)-1,100,50),2,FALSE))</f>
        <v/>
      </c>
      <c r="K14" s="463" t="str">
        <f ca="1">IF(OR($B14="Manual",$B14="SemiAuto"),QCI.LoteManual,IF($B14="Automático",IF(TIPOORCAMENTO="Licitado",Import.CTEF,"LOTE 1"),""))</f>
        <v>LOTE 1</v>
      </c>
      <c r="L14" s="283">
        <f t="shared" ref="L14:L22" ca="1" si="3">ROUND($O14,2)-ROUND($M14,2)-ROUND($N14,2)</f>
        <v>360610.32999999996</v>
      </c>
      <c r="M14" s="284">
        <f t="shared" ref="M14:M22" ca="1" si="4">ROUND($AA14,2)-ROUND($AE14,2)</f>
        <v>137617.4</v>
      </c>
      <c r="N14" s="285">
        <f t="shared" ref="N14:N22" ca="1" si="5">ROUND($AB14,2)</f>
        <v>0</v>
      </c>
      <c r="O14" s="286">
        <f ca="1">IF($B14="Branco",0,IF(OR($B14="Manual",$B14="SemiAuto"),QCI.InvManual,INDEX(ORÇAMENTO!X$15:X$165,MATCH($A14,ORÇAMENTO!$E$15:$E$165,0))))</f>
        <v>498227.73</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360610.32890456542</v>
      </c>
      <c r="AA14">
        <f ca="1">IF($B14="Branco",0,IF($B14="Manual",QCI.CPManual,IF($B14="SemiAuto",ROUND(QCI!$AA$3*QCI.InvManual,2),INDEX(ORÇAMENTO!$AA$15:$AA$165,MATCH($A14,ORÇAMENTO!$E$15:$E$165,0)))))</f>
        <v>137617.40109543453</v>
      </c>
      <c r="AB14">
        <f ca="1">IF($B14="Branco",0,IF($B14="Manual",QCI.OutrosManual,IF($B14="SemiAuto",0,INDEX(ORÇAMENTO!$AB$15:$AB$165,MATCH($A14,ORÇAMENTO!$E$15:$E$165,0)))))</f>
        <v>0</v>
      </c>
      <c r="AD14" s="289" t="b">
        <f ca="1">AND($AA$3&gt;0,$AA$3&lt;1,$O14&gt;0,OR($B14="Automático",$B14="SemiAuto"),OR(QCI!$Z$3=QCI!$Z$7,QCI!$Z$3=QCI!$AA$7,QCI!$Z$3=QCI!$AB$7))</f>
        <v>1</v>
      </c>
      <c r="AE14" s="289">
        <f ca="1">IF(AND($AD14,$O14&gt;0,COUNTIF(OFFSET($AD14,1,0):$AD$24,TRUE)=0),CHOOSE(1+LOG(1+2*(QCI!$Z$3=QCI!$Z$7)+4*(QCI!$Z$3=QCI!$AA$7)+8*(QCI!$Z$3=QCI!$AB$7),2),0,$AA$24-ROUND(Import.CPMinPerc*$O$24,2),$AA$24-Import.CPMinAbsoluta,Import.Repasse-$Z$24),0)</f>
        <v>0</v>
      </c>
    </row>
    <row r="15" spans="1:31" ht="30" customHeight="1" x14ac:dyDescent="0.25">
      <c r="A15">
        <f t="shared" ca="1" si="0"/>
        <v>2</v>
      </c>
      <c r="B15" t="str">
        <f ca="1">IF(NOT(ISBLANK(QCI.DescManual)),IF(QCI.Divisao="Calculado","Manual","SemiAuto"),IF(ISERROR(MATCH($A15,ORÇAMENTO!$E$15:$E$165,0)),"Branco","Automático"))</f>
        <v>Automático</v>
      </c>
      <c r="C15" t="str">
        <f t="shared" ca="1" si="1"/>
        <v>F</v>
      </c>
      <c r="D15" s="281">
        <f t="shared" si="2"/>
        <v>2</v>
      </c>
      <c r="E15" s="118"/>
      <c r="F15" s="118"/>
      <c r="G15" s="163" t="str">
        <f ca="1">IF(OR($B15="Manual",$B15="SemiAuto"),QCI.DescManual,IF($B15="Automático",INDEX(ORÇAMENTO!$R$15:$R$165,MATCH($A15,ORÇAMENTO!$E$15:$E$165,0)),""))</f>
        <v>REPERFILAMENTO EM CBUQ SOBRE CALÇAMENTO ESTRADA DE ACESSO À SANGA DO LEÃO (TRECHO 3)</v>
      </c>
      <c r="H15" s="118"/>
      <c r="I15" s="464"/>
      <c r="J15" s="282" t="str">
        <f ca="1">IF(AND(ISBLANK(E15),ISBLANK(F15)),"",VLOOKUP($F15,OFFSET(DADOS!$A$2,1,MATCH(QCI!$E15,DADOS!$2:$2,0)-1,100,50),2,FALSE))</f>
        <v/>
      </c>
      <c r="K15" s="463" t="str">
        <f ca="1">IF(OR($B15="Manual",$B15="SemiAuto"),QCI.LoteManual,IF($B15="Automático",IF(TIPOORCAMENTO="Licitado",Import.CTEF,"LOTE 1"),""))</f>
        <v>LOTE 1</v>
      </c>
      <c r="L15" s="283">
        <f t="shared" ca="1" si="3"/>
        <v>100517.97</v>
      </c>
      <c r="M15" s="284">
        <f t="shared" ca="1" si="4"/>
        <v>38360.03</v>
      </c>
      <c r="N15" s="285">
        <f t="shared" ca="1" si="5"/>
        <v>0</v>
      </c>
      <c r="O15" s="286">
        <f ca="1">IF($B15="Branco",0,IF(OR($B15="Manual",$B15="SemiAuto"),QCI.InvManual,INDEX(ORÇAMENTO!X$15:X$165,MATCH($A15,ORÇAMENTO!$E$15:$E$165,0))))</f>
        <v>138878</v>
      </c>
      <c r="P15" s="577" t="str">
        <f t="shared" ca="1" si="6"/>
        <v>ITEM</v>
      </c>
      <c r="R15" s="465"/>
      <c r="S15" s="578" t="str">
        <f t="shared" si="7"/>
        <v/>
      </c>
      <c r="T15" s="466"/>
      <c r="U15" s="579"/>
      <c r="V15" s="467" t="s">
        <v>819</v>
      </c>
      <c r="W15" s="580"/>
      <c r="X15" s="581"/>
      <c r="Z15">
        <f t="shared" ca="1" si="8"/>
        <v>100517.97248942418</v>
      </c>
      <c r="AA15">
        <f ca="1">IF($B15="Branco",0,IF($B15="Manual",QCI.CPManual,IF($B15="SemiAuto",ROUND(QCI!$AA$3*QCI.InvManual,2),INDEX(ORÇAMENTO!$AA$15:$AA$165,MATCH($A15,ORÇAMENTO!$E$15:$E$165,0)))))</f>
        <v>38360.027510575819</v>
      </c>
      <c r="AB15">
        <f ca="1">IF($B15="Branco",0,IF($B15="Manual",QCI.OutrosManual,IF($B15="SemiAuto",0,INDEX(ORÇAMENTO!$AB$15:$AB$165,MATCH($A15,ORÇAMENTO!$E$15:$E$165,0)))))</f>
        <v>0</v>
      </c>
      <c r="AD15" s="289" t="b">
        <f ca="1">AND($AA$3&gt;0,$AA$3&lt;1,$O15&gt;0,OR($B15="Automático",$B15="SemiAuto"),OR(QCI!$Z$3=QCI!$Z$7,QCI!$Z$3=QCI!$AA$7,QCI!$Z$3=QCI!$AB$7))</f>
        <v>1</v>
      </c>
      <c r="AE15" s="289">
        <f ca="1">IF(AND($AD15,$O15&gt;0,COUNTIF(OFFSET($AD15,1,0):$AD$24,TRUE)=0),CHOOSE(1+LOG(1+2*(QCI!$Z$3=QCI!$Z$7)+4*(QCI!$Z$3=QCI!$AA$7)+8*(QCI!$Z$3=QCI!$AB$7),2),0,$AA$24-ROUND(Import.CPMinPerc*$O$24,2),$AA$24-Import.CPMinAbsoluta,Import.Repasse-$Z$24),0)</f>
        <v>0</v>
      </c>
    </row>
    <row r="16" spans="1:31" ht="30" customHeight="1" x14ac:dyDescent="0.25">
      <c r="A16">
        <f t="shared" ca="1" si="0"/>
        <v>3</v>
      </c>
      <c r="B16" t="str">
        <f ca="1">IF(NOT(ISBLANK(QCI.DescManual)),IF(QCI.Divisao="Calculado","Manual","SemiAuto"),IF(ISERROR(MATCH($A16,ORÇAMENTO!$E$15:$E$165,0)),"Branco","Automático"))</f>
        <v>Automático</v>
      </c>
      <c r="C16" t="str">
        <f t="shared" ca="1" si="1"/>
        <v>F</v>
      </c>
      <c r="D16" s="281">
        <f t="shared" si="2"/>
        <v>3</v>
      </c>
      <c r="E16" s="118"/>
      <c r="F16" s="118"/>
      <c r="G16" s="163" t="str">
        <f ca="1">IF(OR($B16="Manual",$B16="SemiAuto"),QCI.DescManual,IF($B16="Automático",INDEX(ORÇAMENTO!$R$15:$R$165,MATCH($A16,ORÇAMENTO!$E$15:$E$165,0)),""))</f>
        <v>IMPLANTAÇÃO DE PAVIMENTAÇÃO RUA 27 DE JUNHO (Trecho 4)</v>
      </c>
      <c r="H16" s="118"/>
      <c r="I16" s="464"/>
      <c r="J16" s="282" t="str">
        <f ca="1">IF(AND(ISBLANK(E16),ISBLANK(F16)),"",VLOOKUP($F16,OFFSET(DADOS!$A$2,1,MATCH(QCI!$E16,DADOS!$2:$2,0)-1,100,50),2,FALSE))</f>
        <v/>
      </c>
      <c r="K16" s="463" t="str">
        <f ca="1">IF(OR($B16="Manual",$B16="SemiAuto"),QCI.LoteManual,IF($B16="Automático",IF(TIPOORCAMENTO="Licitado",Import.CTEF,"LOTE 1"),""))</f>
        <v>LOTE 1</v>
      </c>
      <c r="L16" s="283">
        <f t="shared" ca="1" si="3"/>
        <v>246038.35000000003</v>
      </c>
      <c r="M16" s="284">
        <f t="shared" ca="1" si="4"/>
        <v>93894.04</v>
      </c>
      <c r="N16" s="285">
        <f t="shared" ca="1" si="5"/>
        <v>0</v>
      </c>
      <c r="O16" s="286">
        <f ca="1">IF($B16="Branco",0,IF(OR($B16="Manual",$B16="SemiAuto"),QCI.InvManual,INDEX(ORÇAMENTO!X$15:X$165,MATCH($A16,ORÇAMENTO!$E$15:$E$165,0))))</f>
        <v>339932.39</v>
      </c>
      <c r="P16" s="577" t="str">
        <f t="shared" ca="1" si="6"/>
        <v>ITEM</v>
      </c>
      <c r="R16" s="465"/>
      <c r="S16" s="578" t="str">
        <f t="shared" si="7"/>
        <v/>
      </c>
      <c r="T16" s="466"/>
      <c r="U16" s="579"/>
      <c r="V16" s="467" t="s">
        <v>819</v>
      </c>
      <c r="W16" s="580"/>
      <c r="X16" s="581"/>
      <c r="Z16">
        <f t="shared" ca="1" si="8"/>
        <v>246038.354716256</v>
      </c>
      <c r="AA16">
        <f ca="1">IF($B16="Branco",0,IF($B16="Manual",QCI.CPManual,IF($B16="SemiAuto",ROUND(QCI!$AA$3*QCI.InvManual,2),INDEX(ORÇAMENTO!$AA$15:$AA$165,MATCH($A16,ORÇAMENTO!$E$15:$E$165,0)))))</f>
        <v>93894.035283744015</v>
      </c>
      <c r="AB16">
        <f ca="1">IF($B16="Branco",0,IF($B16="Manual",QCI.OutrosManual,IF($B16="SemiAuto",0,INDEX(ORÇAMENTO!$AB$15:$AB$165,MATCH($A16,ORÇAMENTO!$E$15:$E$165,0)))))</f>
        <v>0</v>
      </c>
      <c r="AD16" s="289" t="b">
        <f ca="1">AND($AA$3&gt;0,$AA$3&lt;1,$O16&gt;0,OR($B16="Automático",$B16="SemiAuto"),OR(QCI!$Z$3=QCI!$Z$7,QCI!$Z$3=QCI!$AA$7,QCI!$Z$3=QCI!$AB$7))</f>
        <v>1</v>
      </c>
      <c r="AE16" s="289">
        <f ca="1">IF(AND($AD16,$O16&gt;0,COUNTIF(OFFSET($AD16,1,0):$AD$24,TRUE)=0),CHOOSE(1+LOG(1+2*(QCI!$Z$3=QCI!$Z$7)+4*(QCI!$Z$3=QCI!$AA$7)+8*(QCI!$Z$3=QCI!$AB$7),2),0,$AA$24-ROUND(Import.CPMinPerc*$O$24,2),$AA$24-Import.CPMinAbsoluta,Import.Repasse-$Z$24),0)</f>
        <v>0</v>
      </c>
    </row>
    <row r="17" spans="1:31" ht="30" customHeight="1" x14ac:dyDescent="0.25">
      <c r="A17">
        <f t="shared" ca="1" si="0"/>
        <v>4</v>
      </c>
      <c r="B17" t="str">
        <f ca="1">IF(NOT(ISBLANK(QCI.DescManual)),IF(QCI.Divisao="Calculado","Manual","SemiAuto"),IF(ISERROR(MATCH($A17,ORÇAMENTO!$E$15:$E$165,0)),"Branco","Automático"))</f>
        <v>Automático</v>
      </c>
      <c r="C17" t="str">
        <f t="shared" ca="1" si="1"/>
        <v>F</v>
      </c>
      <c r="D17" s="281">
        <f t="shared" si="2"/>
        <v>4</v>
      </c>
      <c r="E17" s="118"/>
      <c r="F17" s="118"/>
      <c r="G17" s="163" t="str">
        <f ca="1">IF(OR($B17="Manual",$B17="SemiAuto"),QCI.DescManual,IF($B17="Automático",INDEX(ORÇAMENTO!$R$15:$R$165,MATCH($A17,ORÇAMENTO!$E$15:$E$165,0)),""))</f>
        <v>DISTRITO IND. MÁRIO ZANDONÁ (Trecho 5)</v>
      </c>
      <c r="H17" s="118"/>
      <c r="I17" s="464"/>
      <c r="J17" s="282" t="str">
        <f ca="1">IF(AND(ISBLANK(E17),ISBLANK(F17)),"",VLOOKUP($F17,OFFSET(DADOS!$A$2,1,MATCH(QCI!$E17,DADOS!$2:$2,0)-1,100,50),2,FALSE))</f>
        <v/>
      </c>
      <c r="K17" s="463" t="str">
        <f ca="1">IF(OR($B17="Manual",$B17="SemiAuto"),QCI.LoteManual,IF($B17="Automático",IF(TIPOORCAMENTO="Licitado",Import.CTEF,"LOTE 1"),""))</f>
        <v>LOTE 1</v>
      </c>
      <c r="L17" s="283">
        <f t="shared" ca="1" si="3"/>
        <v>292833.34999999998</v>
      </c>
      <c r="M17" s="284">
        <f t="shared" ca="1" si="4"/>
        <v>111752.1</v>
      </c>
      <c r="N17" s="285">
        <f t="shared" ca="1" si="5"/>
        <v>0</v>
      </c>
      <c r="O17" s="286">
        <f ca="1">IF($B17="Branco",0,IF(OR($B17="Manual",$B17="SemiAuto"),QCI.InvManual,INDEX(ORÇAMENTO!X$15:X$165,MATCH($A17,ORÇAMENTO!$E$15:$E$165,0))))</f>
        <v>404585.45</v>
      </c>
      <c r="P17" s="577" t="str">
        <f t="shared" ca="1" si="6"/>
        <v>ITEM</v>
      </c>
      <c r="R17" s="465"/>
      <c r="S17" s="578" t="str">
        <f t="shared" si="7"/>
        <v/>
      </c>
      <c r="T17" s="466"/>
      <c r="U17" s="579"/>
      <c r="V17" s="467" t="s">
        <v>819</v>
      </c>
      <c r="W17" s="580"/>
      <c r="X17" s="581"/>
      <c r="Z17">
        <f t="shared" ca="1" si="8"/>
        <v>292833.34388975427</v>
      </c>
      <c r="AA17">
        <f ca="1">IF($B17="Branco",0,IF($B17="Manual",QCI.CPManual,IF($B17="SemiAuto",ROUND(QCI!$AA$3*QCI.InvManual,2),INDEX(ORÇAMENTO!$AA$15:$AA$165,MATCH($A17,ORÇAMENTO!$E$15:$E$165,0)))))</f>
        <v>111752.10611024573</v>
      </c>
      <c r="AB17">
        <f ca="1">IF($B17="Branco",0,IF($B17="Manual",QCI.OutrosManual,IF($B17="SemiAuto",0,INDEX(ORÇAMENTO!$AB$15:$AB$165,MATCH($A17,ORÇAMENTO!$E$15:$E$165,0)))))</f>
        <v>0</v>
      </c>
      <c r="AD17" s="289" t="b">
        <f ca="1">AND($AA$3&gt;0,$AA$3&lt;1,$O17&gt;0,OR($B17="Automático",$B17="SemiAuto"),OR(QCI!$Z$3=QCI!$Z$7,QCI!$Z$3=QCI!$AA$7,QCI!$Z$3=QCI!$AB$7))</f>
        <v>1</v>
      </c>
      <c r="AE17" s="289">
        <f ca="1">IF(AND($AD17,$O17&gt;0,COUNTIF(OFFSET($AD17,1,0):$AD$24,TRUE)=0),CHOOSE(1+LOG(1+2*(QCI!$Z$3=QCI!$Z$7)+4*(QCI!$Z$3=QCI!$AA$7)+8*(QCI!$Z$3=QCI!$AB$7),2),0,$AA$24-ROUND(Import.CPMinPerc*$O$24,2),$AA$24-Import.CPMinAbsoluta,Import.Repasse-$Z$24),0)</f>
        <v>1.0000000009313226E-2</v>
      </c>
    </row>
    <row r="18" spans="1:31" ht="30" customHeight="1" x14ac:dyDescent="0.25">
      <c r="A18">
        <f t="shared" ca="1" si="0"/>
        <v>5</v>
      </c>
      <c r="B18" t="str">
        <f ca="1">IF(NOT(ISBLANK(QCI.DescManual)),IF(QCI.Divisao="Calculado","Manual","SemiAuto"),IF(ISERROR(MATCH($A18,ORÇAMENTO!$E$15:$E$165,0)),"Branco","Automático"))</f>
        <v>Branco</v>
      </c>
      <c r="C18" t="str">
        <f t="shared" ca="1" si="1"/>
        <v/>
      </c>
      <c r="D18" s="281">
        <f t="shared" si="2"/>
        <v>5</v>
      </c>
      <c r="E18" s="118"/>
      <c r="F18" s="118"/>
      <c r="G18" s="163" t="str">
        <f ca="1">IF(OR($B18="Manual",$B18="SemiAuto"),QCI.DescManual,IF($B18="Automático",INDEX(ORÇAMENTO!$R$15:$R$165,MATCH($A18,ORÇAMENTO!$E$15:$E$165,0)),""))</f>
        <v/>
      </c>
      <c r="H18" s="118"/>
      <c r="I18" s="464"/>
      <c r="J18" s="282" t="str">
        <f ca="1">IF(AND(ISBLANK(E18),ISBLANK(F18)),"",VLOOKUP($F18,OFFSET(DADOS!$A$2,1,MATCH(QCI!$E18,DADOS!$2:$2,0)-1,100,50),2,FALSE))</f>
        <v/>
      </c>
      <c r="K18" s="463" t="str">
        <f ca="1">IF(OR($B18="Manual",$B18="SemiAuto"),QCI.LoteManual,IF($B18="Automático",IF(TIPOORCAMENTO="Licitado",Import.CTEF,"LOTE 1"),""))</f>
        <v/>
      </c>
      <c r="L18" s="283">
        <f t="shared" ca="1" si="3"/>
        <v>0</v>
      </c>
      <c r="M18" s="284">
        <f t="shared" ca="1" si="4"/>
        <v>0</v>
      </c>
      <c r="N18" s="285">
        <f t="shared" ca="1" si="5"/>
        <v>0</v>
      </c>
      <c r="O18" s="286">
        <f ca="1">IF($B18="Branco",0,IF(OR($B18="Manual",$B18="SemiAuto"),QCI.InvManual,INDEX(ORÇAMENTO!X$15:X$165,MATCH($A18,ORÇAMENTO!$E$15:$E$165,0))))</f>
        <v>0</v>
      </c>
      <c r="P18" s="577" t="str">
        <f t="shared" ca="1" si="6"/>
        <v/>
      </c>
      <c r="R18" s="465"/>
      <c r="S18" s="578" t="str">
        <f t="shared" si="7"/>
        <v/>
      </c>
      <c r="T18" s="466"/>
      <c r="U18" s="579"/>
      <c r="V18" s="467" t="s">
        <v>819</v>
      </c>
      <c r="W18" s="580"/>
      <c r="X18" s="581"/>
      <c r="Z18">
        <f t="shared" ca="1" si="8"/>
        <v>0</v>
      </c>
      <c r="AA18">
        <f ca="1">IF($B18="Branco",0,IF($B18="Manual",QCI.CPManual,IF($B18="SemiAuto",ROUND(QCI!$AA$3*QCI.InvManual,2),INDEX(ORÇAMENTO!$AA$15:$AA$165,MATCH($A18,ORÇAMENTO!$E$15:$E$165,0)))))</f>
        <v>0</v>
      </c>
      <c r="AB18">
        <f ca="1">IF($B18="Branco",0,IF($B18="Manual",QCI.OutrosManual,IF($B18="SemiAuto",0,INDEX(ORÇAMENTO!$AB$15:$AB$165,MATCH($A18,ORÇAMENTO!$E$15:$E$165,0)))))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5">
      <c r="A19">
        <f t="shared" ca="1" si="0"/>
        <v>6</v>
      </c>
      <c r="B19" t="str">
        <f ca="1">IF(NOT(ISBLANK(QCI.DescManual)),IF(QCI.Divisao="Calculado","Manual","SemiAuto"),IF(ISERROR(MATCH($A19,ORÇAMENTO!$E$15:$E$165,0)),"Branco","Automático"))</f>
        <v>Branco</v>
      </c>
      <c r="C19" t="str">
        <f t="shared" ca="1" si="1"/>
        <v/>
      </c>
      <c r="D19" s="281">
        <f t="shared" si="2"/>
        <v>6</v>
      </c>
      <c r="E19" s="118"/>
      <c r="F19" s="118"/>
      <c r="G19" s="163" t="str">
        <f ca="1">IF(OR($B19="Manual",$B19="SemiAuto"),QCI.DescManual,IF($B19="Automático",INDEX(ORÇAMENTO!$R$15:$R$165,MATCH($A19,ORÇAMENTO!$E$15:$E$165,0)),""))</f>
        <v/>
      </c>
      <c r="H19" s="118"/>
      <c r="I19" s="464"/>
      <c r="J19" s="282" t="str">
        <f ca="1">IF(AND(ISBLANK(E19),ISBLANK(F19)),"",VLOOKUP($F19,OFFSET(DADOS!$A$2,1,MATCH(QCI!$E19,DADOS!$2:$2,0)-1,100,50),2,FALSE))</f>
        <v/>
      </c>
      <c r="K19" s="463" t="str">
        <f ca="1">IF(OR($B19="Manual",$B19="SemiAuto"),QCI.LoteManual,IF($B19="Automático",IF(TIPOORCAMENTO="Licitado",Import.CTEF,"LOTE 1"),""))</f>
        <v/>
      </c>
      <c r="L19" s="283">
        <f t="shared" ca="1" si="3"/>
        <v>0</v>
      </c>
      <c r="M19" s="284">
        <f t="shared" ca="1" si="4"/>
        <v>0</v>
      </c>
      <c r="N19" s="285">
        <f t="shared" ca="1" si="5"/>
        <v>0</v>
      </c>
      <c r="O19" s="286">
        <f ca="1">IF($B19="Branco",0,IF(OR($B19="Manual",$B19="SemiAuto"),QCI.InvManual,INDEX(ORÇAMENTO!X$15:X$165,MATCH($A19,ORÇAMENTO!$E$15:$E$165,0))))</f>
        <v>0</v>
      </c>
      <c r="P19" s="577" t="str">
        <f t="shared" ca="1" si="6"/>
        <v/>
      </c>
      <c r="R19" s="465"/>
      <c r="S19" s="578" t="str">
        <f t="shared" si="7"/>
        <v/>
      </c>
      <c r="T19" s="466"/>
      <c r="U19" s="579"/>
      <c r="V19" s="467" t="s">
        <v>819</v>
      </c>
      <c r="W19" s="580"/>
      <c r="X19" s="581"/>
      <c r="Z19">
        <f t="shared" ca="1" si="8"/>
        <v>0</v>
      </c>
      <c r="AA19">
        <f ca="1">IF($B19="Branco",0,IF($B19="Manual",QCI.CPManual,IF($B19="SemiAuto",ROUND(QCI!$AA$3*QCI.InvManual,2),INDEX(ORÇAMENTO!$AA$15:$AA$165,MATCH($A19,ORÇAMENTO!$E$15:$E$165,0)))))</f>
        <v>0</v>
      </c>
      <c r="AB19">
        <f ca="1">IF($B19="Branco",0,IF($B19="Manual",QCI.OutrosManual,IF($B19="SemiAuto",0,INDEX(ORÇAMENTO!$AB$15:$AB$165,MATCH($A19,ORÇAMENTO!$E$15:$E$165,0)))))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5">
      <c r="A20">
        <f t="shared" ca="1" si="0"/>
        <v>7</v>
      </c>
      <c r="B20" t="str">
        <f ca="1">IF(NOT(ISBLANK(QCI.DescManual)),IF(QCI.Divisao="Calculado","Manual","SemiAuto"),IF(ISERROR(MATCH($A20,ORÇAMENTO!$E$15:$E$165,0)),"Branco","Automático"))</f>
        <v>Branco</v>
      </c>
      <c r="C20" t="str">
        <f t="shared" ca="1" si="1"/>
        <v/>
      </c>
      <c r="D20" s="281">
        <f t="shared" si="2"/>
        <v>7</v>
      </c>
      <c r="E20" s="118"/>
      <c r="F20" s="118"/>
      <c r="G20" s="163" t="str">
        <f ca="1">IF(OR($B20="Manual",$B20="SemiAuto"),QCI.DescManual,IF($B20="Automático",INDEX(ORÇAMENTO!$R$15:$R$165,MATCH($A20,ORÇAMENTO!$E$15:$E$165,0)),""))</f>
        <v/>
      </c>
      <c r="H20" s="118"/>
      <c r="I20" s="464"/>
      <c r="J20" s="282" t="str">
        <f ca="1">IF(AND(ISBLANK(E20),ISBLANK(F20)),"",VLOOKUP($F20,OFFSET(DADOS!$A$2,1,MATCH(QCI!$E20,DADOS!$2:$2,0)-1,100,50),2,FALSE))</f>
        <v/>
      </c>
      <c r="K20" s="463" t="str">
        <f ca="1">IF(OR($B20="Manual",$B20="SemiAuto"),QCI.LoteManual,IF($B20="Automático",IF(TIPOORCAMENTO="Licitado",Import.CTEF,"LOTE 1"),""))</f>
        <v/>
      </c>
      <c r="L20" s="283">
        <f t="shared" ca="1" si="3"/>
        <v>0</v>
      </c>
      <c r="M20" s="284">
        <f t="shared" ca="1" si="4"/>
        <v>0</v>
      </c>
      <c r="N20" s="285">
        <f t="shared" ca="1" si="5"/>
        <v>0</v>
      </c>
      <c r="O20" s="286">
        <f ca="1">IF($B20="Branco",0,IF(OR($B20="Manual",$B20="SemiAuto"),QCI.InvManual,INDEX(ORÇAMENTO!X$15:X$165,MATCH($A20,ORÇAMENTO!$E$15:$E$165,0))))</f>
        <v>0</v>
      </c>
      <c r="P20" s="577" t="str">
        <f t="shared" ca="1" si="6"/>
        <v/>
      </c>
      <c r="R20" s="465"/>
      <c r="S20" s="578" t="str">
        <f t="shared" si="7"/>
        <v/>
      </c>
      <c r="T20" s="466"/>
      <c r="U20" s="579"/>
      <c r="V20" s="467" t="s">
        <v>819</v>
      </c>
      <c r="W20" s="580"/>
      <c r="X20" s="581"/>
      <c r="Z20">
        <f t="shared" ca="1" si="8"/>
        <v>0</v>
      </c>
      <c r="AA20">
        <f ca="1">IF($B20="Branco",0,IF($B20="Manual",QCI.CPManual,IF($B20="SemiAuto",ROUND(QCI!$AA$3*QCI.InvManual,2),INDEX(ORÇAMENTO!$AA$15:$AA$165,MATCH($A20,ORÇAMENTO!$E$15:$E$165,0)))))</f>
        <v>0</v>
      </c>
      <c r="AB20">
        <f ca="1">IF($B20="Branco",0,IF($B20="Manual",QCI.OutrosManual,IF($B20="SemiAuto",0,INDEX(ORÇAMENTO!$AB$15:$AB$165,MATCH($A20,ORÇAMENTO!$E$15:$E$165,0)))))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5">
      <c r="A21">
        <f t="shared" ca="1" si="0"/>
        <v>8</v>
      </c>
      <c r="B21" t="str">
        <f ca="1">IF(NOT(ISBLANK(QCI.DescManual)),IF(QCI.Divisao="Calculado","Manual","SemiAuto"),IF(ISERROR(MATCH($A21,ORÇAMENTO!$E$15:$E$165,0)),"Branco","Automático"))</f>
        <v>Branco</v>
      </c>
      <c r="C21" t="str">
        <f t="shared" ca="1" si="1"/>
        <v/>
      </c>
      <c r="D21" s="281">
        <f t="shared" si="2"/>
        <v>8</v>
      </c>
      <c r="E21" s="118"/>
      <c r="F21" s="118"/>
      <c r="G21" s="163" t="str">
        <f ca="1">IF(OR($B21="Manual",$B21="SemiAuto"),QCI.DescManual,IF($B21="Automático",INDEX(ORÇAMENTO!$R$15:$R$165,MATCH($A21,ORÇAMENTO!$E$15:$E$165,0)),""))</f>
        <v/>
      </c>
      <c r="H21" s="118"/>
      <c r="I21" s="464"/>
      <c r="J21" s="282" t="str">
        <f ca="1">IF(AND(ISBLANK(E21),ISBLANK(F21)),"",VLOOKUP($F21,OFFSET(DADOS!$A$2,1,MATCH(QCI!$E21,DADOS!$2:$2,0)-1,100,50),2,FALSE))</f>
        <v/>
      </c>
      <c r="K21" s="463" t="str">
        <f ca="1">IF(OR($B21="Manual",$B21="SemiAuto"),QCI.LoteManual,IF($B21="Automático",IF(TIPOORCAMENTO="Licitado",Import.CTEF,"LOTE 1"),""))</f>
        <v/>
      </c>
      <c r="L21" s="283">
        <f t="shared" ca="1" si="3"/>
        <v>0</v>
      </c>
      <c r="M21" s="284">
        <f t="shared" ca="1" si="4"/>
        <v>0</v>
      </c>
      <c r="N21" s="285">
        <f t="shared" ca="1" si="5"/>
        <v>0</v>
      </c>
      <c r="O21" s="286">
        <f ca="1">IF($B21="Branco",0,IF(OR($B21="Manual",$B21="SemiAuto"),QCI.InvManual,INDEX(ORÇAMENTO!X$15:X$165,MATCH($A21,ORÇAMENTO!$E$15:$E$165,0))))</f>
        <v>0</v>
      </c>
      <c r="P21" s="577" t="str">
        <f t="shared" ca="1" si="6"/>
        <v/>
      </c>
      <c r="R21" s="465"/>
      <c r="S21" s="578" t="str">
        <f t="shared" si="7"/>
        <v/>
      </c>
      <c r="T21" s="466"/>
      <c r="U21" s="579"/>
      <c r="V21" s="467" t="s">
        <v>819</v>
      </c>
      <c r="W21" s="580"/>
      <c r="X21" s="581"/>
      <c r="Z21">
        <f t="shared" ca="1" si="8"/>
        <v>0</v>
      </c>
      <c r="AA21">
        <f ca="1">IF($B21="Branco",0,IF($B21="Manual",QCI.CPManual,IF($B21="SemiAuto",ROUND(QCI!$AA$3*QCI.InvManual,2),INDEX(ORÇAMENTO!$AA$15:$AA$165,MATCH($A21,ORÇAMENTO!$E$15:$E$165,0)))))</f>
        <v>0</v>
      </c>
      <c r="AB21">
        <f ca="1">IF($B21="Branco",0,IF($B21="Manual",QCI.OutrosManual,IF($B21="SemiAuto",0,INDEX(ORÇAMENTO!$AB$15:$AB$165,MATCH($A21,ORÇAMENTO!$E$15:$E$165,0)))))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5">
      <c r="A22">
        <f t="shared" ca="1" si="0"/>
        <v>9</v>
      </c>
      <c r="B22" t="str">
        <f ca="1">IF(NOT(ISBLANK(QCI.DescManual)),IF(QCI.Divisao="Calculado","Manual","SemiAuto"),IF(ISERROR(MATCH($A22,ORÇAMENTO!$E$15:$E$165,0)),"Branco","Automático"))</f>
        <v>Branco</v>
      </c>
      <c r="C22" t="str">
        <f t="shared" ca="1" si="1"/>
        <v/>
      </c>
      <c r="D22" s="281">
        <f t="shared" si="2"/>
        <v>9</v>
      </c>
      <c r="E22" s="118"/>
      <c r="F22" s="118"/>
      <c r="G22" s="163" t="str">
        <f ca="1">IF(OR($B22="Manual",$B22="SemiAuto"),QCI.DescManual,IF($B22="Automático",INDEX(ORÇAMENTO!$R$15:$R$165,MATCH($A22,ORÇAMENTO!$E$15:$E$165,0)),""))</f>
        <v/>
      </c>
      <c r="H22" s="118"/>
      <c r="I22" s="464"/>
      <c r="J22" s="282" t="str">
        <f ca="1">IF(AND(ISBLANK(E22),ISBLANK(F22)),"",VLOOKUP($F22,OFFSET(DADOS!$A$2,1,MATCH(QCI!$E22,DADOS!$2:$2,0)-1,100,50),2,FALSE))</f>
        <v/>
      </c>
      <c r="K22" s="463" t="str">
        <f ca="1">IF(OR($B22="Manual",$B22="SemiAuto"),QCI.LoteManual,IF($B22="Automático",IF(TIPOORCAMENTO="Licitado",Import.CTEF,"LOTE 1"),""))</f>
        <v/>
      </c>
      <c r="L22" s="283">
        <f t="shared" ca="1" si="3"/>
        <v>0</v>
      </c>
      <c r="M22" s="284">
        <f t="shared" ca="1" si="4"/>
        <v>0</v>
      </c>
      <c r="N22" s="285">
        <f t="shared" ca="1" si="5"/>
        <v>0</v>
      </c>
      <c r="O22" s="286">
        <f ca="1">IF($B22="Branco",0,IF(OR($B22="Manual",$B22="SemiAuto"),QCI.InvManual,INDEX(ORÇAMENTO!X$15:X$165,MATCH($A22,ORÇAMENTO!$E$15:$E$165,0))))</f>
        <v>0</v>
      </c>
      <c r="P22" s="577" t="str">
        <f t="shared" ca="1" si="6"/>
        <v/>
      </c>
      <c r="R22" s="465"/>
      <c r="S22" s="578" t="str">
        <f t="shared" si="7"/>
        <v/>
      </c>
      <c r="T22" s="466"/>
      <c r="U22" s="579"/>
      <c r="V22" s="467" t="s">
        <v>819</v>
      </c>
      <c r="W22" s="580"/>
      <c r="X22" s="581"/>
      <c r="Z22">
        <f t="shared" ca="1" si="8"/>
        <v>0</v>
      </c>
      <c r="AA22">
        <f ca="1">IF($B22="Branco",0,IF($B22="Manual",QCI.CPManual,IF($B22="SemiAuto",ROUND(QCI!$AA$3*QCI.InvManual,2),INDEX(ORÇAMENTO!$AA$15:$AA$165,MATCH($A22,ORÇAMENTO!$E$15:$E$165,0)))))</f>
        <v>0</v>
      </c>
      <c r="AB22">
        <f ca="1">IF($B22="Branco",0,IF($B22="Manual",QCI.OutrosManual,IF($B22="SemiAuto",0,INDEX(ORÇAMENTO!$AB$15:$AB$165,MATCH($A22,ORÇAMENTO!$E$15:$E$165,0)))))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5">
      <c r="A23">
        <f t="shared" ca="1" si="0"/>
        <v>10</v>
      </c>
      <c r="B23" t="str">
        <f ca="1">IF(NOT(ISBLANK(QCI.DescManual)),IF(QCI.Divisao="Calculado","Manual","SemiAuto"),IF(ISERROR(MATCH($A23,ORÇAMENTO!$E$15:$E$165,0)),"Branco","Automático"))</f>
        <v>Branco</v>
      </c>
      <c r="C23" t="str">
        <f ca="1">IF(O23&gt;0,"F","")</f>
        <v/>
      </c>
      <c r="D23" s="281">
        <f>ROW()-ROW($D$13)</f>
        <v>10</v>
      </c>
      <c r="E23" s="118"/>
      <c r="F23" s="118"/>
      <c r="G23" s="163" t="str">
        <f ca="1">IF(OR($B23="Manual",$B23="SemiAuto"),QCI.DescManual,IF($B23="Automático",INDEX(ORÇAMENTO!$R$15:$R$165,MATCH($A23,ORÇAMENTO!$E$15:$E$165,0)),""))</f>
        <v/>
      </c>
      <c r="H23" s="118"/>
      <c r="I23" s="464"/>
      <c r="J23" s="282" t="str">
        <f ca="1">IF(AND(ISBLANK(E23),ISBLANK(F23)),"",VLOOKUP($F23,OFFSET(DADOS!$A$2,1,MATCH(QCI!$E23,DADOS!$2:$2,0)-1,100,50),2,FALSE))</f>
        <v/>
      </c>
      <c r="K23" s="463" t="str">
        <f ca="1">IF(OR($B23="Manual",$B23="SemiAuto"),QCI.LoteManual,IF($B23="Automático",IF(TIPOORCAMENTO="Licitado",Import.CTEF,"LOTE 1"),""))</f>
        <v/>
      </c>
      <c r="L23" s="283">
        <f ca="1">ROUND($O23,2)-ROUND($M23,2)-ROUND($N23,2)</f>
        <v>0</v>
      </c>
      <c r="M23" s="284">
        <f ca="1">ROUND($AA23,2)-ROUND($AE23,2)</f>
        <v>0</v>
      </c>
      <c r="N23" s="285">
        <f ca="1">ROUND($AB23,2)</f>
        <v>0</v>
      </c>
      <c r="O23" s="286">
        <f ca="1">IF($B23="Branco",0,IF(OR($B23="Manual",$B23="SemiAuto"),QCI.InvManual,INDEX(ORÇAMENTO!X$15:X$165,MATCH($A23,ORÇAMENTO!$E$15:$E$165,0))))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f ca="1">IF($B23="Branco",0,IF($B23="Manual",QCI.CPManual,IF($B23="SemiAuto",ROUND(QCI!$AA$3*QCI.InvManual,2),INDEX(ORÇAMENTO!$AA$15:$AA$165,MATCH($A23,ORÇAMENTO!$E$15:$E$165,0)))))</f>
        <v>0</v>
      </c>
      <c r="AB23">
        <f ca="1">IF($B23="Branco",0,IF($B23="Manual",QCI.OutrosManual,IF($B23="SemiAuto",0,INDEX(ORÇAMENTO!$AB$15:$AB$165,MATCH($A23,ORÇAMENTO!$E$15:$E$165,0)))))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3.8" x14ac:dyDescent="0.25">
      <c r="B24" t="s">
        <v>829</v>
      </c>
      <c r="C24" t="s">
        <v>536</v>
      </c>
      <c r="D24" s="294"/>
      <c r="E24" s="295"/>
      <c r="F24" s="295"/>
      <c r="G24" s="295"/>
      <c r="H24" s="295"/>
      <c r="I24" s="295"/>
      <c r="J24" s="295"/>
      <c r="K24" s="779" t="s">
        <v>830</v>
      </c>
      <c r="L24" s="296">
        <f ca="1">SUM(L13:OFFSET(L24,-1,0))</f>
        <v>999999.99999999988</v>
      </c>
      <c r="M24" s="297">
        <f ca="1">SUM(M13:OFFSET(M24,-1,0))</f>
        <v>381623.56999999995</v>
      </c>
      <c r="N24" s="298">
        <f ca="1">SUM(N13:OFFSET(N24,-1,0))</f>
        <v>0</v>
      </c>
      <c r="O24" s="299">
        <f ca="1">SUM(O13:OFFSET(O24,-1,0))</f>
        <v>1381623.57</v>
      </c>
      <c r="R24" s="300"/>
      <c r="T24" s="301"/>
      <c r="U24" s="302"/>
      <c r="V24" s="303"/>
      <c r="W24" s="304"/>
      <c r="X24" s="305"/>
      <c r="Z24" s="88">
        <f ca="1">SUMPRODUCT(ROUND(Z13:OFFSET(Z24,-1,0),2))</f>
        <v>999999.99</v>
      </c>
      <c r="AA24" s="88">
        <f ca="1">SUMPRODUCT(ROUND(AA13:OFFSET(AA24,-1,0),2))</f>
        <v>381623.57999999996</v>
      </c>
      <c r="AB24" s="88">
        <f ca="1">SUM(AB13:OFFSET(AB24,-1,0))</f>
        <v>0</v>
      </c>
    </row>
    <row r="25" spans="1:31" x14ac:dyDescent="0.25">
      <c r="B25" t="s">
        <v>831</v>
      </c>
      <c r="C25" t="s">
        <v>536</v>
      </c>
      <c r="D25" s="306"/>
      <c r="E25" s="307"/>
      <c r="F25" s="307"/>
      <c r="G25" s="307"/>
      <c r="H25" s="307"/>
      <c r="I25" s="307"/>
      <c r="J25" s="307"/>
      <c r="K25" s="779"/>
      <c r="L25" s="308">
        <f ca="1">IF(ISERROR(L24/$O24),0,ROUND(L24/$O24,4))</f>
        <v>0.7238</v>
      </c>
      <c r="M25" s="309">
        <f ca="1">IF(ISERROR(M24/$O24),0,ROUND(M24/$O24,4))</f>
        <v>0.2762</v>
      </c>
      <c r="N25" s="310">
        <f ca="1">IF(ISERROR(N24/$O24),0,ROUND(N24/$O24,4))</f>
        <v>0</v>
      </c>
      <c r="O25" s="311">
        <f ca="1">IF(ISERROR(O24/$O24),0,ROUND(O24/$O24,4))</f>
        <v>1</v>
      </c>
      <c r="R25" s="312"/>
      <c r="T25" s="313"/>
      <c r="U25" s="314"/>
      <c r="V25" s="315"/>
      <c r="W25" s="316"/>
      <c r="X25" s="317"/>
    </row>
    <row r="27" spans="1:31" ht="13.8" x14ac:dyDescent="0.25">
      <c r="D27" s="135" t="s">
        <v>689</v>
      </c>
    </row>
    <row r="28" spans="1:31" ht="12.75" customHeight="1" x14ac:dyDescent="0.25">
      <c r="D28" s="722"/>
      <c r="E28" s="722"/>
      <c r="F28" s="722"/>
      <c r="G28" s="722"/>
      <c r="H28" s="722"/>
      <c r="I28" s="722"/>
      <c r="J28" s="722"/>
      <c r="K28" s="722"/>
      <c r="L28" s="722"/>
      <c r="M28" s="722"/>
      <c r="N28" s="722"/>
      <c r="O28" s="722"/>
    </row>
    <row r="29" spans="1:31" ht="12.75" customHeight="1" x14ac:dyDescent="0.25">
      <c r="D29" s="722"/>
      <c r="E29" s="722"/>
      <c r="F29" s="722"/>
      <c r="G29" s="722"/>
      <c r="H29" s="722"/>
      <c r="I29" s="722"/>
      <c r="J29" s="722"/>
      <c r="K29" s="722"/>
      <c r="L29" s="722"/>
      <c r="M29" s="722"/>
      <c r="N29" s="722"/>
      <c r="O29" s="722"/>
    </row>
    <row r="30" spans="1:31" ht="12.75" customHeight="1" x14ac:dyDescent="0.25">
      <c r="D30" s="722"/>
      <c r="E30" s="722"/>
      <c r="F30" s="722"/>
      <c r="G30" s="722"/>
      <c r="H30" s="722"/>
      <c r="I30" s="722"/>
      <c r="J30" s="722"/>
      <c r="K30" s="722"/>
      <c r="L30" s="722"/>
      <c r="M30" s="722"/>
      <c r="N30" s="722"/>
      <c r="O30" s="722"/>
    </row>
    <row r="33" spans="4:12" ht="13.8" x14ac:dyDescent="0.25">
      <c r="D33" s="724" t="str">
        <f>Import.Município</f>
        <v>SARANDI/RS</v>
      </c>
      <c r="E33" s="724"/>
      <c r="F33" s="724"/>
      <c r="I33" s="139"/>
      <c r="J33" s="139"/>
      <c r="K33" s="180"/>
      <c r="L33" s="180"/>
    </row>
    <row r="34" spans="4:12" x14ac:dyDescent="0.25">
      <c r="D34" s="9" t="s">
        <v>693</v>
      </c>
      <c r="I34" s="181" t="s">
        <v>832</v>
      </c>
      <c r="J34" s="181"/>
    </row>
    <row r="35" spans="4:12" x14ac:dyDescent="0.25">
      <c r="I35" s="77" t="str">
        <f>"Nome:" &amp;  " " &amp; DADOS!C28</f>
        <v>Nome: PABLO LUIZ ALIEVI MARI</v>
      </c>
    </row>
    <row r="36" spans="4:12" x14ac:dyDescent="0.25">
      <c r="D36" s="718">
        <f>DADOS!$C$25</f>
        <v>46034</v>
      </c>
      <c r="E36" s="718"/>
      <c r="F36" s="718"/>
      <c r="I36" s="77" t="str">
        <f>"Cargo:"  &amp; " " &amp; DADOS!C29</f>
        <v>Cargo: PREFEITO MUNICIPAL</v>
      </c>
    </row>
    <row r="37" spans="4:12" x14ac:dyDescent="0.25">
      <c r="D37" s="140" t="s">
        <v>694</v>
      </c>
      <c r="E37" s="1"/>
      <c r="F37" s="1"/>
      <c r="K37" s="77"/>
      <c r="L37" s="78"/>
    </row>
  </sheetData>
  <sheetProtection algorithmName="SHA-512" hashValue="YgQxwQLwkK3q7xoeJHU9JThVLSDqpHYru56O1ytVFrRD387dyPmJMDqifU0UwCfYn3R5EuttAzEHZgbVQZISjQ==" saltValue="s0tz5yv9ycm6b9RCltnaiw=="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44" priority="841" stopIfTrue="1">
      <formula>OR($B12="Automático",$B12="Branco")</formula>
    </cfRule>
  </conditionalFormatting>
  <conditionalFormatting sqref="L12">
    <cfRule type="expression" dxfId="143" priority="84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42" priority="843" stopIfTrue="1">
      <formula>OR($B12="Automático",$B12="Branco",$V12&lt;&gt;"Calculado")</formula>
    </cfRule>
  </conditionalFormatting>
  <conditionalFormatting sqref="M25">
    <cfRule type="expression" dxfId="141" priority="845" stopIfTrue="1">
      <formula>AND($G$9&lt;&gt;"",OR($M$25&lt;Import.CPMinPerc,$M$25&gt;Import.CPMaxPerc))</formula>
    </cfRule>
  </conditionalFormatting>
  <conditionalFormatting sqref="M24">
    <cfRule type="expression" dxfId="140" priority="846" stopIfTrue="1">
      <formula>AND($G$9&lt;&gt;"",$M$24&lt;Import.CPMinAbsoluta)</formula>
    </cfRule>
  </conditionalFormatting>
  <conditionalFormatting sqref="L10:M10">
    <cfRule type="cellIs" dxfId="139" priority="847" stopIfTrue="1" operator="lessThan">
      <formula>0</formula>
    </cfRule>
  </conditionalFormatting>
  <conditionalFormatting sqref="G12">
    <cfRule type="cellIs" dxfId="138" priority="848" stopIfTrue="1" operator="equal">
      <formula>"(digite a descrição aqui)"</formula>
    </cfRule>
  </conditionalFormatting>
  <conditionalFormatting sqref="T14:V22">
    <cfRule type="expression" dxfId="137" priority="5" stopIfTrue="1">
      <formula>OR($B14="Automático",$B14="Branco")</formula>
    </cfRule>
  </conditionalFormatting>
  <conditionalFormatting sqref="L14:L22">
    <cfRule type="expression" dxfId="136"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35" priority="7" stopIfTrue="1">
      <formula>OR($B14="Automático",$B14="Branco",$V14&lt;&gt;"Calculado")</formula>
    </cfRule>
  </conditionalFormatting>
  <conditionalFormatting sqref="G14:G22">
    <cfRule type="cellIs" dxfId="134" priority="8" stopIfTrue="1" operator="equal">
      <formula>"(digite a descrição aqui)"</formula>
    </cfRule>
  </conditionalFormatting>
  <conditionalFormatting sqref="T23:V23">
    <cfRule type="expression" dxfId="133" priority="1" stopIfTrue="1">
      <formula>OR($B23="Automático",$B23="Branco")</formula>
    </cfRule>
  </conditionalFormatting>
  <conditionalFormatting sqref="L23">
    <cfRule type="expression" dxfId="132"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31" priority="3" stopIfTrue="1">
      <formula>OR($B23="Automático",$B23="Branco",$V23&lt;&gt;"Calculado")</formula>
    </cfRule>
  </conditionalFormatting>
  <conditionalFormatting sqref="G23">
    <cfRule type="cellIs" dxfId="130"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5546875" customWidth="1"/>
    <col min="2" max="2" width="8.109375" customWidth="1"/>
    <col min="3" max="3" width="17" customWidth="1"/>
    <col min="4" max="4" width="19.88671875" customWidth="1"/>
    <col min="5" max="5" width="0.88671875" customWidth="1"/>
    <col min="6" max="6" width="5.5546875" hidden="1" customWidth="1"/>
    <col min="7" max="7" width="9.109375" hidden="1" customWidth="1"/>
    <col min="8" max="32" width="5.5546875" customWidth="1"/>
    <col min="33" max="33" width="8.5546875" hidden="1" customWidth="1"/>
    <col min="34" max="34" width="8.5546875" customWidth="1"/>
  </cols>
  <sheetData>
    <row r="1" spans="1:33" ht="19.5" hidden="1" customHeight="1" x14ac:dyDescent="0.25">
      <c r="A1" s="7" t="e">
        <f ca="1">IF(C1=0,"","F")</f>
        <v>#REF!</v>
      </c>
      <c r="B1" s="247" t="e">
        <f ca="1">OFFSET(B1,-1,0)+1</f>
        <v>#REF!</v>
      </c>
      <c r="C1" s="796" t="e">
        <f ca="1">IF(AUTOEVENTO="Manual",OFFSET(EVENTOS!$D$15,$B1-$B$15,0),IF(B1&lt;=MAX(CÁLCULO!$M$15:$M$165),VLOOKUP($B1,CÁLCULO!$M$15:$N$165,2,FALSE),0))</f>
        <v>#REF!</v>
      </c>
      <c r="D1" s="796"/>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5">
      <c r="A2" s="7"/>
      <c r="B2" s="7"/>
      <c r="C2" s="12"/>
      <c r="D2" s="12"/>
      <c r="F2" s="438"/>
    </row>
    <row r="3" spans="1:33" ht="15.6" x14ac:dyDescent="0.3">
      <c r="H3" s="206" t="s">
        <v>833</v>
      </c>
      <c r="AD3" s="705" t="s">
        <v>644</v>
      </c>
      <c r="AE3" s="705"/>
      <c r="AF3" s="705"/>
    </row>
    <row r="4" spans="1:33" ht="15.6" x14ac:dyDescent="0.25">
      <c r="B4" s="82"/>
      <c r="C4" s="82"/>
      <c r="H4" s="83" t="str">
        <f>import.recurso</f>
        <v>(SELECIONAR)</v>
      </c>
      <c r="AD4" s="706" t="s">
        <v>647</v>
      </c>
      <c r="AE4" s="706"/>
      <c r="AF4" s="706"/>
    </row>
    <row r="6" spans="1:33" x14ac:dyDescent="0.25">
      <c r="B6" s="208" t="s">
        <v>650</v>
      </c>
      <c r="C6" s="263"/>
      <c r="D6" s="210" t="s">
        <v>707</v>
      </c>
      <c r="E6" s="4"/>
      <c r="H6" s="211" t="s">
        <v>788</v>
      </c>
      <c r="I6" s="186"/>
      <c r="J6" s="186"/>
      <c r="K6" s="186"/>
      <c r="L6" s="185"/>
      <c r="M6" s="185"/>
      <c r="N6" s="264"/>
      <c r="O6" s="208" t="s">
        <v>758</v>
      </c>
      <c r="P6" s="212"/>
      <c r="R6" s="186"/>
      <c r="S6" s="186"/>
      <c r="T6" s="186"/>
      <c r="U6" s="209"/>
      <c r="V6" s="208" t="str">
        <f>IF(TIPOORCAMENTO="Licitado","NOME DA EMPRESA","DESCRIÇÃO DO LOTE")</f>
        <v>DESCRIÇÃO DO LOTE</v>
      </c>
      <c r="W6" s="186"/>
      <c r="X6" s="186"/>
      <c r="Y6" s="186"/>
      <c r="AD6" s="4"/>
      <c r="AE6" s="798" t="str">
        <f>IF(TIPOORCAMENTO="Licitado","Nº CTEF","")</f>
        <v/>
      </c>
      <c r="AF6" s="798"/>
    </row>
    <row r="7" spans="1:33" x14ac:dyDescent="0.25">
      <c r="B7" s="766">
        <f>Import.CR</f>
        <v>0</v>
      </c>
      <c r="C7" s="766"/>
      <c r="D7" s="214">
        <f>Import.TransfereGOV</f>
        <v>0</v>
      </c>
      <c r="E7" s="42"/>
      <c r="H7" s="765" t="str">
        <f>Import.Proponente</f>
        <v>MUNICÍPIO DE SARANDI</v>
      </c>
      <c r="I7" s="765"/>
      <c r="J7" s="765"/>
      <c r="K7" s="765"/>
      <c r="L7" s="765"/>
      <c r="M7" s="765"/>
      <c r="N7" s="765"/>
      <c r="O7" s="766" t="str">
        <f>Import.Apelido</f>
        <v>PAVIMENTAÇÃO ASFÁLTICA EM DIVERSOS TRECHOS NO MUNICÍPIO DE SARANDI</v>
      </c>
      <c r="P7" s="766"/>
      <c r="Q7" s="766"/>
      <c r="R7" s="766"/>
      <c r="S7" s="766"/>
      <c r="T7" s="766"/>
      <c r="U7" s="766"/>
      <c r="V7" s="766" t="str">
        <f>IF(TIPOORCAMENTO="Licitado",Import.empresa,Import.DescLote)</f>
        <v>PAVIMENTAÇÃO ASFÁLTICA EM DIVERSOS TRECHOS NO MUNICÍPIO DE SARANDI</v>
      </c>
      <c r="W7" s="766"/>
      <c r="X7" s="766"/>
      <c r="Y7" s="766"/>
      <c r="Z7" s="766"/>
      <c r="AA7" s="766"/>
      <c r="AB7" s="766"/>
      <c r="AC7" s="766"/>
      <c r="AD7" s="766"/>
      <c r="AE7" s="799" t="str">
        <f>IF(TIPOORCAMENTO="Licitado",Import.CTEF,"")</f>
        <v/>
      </c>
      <c r="AF7" s="799"/>
      <c r="AG7" s="265"/>
    </row>
    <row r="9" spans="1:33" ht="15.6" x14ac:dyDescent="0.3">
      <c r="A9" s="165">
        <v>0</v>
      </c>
      <c r="B9" s="266"/>
      <c r="C9" s="266"/>
      <c r="I9" s="267" t="s">
        <v>834</v>
      </c>
      <c r="J9" s="801">
        <v>1</v>
      </c>
      <c r="K9" s="801"/>
      <c r="M9" s="267" t="s">
        <v>799</v>
      </c>
      <c r="N9" s="802" t="str">
        <f ca="1">TEXT(IF(PLE.Medicao=1,Import.DataInicioObra,OFFSET($H$68,0,1+(PLE.Medicao-$I$69)*2-2)+1),"dd/mm/aaaa")&amp;" a "&amp;TEXT(OFFSET($H$68,0,1+(PLE.Medicao-$I$69)*2),"dd/mm/aaaa")</f>
        <v>00/01/1900 a 00/01/1900</v>
      </c>
      <c r="O9" s="802"/>
      <c r="P9" s="802"/>
      <c r="Q9" s="802"/>
      <c r="R9" s="802"/>
      <c r="S9" s="802"/>
      <c r="T9" s="802"/>
      <c r="U9" s="268"/>
      <c r="X9" s="267" t="s">
        <v>835</v>
      </c>
      <c r="Y9" s="800">
        <f ca="1">OFFSET($I$69,1+8*(ROUNDUP(($J$9-0)/((COLUMN($AG$14)-COLUMN($G$14)-1)/25*12),0)-1),ROUNDDOWN((($J$9-0)-OFFSET($I$69,8*(ROUNDUP(($J$9-0)/((COLUMN($AG$14)-COLUMN($G$14)-1)/25*12),0)-1),0))*(2+1/12),0))</f>
        <v>0</v>
      </c>
      <c r="Z9" s="800"/>
      <c r="AD9" s="267" t="s">
        <v>836</v>
      </c>
      <c r="AE9" s="800">
        <f ca="1">OFFSET($I$69,3+8*(ROUNDUP(($J$9-0)/((COLUMN($AG$14)-COLUMN($G$14)-1)/25*12),0)-1),ROUNDDOWN((($J$9-0)-OFFSET($I$69,8*(ROUNDUP(($J$9-0)/((COLUMN($AG$14)-COLUMN($G$14)-1)/25*12),0)-1),0))*(2+1/12),0))</f>
        <v>0</v>
      </c>
      <c r="AF9" s="800"/>
    </row>
    <row r="11" spans="1:33" ht="65.25" customHeight="1" x14ac:dyDescent="0.25">
      <c r="A11" s="250" t="s">
        <v>837</v>
      </c>
      <c r="C11" s="797" t="e">
        <f ca="1">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IF($H$68&lt;&gt;"",UPPER($H$68),
 IF($S$77&lt;&gt;"",UPPER($S$77),""))))))</f>
        <v>#NAME?</v>
      </c>
      <c r="D11" s="797"/>
      <c r="F11" s="252" t="str">
        <f ca="1">IF(F$12&gt;CÁLCULO.NúmeroDeFrentes,"",OFFSET(CÁLCULO!$P$12,0,F$12))</f>
        <v>SERVIÇOS INICIAIS</v>
      </c>
      <c r="H11" s="252" t="str">
        <f ca="1">IF(H$12&gt;CÁLCULO.NúmeroDeFrentes,"",OFFSET(CÁLCULO!$P$12,0,H$12))</f>
        <v>SERVIÇOS INICIAIS</v>
      </c>
      <c r="I11" s="252" t="str">
        <f ca="1">IF(I$12&gt;CÁLCULO.NúmeroDeFrentes,"",OFFSET(CÁLCULO!$P$12,0,I$12))</f>
        <v>ADM LOCAL</v>
      </c>
      <c r="J11" s="252" t="str">
        <f ca="1">IF(J$12&gt;CÁLCULO.NúmeroDeFrentes,"",OFFSET(CÁLCULO!$P$12,0,J$12))</f>
        <v>TRECHO 2</v>
      </c>
      <c r="K11" s="252" t="str">
        <f ca="1">IF(K$12&gt;CÁLCULO.NúmeroDeFrentes,"",OFFSET(CÁLCULO!$P$12,0,K$12))</f>
        <v xml:space="preserve">TRECHO 3 </v>
      </c>
      <c r="L11" s="252" t="str">
        <f ca="1">IF(L$12&gt;CÁLCULO.NúmeroDeFrentes,"",OFFSET(CÁLCULO!$P$12,0,L$12))</f>
        <v xml:space="preserve">TRECHO 4 </v>
      </c>
      <c r="M11" s="252" t="str">
        <f ca="1">IF(M$12&gt;CÁLCULO.NúmeroDeFrentes,"",OFFSET(CÁLCULO!$P$12,0,M$12))</f>
        <v>TRECHO 5</v>
      </c>
      <c r="N11" s="252">
        <f ca="1">IF(N$12&gt;CÁLCULO.NúmeroDeFrentes,"",OFFSET(CÁLCULO!$P$12,0,N$12))</f>
        <v>0</v>
      </c>
      <c r="O11" s="252">
        <f ca="1">IF(O$12&gt;CÁLCULO.NúmeroDeFrentes,"",OFFSET(CÁLCULO!$P$12,0,O$12))</f>
        <v>0</v>
      </c>
      <c r="P11" s="252">
        <f ca="1">IF(P$12&gt;CÁLCULO.NúmeroDeFrentes,"",OFFSET(CÁLCULO!$P$12,0,P$12))</f>
        <v>0</v>
      </c>
      <c r="Q11" s="252">
        <f ca="1">IF(Q$12&gt;CÁLCULO.NúmeroDeFrentes,"",OFFSET(CÁLCULO!$P$12,0,Q$12))</f>
        <v>0</v>
      </c>
      <c r="R11" s="252">
        <f ca="1">IF(R$12&gt;CÁLCULO.NúmeroDeFrentes,"",OFFSET(CÁLCULO!$P$12,0,R$12))</f>
        <v>0</v>
      </c>
      <c r="S11" s="252">
        <f ca="1">IF(S$12&gt;CÁLCULO.NúmeroDeFrentes,"",OFFSET(CÁLCULO!$P$12,0,S$12))</f>
        <v>0</v>
      </c>
      <c r="T11" s="252">
        <f ca="1">IF(T$12&gt;CÁLCULO.NúmeroDeFrentes,"",OFFSET(CÁLCULO!$P$12,0,T$12))</f>
        <v>0</v>
      </c>
      <c r="U11" s="252">
        <f ca="1">IF(U$12&gt;CÁLCULO.NúmeroDeFrentes,"",OFFSET(CÁLCULO!$P$12,0,U$12))</f>
        <v>0</v>
      </c>
      <c r="V11" s="252">
        <f ca="1">IF(V$12&gt;CÁLCULO.NúmeroDeFrentes,"",OFFSET(CÁLCULO!$P$12,0,V$12))</f>
        <v>0</v>
      </c>
      <c r="W11" s="252">
        <f ca="1">IF(W$12&gt;CÁLCULO.NúmeroDeFrentes,"",OFFSET(CÁLCULO!$P$12,0,W$12))</f>
        <v>0</v>
      </c>
      <c r="X11" s="252">
        <f ca="1">IF(X$12&gt;CÁLCULO.NúmeroDeFrentes,"",OFFSET(CÁLCULO!$P$12,0,X$12))</f>
        <v>0</v>
      </c>
      <c r="Y11" s="252">
        <f ca="1">IF(Y$12&gt;CÁLCULO.NúmeroDeFrentes,"",OFFSET(CÁLCULO!$P$12,0,Y$12))</f>
        <v>0</v>
      </c>
      <c r="Z11" s="252" t="str">
        <f ca="1">IF(Z$12&gt;CÁLCULO.NúmeroDeFrentes,"",OFFSET(CÁLCULO!$P$12,0,Z$12))</f>
        <v/>
      </c>
      <c r="AA11" s="252" t="str">
        <f ca="1">IF(AA$12&gt;CÁLCULO.NúmeroDeFrentes,"",OFFSET(CÁLCULO!$P$12,0,AA$12))</f>
        <v/>
      </c>
      <c r="AB11" s="252" t="str">
        <f ca="1">IF(AB$12&gt;CÁLCULO.NúmeroDeFrentes,"",OFFSET(CÁLCULO!$P$12,0,AB$12))</f>
        <v/>
      </c>
      <c r="AC11" s="252" t="str">
        <f ca="1">IF(AC$12&gt;CÁLCULO.NúmeroDeFrentes,"",OFFSET(CÁLCULO!$P$12,0,AC$12))</f>
        <v/>
      </c>
      <c r="AD11" s="252" t="str">
        <f ca="1">IF(AD$12&gt;CÁLCULO.NúmeroDeFrentes,"",OFFSET(CÁLCULO!$P$12,0,AD$12))</f>
        <v/>
      </c>
      <c r="AE11" s="252" t="str">
        <f ca="1">IF(AE$12&gt;CÁLCULO.NúmeroDeFrentes,"",OFFSET(CÁLCULO!$P$12,0,AE$12))</f>
        <v/>
      </c>
      <c r="AF11" s="252" t="str">
        <f ca="1">IF(AF$12&gt;CÁLCULO.NúmeroDeFrentes,"",OFFSET(CÁLCULO!$P$12,0,AF$12))</f>
        <v/>
      </c>
    </row>
    <row r="12" spans="1:33" ht="12.75" customHeight="1" x14ac:dyDescent="0.25">
      <c r="A12" s="106" t="s">
        <v>660</v>
      </c>
      <c r="B12" s="757" t="s">
        <v>760</v>
      </c>
      <c r="C12" s="757" t="s">
        <v>778</v>
      </c>
      <c r="D12" s="757"/>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5">
      <c r="B13" s="757"/>
      <c r="C13" s="757"/>
      <c r="D13" s="757"/>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 customHeight="1" x14ac:dyDescent="0.25">
      <c r="A14" s="7" t="s">
        <v>536</v>
      </c>
    </row>
    <row r="15" spans="1:33" x14ac:dyDescent="0.25">
      <c r="A15" s="7" t="str">
        <f>IF(B15=0,"","F")</f>
        <v/>
      </c>
      <c r="B15" s="257">
        <f>EVENTOS!$C$15</f>
        <v>0</v>
      </c>
      <c r="C15" s="804" t="str">
        <f>EVENTOS!$D$15</f>
        <v/>
      </c>
      <c r="D15" s="804"/>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5">
      <c r="A16" s="7" t="str">
        <f t="shared" ref="A16:A64" ca="1" si="1">IF(C16=0,"","F")</f>
        <v>F</v>
      </c>
      <c r="B16" s="247">
        <f t="shared" ref="B16:B64" ca="1" si="2">OFFSET(B16,-1,0)+1</f>
        <v>1</v>
      </c>
      <c r="C16" s="796" t="str">
        <f ca="1">IF(AUTOEVENTO="Manual",OFFSET(EVENTOS!$D$15,$B16-$B$15,0),IF(B16&lt;=MAX(CÁLCULO!$M$15:$M$165),VLOOKUP($B16,CÁLCULO!$M$15:$N$165,2,FALSE),0))</f>
        <v>SERVIÇOS INICIAIS</v>
      </c>
      <c r="D16" s="796"/>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5">
      <c r="A17" s="7" t="str">
        <f t="shared" ca="1" si="1"/>
        <v>F</v>
      </c>
      <c r="B17" s="247">
        <f t="shared" ca="1" si="2"/>
        <v>2</v>
      </c>
      <c r="C17" s="796" t="str">
        <f ca="1">IF(AUTOEVENTO="Manual",OFFSET(EVENTOS!$D$15,$B17-$B$15,0),IF(B17&lt;=MAX(CÁLCULO!$M$15:$M$165),VLOOKUP($B17,CÁLCULO!$M$15:$N$165,2,FALSE),0))</f>
        <v>ADMINISTRAÇÃO LOCAL DA OBRA</v>
      </c>
      <c r="D17" s="796"/>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5">
      <c r="A18" s="7" t="str">
        <f t="shared" ca="1" si="1"/>
        <v>F</v>
      </c>
      <c r="B18" s="247">
        <f t="shared" ca="1" si="2"/>
        <v>3</v>
      </c>
      <c r="C18" s="796" t="str">
        <f ca="1">IF(AUTOEVENTO="Manual",OFFSET(EVENTOS!$D$15,$B18-$B$15,0),IF(B18&lt;=MAX(CÁLCULO!$M$15:$M$165),VLOOKUP($B18,CÁLCULO!$M$15:$N$165,2,FALSE),0))</f>
        <v>DRENAGEM</v>
      </c>
      <c r="D18" s="796"/>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5">
      <c r="A19" s="7" t="str">
        <f t="shared" ca="1" si="1"/>
        <v>F</v>
      </c>
      <c r="B19" s="247">
        <f t="shared" ca="1" si="2"/>
        <v>4</v>
      </c>
      <c r="C19" s="796" t="str">
        <f ca="1">IF(AUTOEVENTO="Manual",OFFSET(EVENTOS!$D$15,$B19-$B$15,0),IF(B19&lt;=MAX(CÁLCULO!$M$15:$M$165),VLOOKUP($B19,CÁLCULO!$M$15:$N$165,2,FALSE),0))</f>
        <v>CAMADA DE REPERFILAMENTO</v>
      </c>
      <c r="D19" s="796"/>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5">
      <c r="A20" s="7" t="str">
        <f t="shared" ca="1" si="1"/>
        <v>F</v>
      </c>
      <c r="B20" s="247">
        <f t="shared" ca="1" si="2"/>
        <v>5</v>
      </c>
      <c r="C20" s="796" t="str">
        <f ca="1">IF(AUTOEVENTO="Manual",OFFSET(EVENTOS!$D$15,$B20-$B$15,0),IF(B20&lt;=MAX(CÁLCULO!$M$15:$M$165),VLOOKUP($B20,CÁLCULO!$M$15:$N$165,2,FALSE),0))</f>
        <v xml:space="preserve">FAIXAS ELEVADAS </v>
      </c>
      <c r="D20" s="796"/>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5">
      <c r="A21" s="7" t="str">
        <f t="shared" ca="1" si="1"/>
        <v>F</v>
      </c>
      <c r="B21" s="247">
        <f t="shared" ca="1" si="2"/>
        <v>6</v>
      </c>
      <c r="C21" s="796" t="str">
        <f ca="1">IF(AUTOEVENTO="Manual",OFFSET(EVENTOS!$D$15,$B21-$B$15,0),IF(B21&lt;=MAX(CÁLCULO!$M$15:$M$165),VLOOKUP($B21,CÁLCULO!$M$15:$N$165,2,FALSE),0))</f>
        <v>SINALIZAÇÃO</v>
      </c>
      <c r="D21" s="796"/>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5">
      <c r="A22" s="7" t="str">
        <f t="shared" ca="1" si="1"/>
        <v>F</v>
      </c>
      <c r="B22" s="247">
        <f t="shared" ca="1" si="2"/>
        <v>7</v>
      </c>
      <c r="C22" s="796" t="str">
        <f ca="1">IF(AUTOEVENTO="Manual",OFFSET(EVENTOS!$D$15,$B22-$B$15,0),IF(B22&lt;=MAX(CÁLCULO!$M$15:$M$165),VLOOKUP($B22,CÁLCULO!$M$15:$N$165,2,FALSE),0))</f>
        <v xml:space="preserve">ENSAIOS </v>
      </c>
      <c r="D22" s="796"/>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5">
      <c r="A23" s="7" t="str">
        <f t="shared" ca="1" si="1"/>
        <v>F</v>
      </c>
      <c r="B23" s="247">
        <f t="shared" ca="1" si="2"/>
        <v>8</v>
      </c>
      <c r="C23" s="796" t="str">
        <f ca="1">IF(AUTOEVENTO="Manual",OFFSET(EVENTOS!$D$15,$B23-$B$15,0),IF(B23&lt;=MAX(CÁLCULO!$M$15:$M$165),VLOOKUP($B23,CÁLCULO!$M$15:$N$165,2,FALSE),0))</f>
        <v>SERVIÇOS INICIAIS</v>
      </c>
      <c r="D23" s="796"/>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5">
      <c r="A24" s="7" t="str">
        <f t="shared" ca="1" si="1"/>
        <v>F</v>
      </c>
      <c r="B24" s="247">
        <f t="shared" ca="1" si="2"/>
        <v>9</v>
      </c>
      <c r="C24" s="796" t="str">
        <f ca="1">IF(AUTOEVENTO="Manual",OFFSET(EVENTOS!$D$15,$B24-$B$15,0),IF(B24&lt;=MAX(CÁLCULO!$M$15:$M$165),VLOOKUP($B24,CÁLCULO!$M$15:$N$165,2,FALSE),0))</f>
        <v>DRENAGEM</v>
      </c>
      <c r="D24" s="796"/>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5">
      <c r="A25" s="7" t="str">
        <f t="shared" ca="1" si="1"/>
        <v>F</v>
      </c>
      <c r="B25" s="247">
        <f t="shared" ca="1" si="2"/>
        <v>10</v>
      </c>
      <c r="C25" s="796" t="str">
        <f ca="1">IF(AUTOEVENTO="Manual",OFFSET(EVENTOS!$D$15,$B25-$B$15,0),IF(B25&lt;=MAX(CÁLCULO!$M$15:$M$165),VLOOKUP($B25,CÁLCULO!$M$15:$N$165,2,FALSE),0))</f>
        <v>CAMADA DE REPERFILAMENTO</v>
      </c>
      <c r="D25" s="796"/>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5">
      <c r="A26" s="7" t="str">
        <f t="shared" ca="1" si="1"/>
        <v>F</v>
      </c>
      <c r="B26" s="247">
        <f t="shared" ca="1" si="2"/>
        <v>11</v>
      </c>
      <c r="C26" s="796" t="str">
        <f ca="1">IF(AUTOEVENTO="Manual",OFFSET(EVENTOS!$D$15,$B26-$B$15,0),IF(B26&lt;=MAX(CÁLCULO!$M$15:$M$165),VLOOKUP($B26,CÁLCULO!$M$15:$N$165,2,FALSE),0))</f>
        <v>LOMBADAS TIPO A (3,70m de comprimento x 0,10m altura)</v>
      </c>
      <c r="D26" s="796"/>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5">
      <c r="A27" s="7" t="str">
        <f t="shared" ca="1" si="1"/>
        <v>F</v>
      </c>
      <c r="B27" s="247">
        <f t="shared" ca="1" si="2"/>
        <v>12</v>
      </c>
      <c r="C27" s="796" t="str">
        <f ca="1">IF(AUTOEVENTO="Manual",OFFSET(EVENTOS!$D$15,$B27-$B$15,0),IF(B27&lt;=MAX(CÁLCULO!$M$15:$M$165),VLOOKUP($B27,CÁLCULO!$M$15:$N$165,2,FALSE),0))</f>
        <v>SINALIZAÇÃO</v>
      </c>
      <c r="D27" s="796"/>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5">
      <c r="A28" s="7" t="str">
        <f t="shared" ca="1" si="1"/>
        <v>F</v>
      </c>
      <c r="B28" s="247">
        <f t="shared" ca="1" si="2"/>
        <v>13</v>
      </c>
      <c r="C28" s="796" t="str">
        <f ca="1">IF(AUTOEVENTO="Manual",OFFSET(EVENTOS!$D$15,$B28-$B$15,0),IF(B28&lt;=MAX(CÁLCULO!$M$15:$M$165),VLOOKUP($B28,CÁLCULO!$M$15:$N$165,2,FALSE),0))</f>
        <v>ENSAIOS</v>
      </c>
      <c r="D28" s="796"/>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5">
      <c r="A29" s="7" t="str">
        <f t="shared" ca="1" si="1"/>
        <v>F</v>
      </c>
      <c r="B29" s="247">
        <f t="shared" ca="1" si="2"/>
        <v>14</v>
      </c>
      <c r="C29" s="796" t="str">
        <f ca="1">IF(AUTOEVENTO="Manual",OFFSET(EVENTOS!$D$15,$B29-$B$15,0),IF(B29&lt;=MAX(CÁLCULO!$M$15:$M$165),VLOOKUP($B29,CÁLCULO!$M$15:$N$165,2,FALSE),0))</f>
        <v>DRENAGEM</v>
      </c>
      <c r="D29" s="796"/>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5">
      <c r="A30" s="7" t="str">
        <f t="shared" ca="1" si="1"/>
        <v>F</v>
      </c>
      <c r="B30" s="247">
        <f t="shared" ca="1" si="2"/>
        <v>15</v>
      </c>
      <c r="C30" s="796" t="str">
        <f ca="1">IF(AUTOEVENTO="Manual",OFFSET(EVENTOS!$D$15,$B30-$B$15,0),IF(B30&lt;=MAX(CÁLCULO!$M$15:$M$165),VLOOKUP($B30,CÁLCULO!$M$15:$N$165,2,FALSE),0))</f>
        <v>PAVIMENTAÇÃO</v>
      </c>
      <c r="D30" s="796"/>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5">
      <c r="A31" s="7" t="str">
        <f t="shared" ca="1" si="1"/>
        <v>F</v>
      </c>
      <c r="B31" s="247">
        <f t="shared" ca="1" si="2"/>
        <v>16</v>
      </c>
      <c r="C31" s="796" t="str">
        <f ca="1">IF(AUTOEVENTO="Manual",OFFSET(EVENTOS!$D$15,$B31-$B$15,0),IF(B31&lt;=MAX(CÁLCULO!$M$15:$M$165),VLOOKUP($B31,CÁLCULO!$M$15:$N$165,2,FALSE),0))</f>
        <v>LOMBADAS TIPO A (3,70m de comprimento x 0,10m altura)</v>
      </c>
      <c r="D31" s="796"/>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5">
      <c r="A32" s="7" t="str">
        <f t="shared" ca="1" si="1"/>
        <v>F</v>
      </c>
      <c r="B32" s="247">
        <f t="shared" ca="1" si="2"/>
        <v>17</v>
      </c>
      <c r="C32" s="796" t="str">
        <f ca="1">IF(AUTOEVENTO="Manual",OFFSET(EVENTOS!$D$15,$B32-$B$15,0),IF(B32&lt;=MAX(CÁLCULO!$M$15:$M$165),VLOOKUP($B32,CÁLCULO!$M$15:$N$165,2,FALSE),0))</f>
        <v>SINALIZAÇAO</v>
      </c>
      <c r="D32" s="796"/>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5">
      <c r="A33" s="7" t="str">
        <f t="shared" ca="1" si="1"/>
        <v>F</v>
      </c>
      <c r="B33" s="247">
        <f t="shared" ca="1" si="2"/>
        <v>18</v>
      </c>
      <c r="C33" s="796" t="str">
        <f ca="1">IF(AUTOEVENTO="Manual",OFFSET(EVENTOS!$D$15,$B33-$B$15,0),IF(B33&lt;=MAX(CÁLCULO!$M$15:$M$165),VLOOKUP($B33,CÁLCULO!$M$15:$N$165,2,FALSE),0))</f>
        <v>ENSAIOS</v>
      </c>
      <c r="D33" s="796"/>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5">
      <c r="A34" s="7" t="str">
        <f t="shared" ca="1" si="1"/>
        <v>F</v>
      </c>
      <c r="B34" s="247">
        <f t="shared" ca="1" si="2"/>
        <v>19</v>
      </c>
      <c r="C34" s="796" t="str">
        <f ca="1">IF(AUTOEVENTO="Manual",OFFSET(EVENTOS!$D$15,$B34-$B$15,0),IF(B34&lt;=MAX(CÁLCULO!$M$15:$M$165),VLOOKUP($B34,CÁLCULO!$M$15:$N$165,2,FALSE),0))</f>
        <v>DRENAGEM</v>
      </c>
      <c r="D34" s="796"/>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5">
      <c r="A35" s="7" t="str">
        <f t="shared" ca="1" si="1"/>
        <v>F</v>
      </c>
      <c r="B35" s="247">
        <f t="shared" ca="1" si="2"/>
        <v>20</v>
      </c>
      <c r="C35" s="796" t="str">
        <f ca="1">IF(AUTOEVENTO="Manual",OFFSET(EVENTOS!$D$15,$B35-$B$15,0),IF(B35&lt;=MAX(CÁLCULO!$M$15:$M$165),VLOOKUP($B35,CÁLCULO!$M$15:$N$165,2,FALSE),0))</f>
        <v>PAVIMENTAÇÃO</v>
      </c>
      <c r="D35" s="796"/>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5">
      <c r="A36" s="7" t="str">
        <f t="shared" ca="1" si="1"/>
        <v>F</v>
      </c>
      <c r="B36" s="247">
        <f t="shared" ca="1" si="2"/>
        <v>21</v>
      </c>
      <c r="C36" s="796" t="str">
        <f ca="1">IF(AUTOEVENTO="Manual",OFFSET(EVENTOS!$D$15,$B36-$B$15,0),IF(B36&lt;=MAX(CÁLCULO!$M$15:$M$165),VLOOKUP($B36,CÁLCULO!$M$15:$N$165,2,FALSE),0))</f>
        <v>SINALIZAÇÃO</v>
      </c>
      <c r="D36" s="796"/>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5">
      <c r="A37" s="7" t="str">
        <f t="shared" ca="1" si="1"/>
        <v>F</v>
      </c>
      <c r="B37" s="247">
        <f t="shared" ca="1" si="2"/>
        <v>22</v>
      </c>
      <c r="C37" s="796" t="str">
        <f ca="1">IF(AUTOEVENTO="Manual",OFFSET(EVENTOS!$D$15,$B37-$B$15,0),IF(B37&lt;=MAX(CÁLCULO!$M$15:$M$165),VLOOKUP($B37,CÁLCULO!$M$15:$N$165,2,FALSE),0))</f>
        <v xml:space="preserve">ENSAIOS </v>
      </c>
      <c r="D37" s="796"/>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5">
      <c r="A38" s="7" t="str">
        <f t="shared" ca="1" si="1"/>
        <v>F</v>
      </c>
      <c r="B38" s="247">
        <f t="shared" ca="1" si="2"/>
        <v>23</v>
      </c>
      <c r="C38" s="796" t="str">
        <f ca="1">IF(AUTOEVENTO="Manual",OFFSET(EVENTOS!$D$15,$B38-$B$15,0),IF(B38&lt;=MAX(CÁLCULO!$M$15:$M$165),VLOOKUP($B38,CÁLCULO!$M$15:$N$165,2,FALSE),0))</f>
        <v xml:space="preserve">DESMOBILIZAÇÃO </v>
      </c>
      <c r="D38" s="796"/>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5">
      <c r="A39" s="7" t="str">
        <f t="shared" ca="1" si="1"/>
        <v/>
      </c>
      <c r="B39" s="247">
        <f t="shared" ca="1" si="2"/>
        <v>24</v>
      </c>
      <c r="C39" s="796">
        <f ca="1">IF(AUTOEVENTO="Manual",OFFSET(EVENTOS!$D$15,$B39-$B$15,0),IF(B39&lt;=MAX(CÁLCULO!$M$15:$M$165),VLOOKUP($B39,CÁLCULO!$M$15:$N$165,2,FALSE),0))</f>
        <v>0</v>
      </c>
      <c r="D39" s="796"/>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5">
      <c r="A40" s="7" t="str">
        <f t="shared" ca="1" si="1"/>
        <v/>
      </c>
      <c r="B40" s="247">
        <f t="shared" ca="1" si="2"/>
        <v>25</v>
      </c>
      <c r="C40" s="796">
        <f ca="1">IF(AUTOEVENTO="Manual",OFFSET(EVENTOS!$D$15,$B40-$B$15,0),IF(B40&lt;=MAX(CÁLCULO!$M$15:$M$165),VLOOKUP($B40,CÁLCULO!$M$15:$N$165,2,FALSE),0))</f>
        <v>0</v>
      </c>
      <c r="D40" s="796"/>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5">
      <c r="A41" s="7" t="str">
        <f t="shared" ca="1" si="1"/>
        <v/>
      </c>
      <c r="B41" s="247">
        <f t="shared" ca="1" si="2"/>
        <v>26</v>
      </c>
      <c r="C41" s="796">
        <f ca="1">IF(AUTOEVENTO="Manual",OFFSET(EVENTOS!$D$15,$B41-$B$15,0),IF(B41&lt;=MAX(CÁLCULO!$M$15:$M$165),VLOOKUP($B41,CÁLCULO!$M$15:$N$165,2,FALSE),0))</f>
        <v>0</v>
      </c>
      <c r="D41" s="796"/>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5">
      <c r="A42" s="7" t="str">
        <f t="shared" ca="1" si="1"/>
        <v/>
      </c>
      <c r="B42" s="247">
        <f t="shared" ca="1" si="2"/>
        <v>27</v>
      </c>
      <c r="C42" s="796">
        <f ca="1">IF(AUTOEVENTO="Manual",OFFSET(EVENTOS!$D$15,$B42-$B$15,0),IF(B42&lt;=MAX(CÁLCULO!$M$15:$M$165),VLOOKUP($B42,CÁLCULO!$M$15:$N$165,2,FALSE),0))</f>
        <v>0</v>
      </c>
      <c r="D42" s="796"/>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5">
      <c r="A43" s="7" t="str">
        <f t="shared" ca="1" si="1"/>
        <v/>
      </c>
      <c r="B43" s="247">
        <f t="shared" ca="1" si="2"/>
        <v>28</v>
      </c>
      <c r="C43" s="796">
        <f ca="1">IF(AUTOEVENTO="Manual",OFFSET(EVENTOS!$D$15,$B43-$B$15,0),IF(B43&lt;=MAX(CÁLCULO!$M$15:$M$165),VLOOKUP($B43,CÁLCULO!$M$15:$N$165,2,FALSE),0))</f>
        <v>0</v>
      </c>
      <c r="D43" s="796"/>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5">
      <c r="A44" s="7" t="str">
        <f t="shared" ca="1" si="1"/>
        <v/>
      </c>
      <c r="B44" s="247">
        <f t="shared" ca="1" si="2"/>
        <v>29</v>
      </c>
      <c r="C44" s="796">
        <f ca="1">IF(AUTOEVENTO="Manual",OFFSET(EVENTOS!$D$15,$B44-$B$15,0),IF(B44&lt;=MAX(CÁLCULO!$M$15:$M$165),VLOOKUP($B44,CÁLCULO!$M$15:$N$165,2,FALSE),0))</f>
        <v>0</v>
      </c>
      <c r="D44" s="796"/>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5">
      <c r="A45" s="7" t="str">
        <f t="shared" ca="1" si="1"/>
        <v/>
      </c>
      <c r="B45" s="247">
        <f t="shared" ca="1" si="2"/>
        <v>30</v>
      </c>
      <c r="C45" s="796">
        <f ca="1">IF(AUTOEVENTO="Manual",OFFSET(EVENTOS!$D$15,$B45-$B$15,0),IF(B45&lt;=MAX(CÁLCULO!$M$15:$M$165),VLOOKUP($B45,CÁLCULO!$M$15:$N$165,2,FALSE),0))</f>
        <v>0</v>
      </c>
      <c r="D45" s="796"/>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5">
      <c r="A46" s="7" t="str">
        <f t="shared" ca="1" si="1"/>
        <v/>
      </c>
      <c r="B46" s="247">
        <f t="shared" ca="1" si="2"/>
        <v>31</v>
      </c>
      <c r="C46" s="796">
        <f ca="1">IF(AUTOEVENTO="Manual",OFFSET(EVENTOS!$D$15,$B46-$B$15,0),IF(B46&lt;=MAX(CÁLCULO!$M$15:$M$165),VLOOKUP($B46,CÁLCULO!$M$15:$N$165,2,FALSE),0))</f>
        <v>0</v>
      </c>
      <c r="D46" s="796"/>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5">
      <c r="A47" s="7" t="str">
        <f t="shared" ca="1" si="1"/>
        <v/>
      </c>
      <c r="B47" s="247">
        <f t="shared" ca="1" si="2"/>
        <v>32</v>
      </c>
      <c r="C47" s="796">
        <f ca="1">IF(AUTOEVENTO="Manual",OFFSET(EVENTOS!$D$15,$B47-$B$15,0),IF(B47&lt;=MAX(CÁLCULO!$M$15:$M$165),VLOOKUP($B47,CÁLCULO!$M$15:$N$165,2,FALSE),0))</f>
        <v>0</v>
      </c>
      <c r="D47" s="796"/>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5">
      <c r="A48" s="7" t="str">
        <f t="shared" ca="1" si="1"/>
        <v/>
      </c>
      <c r="B48" s="247">
        <f t="shared" ca="1" si="2"/>
        <v>33</v>
      </c>
      <c r="C48" s="796">
        <f ca="1">IF(AUTOEVENTO="Manual",OFFSET(EVENTOS!$D$15,$B48-$B$15,0),IF(B48&lt;=MAX(CÁLCULO!$M$15:$M$165),VLOOKUP($B48,CÁLCULO!$M$15:$N$165,2,FALSE),0))</f>
        <v>0</v>
      </c>
      <c r="D48" s="796"/>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5">
      <c r="A49" s="7" t="str">
        <f t="shared" ca="1" si="1"/>
        <v/>
      </c>
      <c r="B49" s="247">
        <f t="shared" ca="1" si="2"/>
        <v>34</v>
      </c>
      <c r="C49" s="796">
        <f ca="1">IF(AUTOEVENTO="Manual",OFFSET(EVENTOS!$D$15,$B49-$B$15,0),IF(B49&lt;=MAX(CÁLCULO!$M$15:$M$165),VLOOKUP($B49,CÁLCULO!$M$15:$N$165,2,FALSE),0))</f>
        <v>0</v>
      </c>
      <c r="D49" s="796"/>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5">
      <c r="A50" s="7" t="str">
        <f t="shared" ca="1" si="1"/>
        <v/>
      </c>
      <c r="B50" s="247">
        <f t="shared" ca="1" si="2"/>
        <v>35</v>
      </c>
      <c r="C50" s="796">
        <f ca="1">IF(AUTOEVENTO="Manual",OFFSET(EVENTOS!$D$15,$B50-$B$15,0),IF(B50&lt;=MAX(CÁLCULO!$M$15:$M$165),VLOOKUP($B50,CÁLCULO!$M$15:$N$165,2,FALSE),0))</f>
        <v>0</v>
      </c>
      <c r="D50" s="796"/>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5">
      <c r="A51" s="7" t="str">
        <f t="shared" ca="1" si="1"/>
        <v/>
      </c>
      <c r="B51" s="247">
        <f t="shared" ca="1" si="2"/>
        <v>36</v>
      </c>
      <c r="C51" s="796">
        <f ca="1">IF(AUTOEVENTO="Manual",OFFSET(EVENTOS!$D$15,$B51-$B$15,0),IF(B51&lt;=MAX(CÁLCULO!$M$15:$M$165),VLOOKUP($B51,CÁLCULO!$M$15:$N$165,2,FALSE),0))</f>
        <v>0</v>
      </c>
      <c r="D51" s="796"/>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5">
      <c r="A52" s="7" t="str">
        <f t="shared" ca="1" si="1"/>
        <v/>
      </c>
      <c r="B52" s="247">
        <f t="shared" ca="1" si="2"/>
        <v>37</v>
      </c>
      <c r="C52" s="796">
        <f ca="1">IF(AUTOEVENTO="Manual",OFFSET(EVENTOS!$D$15,$B52-$B$15,0),IF(B52&lt;=MAX(CÁLCULO!$M$15:$M$165),VLOOKUP($B52,CÁLCULO!$M$15:$N$165,2,FALSE),0))</f>
        <v>0</v>
      </c>
      <c r="D52" s="796"/>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5">
      <c r="A53" s="7" t="str">
        <f t="shared" ca="1" si="1"/>
        <v/>
      </c>
      <c r="B53" s="247">
        <f t="shared" ca="1" si="2"/>
        <v>38</v>
      </c>
      <c r="C53" s="796">
        <f ca="1">IF(AUTOEVENTO="Manual",OFFSET(EVENTOS!$D$15,$B53-$B$15,0),IF(B53&lt;=MAX(CÁLCULO!$M$15:$M$165),VLOOKUP($B53,CÁLCULO!$M$15:$N$165,2,FALSE),0))</f>
        <v>0</v>
      </c>
      <c r="D53" s="796"/>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5">
      <c r="A54" s="7" t="str">
        <f t="shared" ca="1" si="1"/>
        <v/>
      </c>
      <c r="B54" s="247">
        <f t="shared" ca="1" si="2"/>
        <v>39</v>
      </c>
      <c r="C54" s="796">
        <f ca="1">IF(AUTOEVENTO="Manual",OFFSET(EVENTOS!$D$15,$B54-$B$15,0),IF(B54&lt;=MAX(CÁLCULO!$M$15:$M$165),VLOOKUP($B54,CÁLCULO!$M$15:$N$165,2,FALSE),0))</f>
        <v>0</v>
      </c>
      <c r="D54" s="796"/>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5">
      <c r="A55" s="7" t="str">
        <f t="shared" ca="1" si="1"/>
        <v/>
      </c>
      <c r="B55" s="247">
        <f t="shared" ca="1" si="2"/>
        <v>40</v>
      </c>
      <c r="C55" s="796">
        <f ca="1">IF(AUTOEVENTO="Manual",OFFSET(EVENTOS!$D$15,$B55-$B$15,0),IF(B55&lt;=MAX(CÁLCULO!$M$15:$M$165),VLOOKUP($B55,CÁLCULO!$M$15:$N$165,2,FALSE),0))</f>
        <v>0</v>
      </c>
      <c r="D55" s="796"/>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5">
      <c r="A56" s="7" t="str">
        <f t="shared" ca="1" si="1"/>
        <v/>
      </c>
      <c r="B56" s="247">
        <f t="shared" ca="1" si="2"/>
        <v>41</v>
      </c>
      <c r="C56" s="796">
        <f ca="1">IF(AUTOEVENTO="Manual",OFFSET(EVENTOS!$D$15,$B56-$B$15,0),IF(B56&lt;=MAX(CÁLCULO!$M$15:$M$165),VLOOKUP($B56,CÁLCULO!$M$15:$N$165,2,FALSE),0))</f>
        <v>0</v>
      </c>
      <c r="D56" s="796"/>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5">
      <c r="A57" s="7" t="str">
        <f t="shared" ca="1" si="1"/>
        <v/>
      </c>
      <c r="B57" s="247">
        <f t="shared" ca="1" si="2"/>
        <v>42</v>
      </c>
      <c r="C57" s="796">
        <f ca="1">IF(AUTOEVENTO="Manual",OFFSET(EVENTOS!$D$15,$B57-$B$15,0),IF(B57&lt;=MAX(CÁLCULO!$M$15:$M$165),VLOOKUP($B57,CÁLCULO!$M$15:$N$165,2,FALSE),0))</f>
        <v>0</v>
      </c>
      <c r="D57" s="796"/>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5">
      <c r="A58" s="7" t="str">
        <f t="shared" ca="1" si="1"/>
        <v/>
      </c>
      <c r="B58" s="247">
        <f t="shared" ca="1" si="2"/>
        <v>43</v>
      </c>
      <c r="C58" s="796">
        <f ca="1">IF(AUTOEVENTO="Manual",OFFSET(EVENTOS!$D$15,$B58-$B$15,0),IF(B58&lt;=MAX(CÁLCULO!$M$15:$M$165),VLOOKUP($B58,CÁLCULO!$M$15:$N$165,2,FALSE),0))</f>
        <v>0</v>
      </c>
      <c r="D58" s="796"/>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5">
      <c r="A59" s="7" t="str">
        <f t="shared" ca="1" si="1"/>
        <v/>
      </c>
      <c r="B59" s="247">
        <f t="shared" ca="1" si="2"/>
        <v>44</v>
      </c>
      <c r="C59" s="796">
        <f ca="1">IF(AUTOEVENTO="Manual",OFFSET(EVENTOS!$D$15,$B59-$B$15,0),IF(B59&lt;=MAX(CÁLCULO!$M$15:$M$165),VLOOKUP($B59,CÁLCULO!$M$15:$N$165,2,FALSE),0))</f>
        <v>0</v>
      </c>
      <c r="D59" s="796"/>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5">
      <c r="A60" s="7" t="str">
        <f t="shared" ca="1" si="1"/>
        <v/>
      </c>
      <c r="B60" s="247">
        <f t="shared" ca="1" si="2"/>
        <v>45</v>
      </c>
      <c r="C60" s="796">
        <f ca="1">IF(AUTOEVENTO="Manual",OFFSET(EVENTOS!$D$15,$B60-$B$15,0),IF(B60&lt;=MAX(CÁLCULO!$M$15:$M$165),VLOOKUP($B60,CÁLCULO!$M$15:$N$165,2,FALSE),0))</f>
        <v>0</v>
      </c>
      <c r="D60" s="796"/>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5">
      <c r="A61" s="7" t="str">
        <f t="shared" ca="1" si="1"/>
        <v/>
      </c>
      <c r="B61" s="247">
        <f t="shared" ca="1" si="2"/>
        <v>46</v>
      </c>
      <c r="C61" s="796">
        <f ca="1">IF(AUTOEVENTO="Manual",OFFSET(EVENTOS!$D$15,$B61-$B$15,0),IF(B61&lt;=MAX(CÁLCULO!$M$15:$M$165),VLOOKUP($B61,CÁLCULO!$M$15:$N$165,2,FALSE),0))</f>
        <v>0</v>
      </c>
      <c r="D61" s="796"/>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5">
      <c r="A62" s="7" t="str">
        <f t="shared" ca="1" si="1"/>
        <v/>
      </c>
      <c r="B62" s="247">
        <f t="shared" ca="1" si="2"/>
        <v>47</v>
      </c>
      <c r="C62" s="796">
        <f ca="1">IF(AUTOEVENTO="Manual",OFFSET(EVENTOS!$D$15,$B62-$B$15,0),IF(B62&lt;=MAX(CÁLCULO!$M$15:$M$165),VLOOKUP($B62,CÁLCULO!$M$15:$N$165,2,FALSE),0))</f>
        <v>0</v>
      </c>
      <c r="D62" s="796"/>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5">
      <c r="A63" s="7" t="str">
        <f t="shared" ca="1" si="1"/>
        <v/>
      </c>
      <c r="B63" s="247">
        <f t="shared" ca="1" si="2"/>
        <v>48</v>
      </c>
      <c r="C63" s="796">
        <f ca="1">IF(AUTOEVENTO="Manual",OFFSET(EVENTOS!$D$15,$B63-$B$15,0),IF(B63&lt;=MAX(CÁLCULO!$M$15:$M$165),VLOOKUP($B63,CÁLCULO!$M$15:$N$165,2,FALSE),0))</f>
        <v>0</v>
      </c>
      <c r="D63" s="796"/>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5">
      <c r="A64" s="7" t="str">
        <f t="shared" ca="1" si="1"/>
        <v/>
      </c>
      <c r="B64" s="247">
        <f t="shared" ca="1" si="2"/>
        <v>49</v>
      </c>
      <c r="C64" s="796">
        <f ca="1">IF(AUTOEVENTO="Manual",OFFSET(EVENTOS!$D$15,$B64-$B$15,0),IF(B64&lt;=MAX(CÁLCULO!$M$15:$M$165),VLOOKUP($B64,CÁLCULO!$M$15:$N$165,2,FALSE),0))</f>
        <v>0</v>
      </c>
      <c r="D64" s="796"/>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5">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5">
      <c r="A66" s="7" t="s">
        <v>536</v>
      </c>
    </row>
    <row r="67" spans="1:32" x14ac:dyDescent="0.25">
      <c r="A67" s="7" t="s">
        <v>536</v>
      </c>
      <c r="I67" s="806" t="s">
        <v>839</v>
      </c>
      <c r="J67" s="806"/>
      <c r="K67" s="806"/>
      <c r="L67" s="806"/>
      <c r="M67" s="806"/>
      <c r="N67" s="806"/>
      <c r="O67" s="806"/>
      <c r="P67" s="806"/>
      <c r="Q67" s="806"/>
      <c r="R67" s="806"/>
      <c r="S67" s="806"/>
      <c r="T67" s="806"/>
      <c r="U67" s="806"/>
      <c r="V67" s="806"/>
      <c r="W67" s="806"/>
      <c r="X67" s="806"/>
      <c r="Y67" s="806"/>
      <c r="Z67" s="806"/>
      <c r="AA67" s="806"/>
      <c r="AB67" s="806"/>
      <c r="AC67" s="806"/>
      <c r="AD67" s="806"/>
      <c r="AE67" s="806"/>
      <c r="AF67" s="806"/>
    </row>
    <row r="68" spans="1:32" x14ac:dyDescent="0.25">
      <c r="A68" s="7" t="s">
        <v>536</v>
      </c>
      <c r="H68" s="583" t="str">
        <f>IF(INDEX($I$68:$AG$68,MATCH(PLE.Medicao,$I$69:$AG$69,0))="","Preencher a data da medição "&amp;PLE.Medicao,"")</f>
        <v>Preencher a data da medição 1</v>
      </c>
      <c r="I68" s="788"/>
      <c r="J68" s="787"/>
      <c r="K68" s="787"/>
      <c r="L68" s="787"/>
      <c r="M68" s="787"/>
      <c r="N68" s="787"/>
      <c r="O68" s="787"/>
      <c r="P68" s="787"/>
      <c r="Q68" s="787"/>
      <c r="R68" s="787"/>
      <c r="S68" s="787"/>
      <c r="T68" s="787"/>
      <c r="U68" s="787"/>
      <c r="V68" s="787"/>
      <c r="W68" s="787"/>
      <c r="X68" s="787"/>
      <c r="Y68" s="787"/>
      <c r="Z68" s="787"/>
      <c r="AA68" s="787"/>
      <c r="AB68" s="787"/>
      <c r="AC68" s="787"/>
      <c r="AD68" s="787"/>
      <c r="AE68" s="787"/>
      <c r="AF68" s="807"/>
    </row>
    <row r="69" spans="1:32" x14ac:dyDescent="0.25">
      <c r="A69" s="7" t="s">
        <v>536</v>
      </c>
      <c r="D69" s="269" t="s">
        <v>840</v>
      </c>
      <c r="I69" s="786">
        <f>IF(PLE.Medicao&lt;=12,1,TRUNC((PLE.Medicao - 2)/11,0) * 11 + 1)</f>
        <v>1</v>
      </c>
      <c r="J69" s="786"/>
      <c r="K69" s="786">
        <f>I69+1</f>
        <v>2</v>
      </c>
      <c r="L69" s="786"/>
      <c r="M69" s="786">
        <f>K69+1</f>
        <v>3</v>
      </c>
      <c r="N69" s="786"/>
      <c r="O69" s="786">
        <f>M69+1</f>
        <v>4</v>
      </c>
      <c r="P69" s="786"/>
      <c r="Q69" s="786">
        <f>O69+1</f>
        <v>5</v>
      </c>
      <c r="R69" s="786"/>
      <c r="S69" s="786">
        <f>Q69+1</f>
        <v>6</v>
      </c>
      <c r="T69" s="786"/>
      <c r="U69" s="786">
        <f>S69+1</f>
        <v>7</v>
      </c>
      <c r="V69" s="786"/>
      <c r="W69" s="786">
        <f>U69+1</f>
        <v>8</v>
      </c>
      <c r="X69" s="786"/>
      <c r="Y69" s="786">
        <f>W69+1</f>
        <v>9</v>
      </c>
      <c r="Z69" s="786"/>
      <c r="AA69" s="786">
        <f>Y69+1</f>
        <v>10</v>
      </c>
      <c r="AB69" s="786"/>
      <c r="AC69" s="786">
        <f>AA69+1</f>
        <v>11</v>
      </c>
      <c r="AD69" s="786"/>
      <c r="AE69" s="786">
        <f>AC69+1</f>
        <v>12</v>
      </c>
      <c r="AF69" s="786"/>
    </row>
    <row r="70" spans="1:32" x14ac:dyDescent="0.25">
      <c r="A70" s="7" t="s">
        <v>536</v>
      </c>
      <c r="D70" s="789" t="s">
        <v>799</v>
      </c>
      <c r="H70" s="270" t="s">
        <v>781</v>
      </c>
      <c r="I70" s="808">
        <f ca="1">ROUND(I71,2)/ORÇAMENTO!$X$15</f>
        <v>0</v>
      </c>
      <c r="J70" s="808"/>
      <c r="K70" s="803">
        <f ca="1">ROUND(K71,2)/ORÇAMENTO!$X$15</f>
        <v>0</v>
      </c>
      <c r="L70" s="803"/>
      <c r="M70" s="805">
        <f ca="1">ROUND(M71,2)/ORÇAMENTO!$X$15</f>
        <v>0</v>
      </c>
      <c r="N70" s="805"/>
      <c r="O70" s="803">
        <f ca="1">ROUND(O71,2)/ORÇAMENTO!$X$15</f>
        <v>0</v>
      </c>
      <c r="P70" s="803"/>
      <c r="Q70" s="805">
        <f ca="1">ROUND(Q71,2)/ORÇAMENTO!$X$15</f>
        <v>0</v>
      </c>
      <c r="R70" s="805"/>
      <c r="S70" s="803">
        <f ca="1">ROUND(S71,2)/ORÇAMENTO!$X$15</f>
        <v>0</v>
      </c>
      <c r="T70" s="803"/>
      <c r="U70" s="805">
        <f ca="1">ROUND(U71,2)/ORÇAMENTO!$X$15</f>
        <v>0</v>
      </c>
      <c r="V70" s="805"/>
      <c r="W70" s="803">
        <f ca="1">ROUND(W71,2)/ORÇAMENTO!$X$15</f>
        <v>0</v>
      </c>
      <c r="X70" s="803"/>
      <c r="Y70" s="805">
        <f ca="1">ROUND(Y71,2)/ORÇAMENTO!$X$15</f>
        <v>0</v>
      </c>
      <c r="Z70" s="805"/>
      <c r="AA70" s="803">
        <f ca="1">ROUND(AA71,2)/ORÇAMENTO!$X$15</f>
        <v>0</v>
      </c>
      <c r="AB70" s="803"/>
      <c r="AC70" s="805">
        <f ca="1">ROUND(AC71,2)/ORÇAMENTO!$X$15</f>
        <v>0</v>
      </c>
      <c r="AD70" s="805"/>
      <c r="AE70" s="803">
        <f ca="1">ROUND(AE71,2)/ORÇAMENTO!$X$15</f>
        <v>0</v>
      </c>
      <c r="AF70" s="803"/>
    </row>
    <row r="71" spans="1:32" x14ac:dyDescent="0.25">
      <c r="A71" s="7" t="s">
        <v>536</v>
      </c>
      <c r="D71" s="789"/>
      <c r="H71" s="11" t="s">
        <v>782</v>
      </c>
      <c r="I71" s="785" cm="1">
        <f t="array" aca="1" ref="I71" ca="1">IF(I69=1,I73,_xlfn.SINGLE(AH11ARRED(I73,2))-ROUND(SUMIF(CÁLCULO!$BV$15:$CN$165,"&lt;="&amp;PLE!I69-1,CÁLCULO!$AJ$15:$BB$165)*IF(AdmLocal="Automática",(1+_xlfn.SINGLE(CÁLCULO.TotalAdmLocal)/(ORÇAMENTO!$X$15-_xlfn.SINGLE(CÁLCULO.TotalAdmLocal))),1),2))</f>
        <v>0</v>
      </c>
      <c r="J71" s="785"/>
      <c r="K71" s="785">
        <f ca="1">ROUND(K73,2)-ROUND(I73,2)</f>
        <v>0</v>
      </c>
      <c r="L71" s="785"/>
      <c r="M71" s="791">
        <f ca="1">ROUND(M73,2)-ROUND(K73,2)</f>
        <v>0</v>
      </c>
      <c r="N71" s="791"/>
      <c r="O71" s="785">
        <f ca="1">ROUND(O73,2)-ROUND(M73,2)</f>
        <v>0</v>
      </c>
      <c r="P71" s="785"/>
      <c r="Q71" s="791">
        <f ca="1">ROUND(Q73,2)-ROUND(O73,2)</f>
        <v>0</v>
      </c>
      <c r="R71" s="791"/>
      <c r="S71" s="785">
        <f ca="1">ROUND(S73,2)-ROUND(Q73,2)</f>
        <v>0</v>
      </c>
      <c r="T71" s="785"/>
      <c r="U71" s="791">
        <f ca="1">ROUND(U73,2)-ROUND(S73,2)</f>
        <v>0</v>
      </c>
      <c r="V71" s="791"/>
      <c r="W71" s="785">
        <f ca="1">ROUND(W73,2)-ROUND(U73,2)</f>
        <v>0</v>
      </c>
      <c r="X71" s="785"/>
      <c r="Y71" s="791">
        <f ca="1">ROUND(Y73,2)-ROUND(W73,2)</f>
        <v>0</v>
      </c>
      <c r="Z71" s="791"/>
      <c r="AA71" s="785">
        <f ca="1">ROUND(AA73,2)-ROUND(Y73,2)</f>
        <v>0</v>
      </c>
      <c r="AB71" s="785"/>
      <c r="AC71" s="791">
        <f ca="1">ROUND(AC73,2)-ROUND(AA73,2)</f>
        <v>0</v>
      </c>
      <c r="AD71" s="791"/>
      <c r="AE71" s="785">
        <f ca="1">ROUND(AE73,2)-ROUND(AC73,2)</f>
        <v>0</v>
      </c>
      <c r="AF71" s="785"/>
    </row>
    <row r="72" spans="1:32" x14ac:dyDescent="0.25">
      <c r="A72" s="7" t="s">
        <v>536</v>
      </c>
      <c r="D72" s="789" t="s">
        <v>803</v>
      </c>
      <c r="H72" s="270" t="s">
        <v>781</v>
      </c>
      <c r="I72" s="794">
        <f ca="1">ROUND(I73,2)/ORÇAMENTO!$X$15</f>
        <v>0</v>
      </c>
      <c r="J72" s="794"/>
      <c r="K72" s="793">
        <f ca="1">ROUND(K73,2)/ORÇAMENTO!$X$15</f>
        <v>0</v>
      </c>
      <c r="L72" s="793"/>
      <c r="M72" s="790">
        <f ca="1">ROUND(M73,2)/ORÇAMENTO!$X$15</f>
        <v>0</v>
      </c>
      <c r="N72" s="790"/>
      <c r="O72" s="793">
        <f ca="1">ROUND(O73,2)/ORÇAMENTO!$X$15</f>
        <v>0</v>
      </c>
      <c r="P72" s="793"/>
      <c r="Q72" s="790">
        <f ca="1">ROUND(Q73,2)/ORÇAMENTO!$X$15</f>
        <v>0</v>
      </c>
      <c r="R72" s="790"/>
      <c r="S72" s="793">
        <f ca="1">ROUND(S73,2)/ORÇAMENTO!$X$15</f>
        <v>0</v>
      </c>
      <c r="T72" s="793"/>
      <c r="U72" s="790">
        <f ca="1">ROUND(U73,2)/ORÇAMENTO!$X$15</f>
        <v>0</v>
      </c>
      <c r="V72" s="790"/>
      <c r="W72" s="793">
        <f ca="1">ROUND(W73,2)/ORÇAMENTO!$X$15</f>
        <v>0</v>
      </c>
      <c r="X72" s="793"/>
      <c r="Y72" s="790">
        <f ca="1">ROUND(Y73,2)/ORÇAMENTO!$X$15</f>
        <v>0</v>
      </c>
      <c r="Z72" s="790"/>
      <c r="AA72" s="793">
        <f ca="1">ROUND(AA73,2)/ORÇAMENTO!$X$15</f>
        <v>0</v>
      </c>
      <c r="AB72" s="793"/>
      <c r="AC72" s="790">
        <f ca="1">ROUND(AC73,2)/ORÇAMENTO!$X$15</f>
        <v>0</v>
      </c>
      <c r="AD72" s="790"/>
      <c r="AE72" s="793">
        <f ca="1">ROUND(AE73,2)/ORÇAMENTO!$X$15</f>
        <v>0</v>
      </c>
      <c r="AF72" s="793"/>
    </row>
    <row r="73" spans="1:32" x14ac:dyDescent="0.25">
      <c r="A73" s="7" t="s">
        <v>536</v>
      </c>
      <c r="D73" s="789"/>
      <c r="H73" s="11" t="s">
        <v>782</v>
      </c>
      <c r="I73" s="792" cm="1">
        <f t="array" aca="1" ref="I73" ca="1">SUMIF(CÁLCULO!$BV$15:$CN$165,"&lt;="&amp;PLE!I69,CÁLCULO!$AJ$15:$BB$165)*IF(AdmLocal="Automática",(1+_xlfn.SINGLE(CÁLCULO.TotalAdmLocal)/(ORÇAMENTO!$X$15-_xlfn.SINGLE(CÁLCULO.TotalAdmLocal))),1)</f>
        <v>0</v>
      </c>
      <c r="J73" s="792"/>
      <c r="K73" s="785" cm="1">
        <f t="array" aca="1" ref="K73" ca="1">SUMIF(CÁLCULO!$BV$15:$CN$165,"&lt;="&amp;PLE!K69,CÁLCULO!$AJ$15:$BB$165)*IF(AdmLocal="Automática",(1+_xlfn.SINGLE(CÁLCULO.TotalAdmLocal)/(ORÇAMENTO!$X$15-_xlfn.SINGLE(CÁLCULO.TotalAdmLocal))),1)</f>
        <v>0</v>
      </c>
      <c r="L73" s="785"/>
      <c r="M73" s="791" cm="1">
        <f t="array" aca="1" ref="M73" ca="1">SUMIF(CÁLCULO!$BV$15:$CN$165,"&lt;="&amp;PLE!M69,CÁLCULO!$AJ$15:$BB$165)*IF(AdmLocal="Automática",(1+_xlfn.SINGLE(CÁLCULO.TotalAdmLocal)/(ORÇAMENTO!$X$15-_xlfn.SINGLE(CÁLCULO.TotalAdmLocal))),1)</f>
        <v>0</v>
      </c>
      <c r="N73" s="791"/>
      <c r="O73" s="785" cm="1">
        <f t="array" aca="1" ref="O73" ca="1">SUMIF(CÁLCULO!$BV$15:$CN$165,"&lt;="&amp;PLE!O69,CÁLCULO!$AJ$15:$BB$165)*IF(AdmLocal="Automática",(1+_xlfn.SINGLE(CÁLCULO.TotalAdmLocal)/(ORÇAMENTO!$X$15-_xlfn.SINGLE(CÁLCULO.TotalAdmLocal))),1)</f>
        <v>0</v>
      </c>
      <c r="P73" s="785"/>
      <c r="Q73" s="791" cm="1">
        <f t="array" aca="1" ref="Q73" ca="1">SUMIF(CÁLCULO!$BV$15:$CN$165,"&lt;="&amp;PLE!Q69,CÁLCULO!$AJ$15:$BB$165)*IF(AdmLocal="Automática",(1+_xlfn.SINGLE(CÁLCULO.TotalAdmLocal)/(ORÇAMENTO!$X$15-_xlfn.SINGLE(CÁLCULO.TotalAdmLocal))),1)</f>
        <v>0</v>
      </c>
      <c r="R73" s="791"/>
      <c r="S73" s="785" cm="1">
        <f t="array" aca="1" ref="S73" ca="1">SUMIF(CÁLCULO!$BV$15:$CN$165,"&lt;="&amp;PLE!S69,CÁLCULO!$AJ$15:$BB$165)*IF(AdmLocal="Automática",(1+_xlfn.SINGLE(CÁLCULO.TotalAdmLocal)/(ORÇAMENTO!$X$15-_xlfn.SINGLE(CÁLCULO.TotalAdmLocal))),1)</f>
        <v>0</v>
      </c>
      <c r="T73" s="785"/>
      <c r="U73" s="791" cm="1">
        <f t="array" aca="1" ref="U73" ca="1">SUMIF(CÁLCULO!$BV$15:$CN$165,"&lt;="&amp;PLE!U69,CÁLCULO!$AJ$15:$BB$165)*IF(AdmLocal="Automática",(1+_xlfn.SINGLE(CÁLCULO.TotalAdmLocal)/(ORÇAMENTO!$X$15-_xlfn.SINGLE(CÁLCULO.TotalAdmLocal))),1)</f>
        <v>0</v>
      </c>
      <c r="V73" s="791"/>
      <c r="W73" s="785" cm="1">
        <f t="array" aca="1" ref="W73" ca="1">SUMIF(CÁLCULO!$BV$15:$CN$165,"&lt;="&amp;PLE!W69,CÁLCULO!$AJ$15:$BB$165)*IF(AdmLocal="Automática",(1+_xlfn.SINGLE(CÁLCULO.TotalAdmLocal)/(ORÇAMENTO!$X$15-_xlfn.SINGLE(CÁLCULO.TotalAdmLocal))),1)</f>
        <v>0</v>
      </c>
      <c r="X73" s="785"/>
      <c r="Y73" s="791" cm="1">
        <f t="array" aca="1" ref="Y73" ca="1">SUMIF(CÁLCULO!$BV$15:$CN$165,"&lt;="&amp;PLE!Y69,CÁLCULO!$AJ$15:$BB$165)*IF(AdmLocal="Automática",(1+_xlfn.SINGLE(CÁLCULO.TotalAdmLocal)/(ORÇAMENTO!$X$15-_xlfn.SINGLE(CÁLCULO.TotalAdmLocal))),1)</f>
        <v>0</v>
      </c>
      <c r="Z73" s="791"/>
      <c r="AA73" s="785" cm="1">
        <f t="array" aca="1" ref="AA73" ca="1">SUMIF(CÁLCULO!$BV$15:$CN$165,"&lt;="&amp;PLE!AA69,CÁLCULO!$AJ$15:$BB$165)*IF(AdmLocal="Automática",(1+_xlfn.SINGLE(CÁLCULO.TotalAdmLocal)/(ORÇAMENTO!$X$15-_xlfn.SINGLE(CÁLCULO.TotalAdmLocal))),1)</f>
        <v>0</v>
      </c>
      <c r="AB73" s="785"/>
      <c r="AC73" s="791" cm="1">
        <f t="array" aca="1" ref="AC73" ca="1">SUMIF(CÁLCULO!$BV$15:$CN$165,"&lt;="&amp;PLE!AC69,CÁLCULO!$AJ$15:$BB$165)*IF(AdmLocal="Automática",(1+_xlfn.SINGLE(CÁLCULO.TotalAdmLocal)/(ORÇAMENTO!$X$15-_xlfn.SINGLE(CÁLCULO.TotalAdmLocal))),1)</f>
        <v>0</v>
      </c>
      <c r="AD73" s="791"/>
      <c r="AE73" s="785" cm="1">
        <f t="array" aca="1" ref="AE73" ca="1">SUMIF(CÁLCULO!$BV$15:$CN$165,"&lt;="&amp;PLE!AE69,CÁLCULO!$AJ$15:$BB$165)*IF(AdmLocal="Automática",(1+_xlfn.SINGLE(CÁLCULO.TotalAdmLocal)/(ORÇAMENTO!$X$15-_xlfn.SINGLE(CÁLCULO.TotalAdmLocal))),1)</f>
        <v>0</v>
      </c>
      <c r="AF73" s="785"/>
    </row>
    <row r="74" spans="1:32" ht="12.75" customHeight="1" x14ac:dyDescent="0.25">
      <c r="A74" s="7"/>
      <c r="D74" s="552" t="s">
        <v>784</v>
      </c>
      <c r="H74" s="551" t="s">
        <v>781</v>
      </c>
      <c r="I74" s="745" t="e" cm="1">
        <f t="array" aca="1" ref="I74" ca="1">IF(OR(_xlfn.SINGLE(ACOMPANHAMENTO)&lt;&gt;"PLE",I69&gt;PLE.Medicao),0,
   IF(AUTOEVENTO="Manual",
      IF(AdmLocal="Automática",I72,
         IF(Import.EventoAdmLocal="","",SUMIF(OFFSET($G$14,CRONOPLE!$A$8+1,1,1,OFFSET($AG$12,0,-1)),"&lt;="&amp;I69,OFFSET(EVENTOS!$G$14,CRONOPLE!$A$8+1,1,1,OFFSET($AG$12,0,-1)))/OFFSET(EVENTOS!$G$14,CRONOPLE!$A$8+1,-1))),
      IF(Import.EventoAdmLocal="","",SUMIF(OFFSET(CÁLCULO!$BU$15,CRONOPLE!$A$10,1,OFFSET(ORÇAMENTO!$D$15,CRONOPLE!$A$10,0),COLUMN(CÁLCULO!$CN$15)-COLUMN(CÁLCULO!$BU$15)-1),"&lt;="&amp;I69,OFFSET(CÁLCULO!$AI$15,CRONOPLE!$A$10,1,OFFSET(ORÇAMENTO!$D$15,CRONOPLE!$A$10,0),COLUMN(CÁLCULO!$BB$15)-COLUMN(CÁLCULO!$AI$15)-1))/OFFSET(ORÇAMENTO!$X$15,CRONOPLE!$A$10,0))))</f>
        <v>#NAME?</v>
      </c>
      <c r="J74" s="745"/>
      <c r="K74" s="745" t="e" cm="1">
        <f t="array" aca="1" ref="K74" ca="1">IF(OR(_xlfn.SINGLE(ACOMPANHAMENTO)&lt;&gt;"PLE",K69&gt;PLE.Medicao),0,
   IF(AUTOEVENTO="Manual",
      IF(AdmLocal="Automática",K72,
         IF(Import.EventoAdmLocal="","",SUMIF(OFFSET($G$14,CRONOPLE!$A$8+1,1,1,OFFSET($AG$12,0,-1)),"&lt;="&amp;K69,OFFSET(EVENTOS!$G$14,CRONOPLE!$A$8+1,1,1,OFFSET($AG$12,0,-1)))/OFFSET(EVENTOS!$G$14,CRONOPLE!$A$8+1,-1))),
      IF(Import.EventoAdmLocal="","",SUMIF(OFFSET(CÁLCULO!$BU$15,CRONOPLE!$A$10,1,OFFSET(ORÇAMENTO!$D$15,CRONOPLE!$A$10,0),COLUMN(CÁLCULO!$CN$15)-COLUMN(CÁLCULO!$BU$15)-1),"&lt;="&amp;K69,OFFSET(CÁLCULO!$AI$15,CRONOPLE!$A$10,1,OFFSET(ORÇAMENTO!$D$15,CRONOPLE!$A$10,0),COLUMN(CÁLCULO!$BB$15)-COLUMN(CÁLCULO!$AI$15)-1))/OFFSET(ORÇAMENTO!$X$15,CRONOPLE!$A$10,0))))</f>
        <v>#NAME?</v>
      </c>
      <c r="L74" s="745"/>
      <c r="M74" s="745" t="e" cm="1">
        <f t="array" aca="1" ref="M74" ca="1">IF(OR(_xlfn.SINGLE(ACOMPANHAMENTO)&lt;&gt;"PLE",M69&gt;PLE.Medicao),0,
   IF(AUTOEVENTO="Manual",
      IF(AdmLocal="Automática",M72,
         IF(Import.EventoAdmLocal="","",SUMIF(OFFSET($G$14,CRONOPLE!$A$8+1,1,1,OFFSET($AG$12,0,-1)),"&lt;="&amp;M69,OFFSET(EVENTOS!$G$14,CRONOPLE!$A$8+1,1,1,OFFSET($AG$12,0,-1)))/OFFSET(EVENTOS!$G$14,CRONOPLE!$A$8+1,-1))),
      IF(Import.EventoAdmLocal="","",SUMIF(OFFSET(CÁLCULO!$BU$15,CRONOPLE!$A$10,1,OFFSET(ORÇAMENTO!$D$15,CRONOPLE!$A$10,0),COLUMN(CÁLCULO!$CN$15)-COLUMN(CÁLCULO!$BU$15)-1),"&lt;="&amp;M69,OFFSET(CÁLCULO!$AI$15,CRONOPLE!$A$10,1,OFFSET(ORÇAMENTO!$D$15,CRONOPLE!$A$10,0),COLUMN(CÁLCULO!$BB$15)-COLUMN(CÁLCULO!$AI$15)-1))/OFFSET(ORÇAMENTO!$X$15,CRONOPLE!$A$10,0))))</f>
        <v>#NAME?</v>
      </c>
      <c r="N74" s="745"/>
      <c r="O74" s="745" t="e" cm="1">
        <f t="array" aca="1" ref="O74" ca="1">IF(OR(_xlfn.SINGLE(ACOMPANHAMENTO)&lt;&gt;"PLE",O69&gt;PLE.Medicao),0,
   IF(AUTOEVENTO="Manual",
      IF(AdmLocal="Automática",O72,
         IF(Import.EventoAdmLocal="","",SUMIF(OFFSET($G$14,CRONOPLE!$A$8+1,1,1,OFFSET($AG$12,0,-1)),"&lt;="&amp;O69,OFFSET(EVENTOS!$G$14,CRONOPLE!$A$8+1,1,1,OFFSET($AG$12,0,-1)))/OFFSET(EVENTOS!$G$14,CRONOPLE!$A$8+1,-1))),
      IF(Import.EventoAdmLocal="","",SUMIF(OFFSET(CÁLCULO!$BU$15,CRONOPLE!$A$10,1,OFFSET(ORÇAMENTO!$D$15,CRONOPLE!$A$10,0),COLUMN(CÁLCULO!$CN$15)-COLUMN(CÁLCULO!$BU$15)-1),"&lt;="&amp;O69,OFFSET(CÁLCULO!$AI$15,CRONOPLE!$A$10,1,OFFSET(ORÇAMENTO!$D$15,CRONOPLE!$A$10,0),COLUMN(CÁLCULO!$BB$15)-COLUMN(CÁLCULO!$AI$15)-1))/OFFSET(ORÇAMENTO!$X$15,CRONOPLE!$A$10,0))))</f>
        <v>#NAME?</v>
      </c>
      <c r="P74" s="745"/>
      <c r="Q74" s="745" t="e" cm="1">
        <f t="array" aca="1" ref="Q74" ca="1">IF(OR(_xlfn.SINGLE(ACOMPANHAMENTO)&lt;&gt;"PLE",Q69&gt;PLE.Medicao),0,
   IF(AUTOEVENTO="Manual",
      IF(AdmLocal="Automática",Q72,
         IF(Import.EventoAdmLocal="","",SUMIF(OFFSET($G$14,CRONOPLE!$A$8+1,1,1,OFFSET($AG$12,0,-1)),"&lt;="&amp;Q69,OFFSET(EVENTOS!$G$14,CRONOPLE!$A$8+1,1,1,OFFSET($AG$12,0,-1)))/OFFSET(EVENTOS!$G$14,CRONOPLE!$A$8+1,-1))),
      IF(Import.EventoAdmLocal="","",SUMIF(OFFSET(CÁLCULO!$BU$15,CRONOPLE!$A$10,1,OFFSET(ORÇAMENTO!$D$15,CRONOPLE!$A$10,0),COLUMN(CÁLCULO!$CN$15)-COLUMN(CÁLCULO!$BU$15)-1),"&lt;="&amp;Q69,OFFSET(CÁLCULO!$AI$15,CRONOPLE!$A$10,1,OFFSET(ORÇAMENTO!$D$15,CRONOPLE!$A$10,0),COLUMN(CÁLCULO!$BB$15)-COLUMN(CÁLCULO!$AI$15)-1))/OFFSET(ORÇAMENTO!$X$15,CRONOPLE!$A$10,0))))</f>
        <v>#NAME?</v>
      </c>
      <c r="R74" s="745"/>
      <c r="S74" s="745" t="e" cm="1">
        <f t="array" aca="1" ref="S74" ca="1">IF(OR(_xlfn.SINGLE(ACOMPANHAMENTO)&lt;&gt;"PLE",S69&gt;PLE.Medicao),0,
   IF(AUTOEVENTO="Manual",
      IF(AdmLocal="Automática",S72,
         IF(Import.EventoAdmLocal="","",SUMIF(OFFSET($G$14,CRONOPLE!$A$8+1,1,1,OFFSET($AG$12,0,-1)),"&lt;="&amp;S69,OFFSET(EVENTOS!$G$14,CRONOPLE!$A$8+1,1,1,OFFSET($AG$12,0,-1)))/OFFSET(EVENTOS!$G$14,CRONOPLE!$A$8+1,-1))),
      IF(Import.EventoAdmLocal="","",SUMIF(OFFSET(CÁLCULO!$BU$15,CRONOPLE!$A$10,1,OFFSET(ORÇAMENTO!$D$15,CRONOPLE!$A$10,0),COLUMN(CÁLCULO!$CN$15)-COLUMN(CÁLCULO!$BU$15)-1),"&lt;="&amp;S69,OFFSET(CÁLCULO!$AI$15,CRONOPLE!$A$10,1,OFFSET(ORÇAMENTO!$D$15,CRONOPLE!$A$10,0),COLUMN(CÁLCULO!$BB$15)-COLUMN(CÁLCULO!$AI$15)-1))/OFFSET(ORÇAMENTO!$X$15,CRONOPLE!$A$10,0))))</f>
        <v>#NAME?</v>
      </c>
      <c r="T74" s="745"/>
      <c r="U74" s="745" t="e" cm="1">
        <f t="array" aca="1" ref="U74" ca="1">IF(OR(_xlfn.SINGLE(ACOMPANHAMENTO)&lt;&gt;"PLE",U69&gt;PLE.Medicao),0,
   IF(AUTOEVENTO="Manual",
      IF(AdmLocal="Automática",U72,
         IF(Import.EventoAdmLocal="","",SUMIF(OFFSET($G$14,CRONOPLE!$A$8+1,1,1,OFFSET($AG$12,0,-1)),"&lt;="&amp;U69,OFFSET(EVENTOS!$G$14,CRONOPLE!$A$8+1,1,1,OFFSET($AG$12,0,-1)))/OFFSET(EVENTOS!$G$14,CRONOPLE!$A$8+1,-1))),
      IF(Import.EventoAdmLocal="","",SUMIF(OFFSET(CÁLCULO!$BU$15,CRONOPLE!$A$10,1,OFFSET(ORÇAMENTO!$D$15,CRONOPLE!$A$10,0),COLUMN(CÁLCULO!$CN$15)-COLUMN(CÁLCULO!$BU$15)-1),"&lt;="&amp;U69,OFFSET(CÁLCULO!$AI$15,CRONOPLE!$A$10,1,OFFSET(ORÇAMENTO!$D$15,CRONOPLE!$A$10,0),COLUMN(CÁLCULO!$BB$15)-COLUMN(CÁLCULO!$AI$15)-1))/OFFSET(ORÇAMENTO!$X$15,CRONOPLE!$A$10,0))))</f>
        <v>#NAME?</v>
      </c>
      <c r="V74" s="745"/>
      <c r="W74" s="745" t="e" cm="1">
        <f t="array" aca="1" ref="W74" ca="1">IF(OR(_xlfn.SINGLE(ACOMPANHAMENTO)&lt;&gt;"PLE",W69&gt;PLE.Medicao),0,
   IF(AUTOEVENTO="Manual",
      IF(AdmLocal="Automática",W72,
         IF(Import.EventoAdmLocal="","",SUMIF(OFFSET($G$14,CRONOPLE!$A$8+1,1,1,OFFSET($AG$12,0,-1)),"&lt;="&amp;W69,OFFSET(EVENTOS!$G$14,CRONOPLE!$A$8+1,1,1,OFFSET($AG$12,0,-1)))/OFFSET(EVENTOS!$G$14,CRONOPLE!$A$8+1,-1))),
      IF(Import.EventoAdmLocal="","",SUMIF(OFFSET(CÁLCULO!$BU$15,CRONOPLE!$A$10,1,OFFSET(ORÇAMENTO!$D$15,CRONOPLE!$A$10,0),COLUMN(CÁLCULO!$CN$15)-COLUMN(CÁLCULO!$BU$15)-1),"&lt;="&amp;W69,OFFSET(CÁLCULO!$AI$15,CRONOPLE!$A$10,1,OFFSET(ORÇAMENTO!$D$15,CRONOPLE!$A$10,0),COLUMN(CÁLCULO!$BB$15)-COLUMN(CÁLCULO!$AI$15)-1))/OFFSET(ORÇAMENTO!$X$15,CRONOPLE!$A$10,0))))</f>
        <v>#NAME?</v>
      </c>
      <c r="X74" s="745"/>
      <c r="Y74" s="745" t="e" cm="1">
        <f t="array" aca="1" ref="Y74" ca="1">IF(OR(_xlfn.SINGLE(ACOMPANHAMENTO)&lt;&gt;"PLE",Y69&gt;PLE.Medicao),0,
   IF(AUTOEVENTO="Manual",
      IF(AdmLocal="Automática",Y72,
         IF(Import.EventoAdmLocal="","",SUMIF(OFFSET($G$14,CRONOPLE!$A$8+1,1,1,OFFSET($AG$12,0,-1)),"&lt;="&amp;Y69,OFFSET(EVENTOS!$G$14,CRONOPLE!$A$8+1,1,1,OFFSET($AG$12,0,-1)))/OFFSET(EVENTOS!$G$14,CRONOPLE!$A$8+1,-1))),
      IF(Import.EventoAdmLocal="","",SUMIF(OFFSET(CÁLCULO!$BU$15,CRONOPLE!$A$10,1,OFFSET(ORÇAMENTO!$D$15,CRONOPLE!$A$10,0),COLUMN(CÁLCULO!$CN$15)-COLUMN(CÁLCULO!$BU$15)-1),"&lt;="&amp;Y69,OFFSET(CÁLCULO!$AI$15,CRONOPLE!$A$10,1,OFFSET(ORÇAMENTO!$D$15,CRONOPLE!$A$10,0),COLUMN(CÁLCULO!$BB$15)-COLUMN(CÁLCULO!$AI$15)-1))/OFFSET(ORÇAMENTO!$X$15,CRONOPLE!$A$10,0))))</f>
        <v>#NAME?</v>
      </c>
      <c r="Z74" s="745"/>
      <c r="AA74" s="745" t="e" cm="1">
        <f t="array" aca="1" ref="AA74" ca="1">IF(OR(_xlfn.SINGLE(ACOMPANHAMENTO)&lt;&gt;"PLE",AA69&gt;PLE.Medicao),0,
   IF(AUTOEVENTO="Manual",
      IF(AdmLocal="Automática",AA72,
         IF(Import.EventoAdmLocal="","",SUMIF(OFFSET($G$14,CRONOPLE!$A$8+1,1,1,OFFSET($AG$12,0,-1)),"&lt;="&amp;AA69,OFFSET(EVENTOS!$G$14,CRONOPLE!$A$8+1,1,1,OFFSET($AG$12,0,-1)))/OFFSET(EVENTOS!$G$14,CRONOPLE!$A$8+1,-1))),
      IF(Import.EventoAdmLocal="","",SUMIF(OFFSET(CÁLCULO!$BU$15,CRONOPLE!$A$10,1,OFFSET(ORÇAMENTO!$D$15,CRONOPLE!$A$10,0),COLUMN(CÁLCULO!$CN$15)-COLUMN(CÁLCULO!$BU$15)-1),"&lt;="&amp;AA69,OFFSET(CÁLCULO!$AI$15,CRONOPLE!$A$10,1,OFFSET(ORÇAMENTO!$D$15,CRONOPLE!$A$10,0),COLUMN(CÁLCULO!$BB$15)-COLUMN(CÁLCULO!$AI$15)-1))/OFFSET(ORÇAMENTO!$X$15,CRONOPLE!$A$10,0))))</f>
        <v>#NAME?</v>
      </c>
      <c r="AB74" s="745"/>
      <c r="AC74" s="745" t="e" cm="1">
        <f t="array" aca="1" ref="AC74" ca="1">IF(OR(_xlfn.SINGLE(ACOMPANHAMENTO)&lt;&gt;"PLE",AC69&gt;PLE.Medicao),0,
   IF(AUTOEVENTO="Manual",
      IF(AdmLocal="Automática",AC72,
         IF(Import.EventoAdmLocal="","",SUMIF(OFFSET($G$14,CRONOPLE!$A$8+1,1,1,OFFSET($AG$12,0,-1)),"&lt;="&amp;AC69,OFFSET(EVENTOS!$G$14,CRONOPLE!$A$8+1,1,1,OFFSET($AG$12,0,-1)))/OFFSET(EVENTOS!$G$14,CRONOPLE!$A$8+1,-1))),
      IF(Import.EventoAdmLocal="","",SUMIF(OFFSET(CÁLCULO!$BU$15,CRONOPLE!$A$10,1,OFFSET(ORÇAMENTO!$D$15,CRONOPLE!$A$10,0),COLUMN(CÁLCULO!$CN$15)-COLUMN(CÁLCULO!$BU$15)-1),"&lt;="&amp;AC69,OFFSET(CÁLCULO!$AI$15,CRONOPLE!$A$10,1,OFFSET(ORÇAMENTO!$D$15,CRONOPLE!$A$10,0),COLUMN(CÁLCULO!$BB$15)-COLUMN(CÁLCULO!$AI$15)-1))/OFFSET(ORÇAMENTO!$X$15,CRONOPLE!$A$10,0))))</f>
        <v>#NAME?</v>
      </c>
      <c r="AD74" s="745"/>
      <c r="AE74" s="745" t="e" cm="1">
        <f t="array" aca="1" ref="AE74" ca="1">IF(OR(_xlfn.SINGLE(ACOMPANHAMENTO)&lt;&gt;"PLE",AE69&gt;PLE.Medicao),0,
   IF(AUTOEVENTO="Manual",
      IF(AdmLocal="Automática",AE72,
         IF(Import.EventoAdmLocal="","",SUMIF(OFFSET($G$14,CRONOPLE!$A$8+1,1,1,OFFSET($AG$12,0,-1)),"&lt;="&amp;AE69,OFFSET(EVENTOS!$G$14,CRONOPLE!$A$8+1,1,1,OFFSET($AG$12,0,-1)))/OFFSET(EVENTOS!$G$14,CRONOPLE!$A$8+1,-1))),
      IF(Import.EventoAdmLocal="","",SUMIF(OFFSET(CÁLCULO!$BU$15,CRONOPLE!$A$10,1,OFFSET(ORÇAMENTO!$D$15,CRONOPLE!$A$10,0),COLUMN(CÁLCULO!$CN$15)-COLUMN(CÁLCULO!$BU$15)-1),"&lt;="&amp;AE69,OFFSET(CÁLCULO!$AI$15,CRONOPLE!$A$10,1,OFFSET(ORÇAMENTO!$D$15,CRONOPLE!$A$10,0),COLUMN(CÁLCULO!$BB$15)-COLUMN(CÁLCULO!$AI$15)-1))/OFFSET(ORÇAMENTO!$X$15,CRONOPLE!$A$10,0))))</f>
        <v>#NAME?</v>
      </c>
      <c r="AF74" s="745"/>
    </row>
    <row r="75" spans="1:32" ht="13.8" x14ac:dyDescent="0.3">
      <c r="A75" s="7" t="s">
        <v>536</v>
      </c>
      <c r="D75" s="523"/>
      <c r="H75" s="583" t="str">
        <f ca="1">IF(COUNTIF(I75:AG75,"%Adm&gt;%Global")&gt;0,"Verificar proporcionalidade da Administração Local","")</f>
        <v/>
      </c>
      <c r="I75" s="535" t="e">
        <f ca="1">IF(I74="","",IF(ROUND(I74,4)&gt;ROUND(I72,4),"%Adm&gt;%Global",""))</f>
        <v>#NAME?</v>
      </c>
      <c r="J75" s="524"/>
      <c r="K75" s="535" t="e">
        <f t="shared" ref="K75" ca="1" si="3">IF(K74="","",IF(ROUND(K74,4)&gt;ROUND(K72,4),"%Adm&gt;%Global",""))</f>
        <v>#NAME?</v>
      </c>
      <c r="L75" s="524"/>
      <c r="M75" s="535" t="e">
        <f t="shared" ref="M75" ca="1" si="4">IF(M74="","",IF(ROUND(M74,4)&gt;ROUND(M72,4),"%Adm&gt;%Global",""))</f>
        <v>#NAME?</v>
      </c>
      <c r="N75" s="524"/>
      <c r="O75" s="535" t="e">
        <f t="shared" ref="O75" ca="1" si="5">IF(O74="","",IF(ROUND(O74,4)&gt;ROUND(O72,4),"%Adm&gt;%Global",""))</f>
        <v>#NAME?</v>
      </c>
      <c r="P75" s="524"/>
      <c r="Q75" s="535" t="e">
        <f t="shared" ref="Q75" ca="1" si="6">IF(Q74="","",IF(ROUND(Q74,4)&gt;ROUND(Q72,4),"%Adm&gt;%Global",""))</f>
        <v>#NAME?</v>
      </c>
      <c r="R75" s="524"/>
      <c r="S75" s="535" t="e">
        <f t="shared" ref="S75" ca="1" si="7">IF(S74="","",IF(ROUND(S74,4)&gt;ROUND(S72,4),"%Adm&gt;%Global",""))</f>
        <v>#NAME?</v>
      </c>
      <c r="T75" s="524"/>
      <c r="U75" s="535" t="e">
        <f t="shared" ref="U75" ca="1" si="8">IF(U74="","",IF(ROUND(U74,4)&gt;ROUND(U72,4),"%Adm&gt;%Global",""))</f>
        <v>#NAME?</v>
      </c>
      <c r="V75" s="524"/>
      <c r="W75" s="535" t="e">
        <f t="shared" ref="W75" ca="1" si="9">IF(W74="","",IF(ROUND(W74,4)&gt;ROUND(W72,4),"%Adm&gt;%Global",""))</f>
        <v>#NAME?</v>
      </c>
      <c r="X75" s="524"/>
      <c r="Y75" s="535" t="e">
        <f t="shared" ref="Y75" ca="1" si="10">IF(Y74="","",IF(ROUND(Y74,4)&gt;ROUND(Y72,4),"%Adm&gt;%Global",""))</f>
        <v>#NAME?</v>
      </c>
      <c r="Z75" s="524"/>
      <c r="AA75" s="535" t="e">
        <f t="shared" ref="AA75" ca="1" si="11">IF(AA74="","",IF(ROUND(AA74,4)&gt;ROUND(AA72,4),"%Adm&gt;%Global",""))</f>
        <v>#NAME?</v>
      </c>
      <c r="AB75" s="524"/>
      <c r="AC75" s="535" t="e">
        <f t="shared" ref="AC75" ca="1" si="12">IF(AC74="","",IF(ROUND(AC74,4)&gt;ROUND(AC72,4),"%Adm&gt;%Global",""))</f>
        <v>#NAME?</v>
      </c>
      <c r="AD75" s="524"/>
      <c r="AE75" s="535" t="e">
        <f t="shared" ref="AE75" ca="1" si="13">IF(AE74="","",IF(ROUND(AE74,4)&gt;ROUND(AE72,4),"%Adm&gt;%Global",""))</f>
        <v>#NAME?</v>
      </c>
      <c r="AF75" s="524"/>
    </row>
    <row r="76" spans="1:32" ht="20.25" customHeight="1" x14ac:dyDescent="0.25">
      <c r="A76" s="7" t="s">
        <v>536</v>
      </c>
      <c r="I76" s="795"/>
      <c r="J76" s="795"/>
    </row>
    <row r="77" spans="1:32" ht="13.8" x14ac:dyDescent="0.25">
      <c r="A77" s="7" t="s">
        <v>536</v>
      </c>
      <c r="B77" s="724" t="str">
        <f>Import.Município</f>
        <v>SARANDI/RS</v>
      </c>
      <c r="C77" s="724"/>
      <c r="D77" s="724"/>
      <c r="S77" s="562" t="str">
        <f ca="1">IF(DADOS!$D$50&lt;&gt;"","Preencher os Dados do Responsável pela Fiscalização, na aba DADOS.","")</f>
        <v/>
      </c>
      <c r="U77" s="139"/>
      <c r="V77" s="139"/>
      <c r="W77" s="139"/>
      <c r="X77" s="139"/>
      <c r="Y77" s="180"/>
      <c r="Z77" s="180"/>
      <c r="AA77" s="180"/>
      <c r="AB77" s="180"/>
      <c r="AC77" s="180"/>
      <c r="AD77" s="180"/>
    </row>
    <row r="78" spans="1:32" x14ac:dyDescent="0.25">
      <c r="A78" s="7" t="s">
        <v>536</v>
      </c>
      <c r="B78" s="9" t="s">
        <v>693</v>
      </c>
      <c r="U78" s="181" t="s">
        <v>841</v>
      </c>
    </row>
    <row r="79" spans="1:32" x14ac:dyDescent="0.25">
      <c r="A79" s="7" t="s">
        <v>536</v>
      </c>
      <c r="I79" s="79"/>
      <c r="U79" s="77" t="s">
        <v>240</v>
      </c>
      <c r="W79" s="271">
        <f t="array" ref="W79:W82">Import.RespFiscalização</f>
        <v>0</v>
      </c>
    </row>
    <row r="80" spans="1:32" x14ac:dyDescent="0.25">
      <c r="A80" s="7" t="s">
        <v>536</v>
      </c>
      <c r="B80" s="718">
        <f>DADOS!$C$48</f>
        <v>0</v>
      </c>
      <c r="C80" s="718"/>
      <c r="D80" s="718"/>
      <c r="I80" s="79"/>
      <c r="U80" s="77" t="s">
        <v>319</v>
      </c>
      <c r="W80" s="271">
        <v>0</v>
      </c>
    </row>
    <row r="81" spans="1:23" x14ac:dyDescent="0.25">
      <c r="A81" s="7" t="s">
        <v>536</v>
      </c>
      <c r="B81" s="140" t="s">
        <v>694</v>
      </c>
      <c r="C81" s="1"/>
      <c r="D81" s="1"/>
      <c r="I81" s="79"/>
      <c r="U81" s="77" t="s">
        <v>243</v>
      </c>
      <c r="W81" s="271">
        <v>0</v>
      </c>
    </row>
    <row r="82" spans="1:23" x14ac:dyDescent="0.25">
      <c r="U82" s="77" t="s">
        <v>246</v>
      </c>
      <c r="W82" s="12">
        <v>0</v>
      </c>
    </row>
  </sheetData>
  <sheetProtection algorithmName="SHA-512" hashValue="LxrrVCw0xVVLTh7PsEJ7CbLdwnsYhGt6GMRwAPXqsmADQfcy4Dw3bHzs/UyYIAM2za+lGPE2FCRMri98kr1xmA==" saltValue="1c3DSEdtq3TvW/+quyZsIw==" spinCount="100000" sheet="1" objects="1" scenarios="1" autoFilter="0"/>
  <autoFilter ref="A13:A81" xr:uid="{00000000-0009-0000-0000-000009000000}"/>
  <mergeCells count="156">
    <mergeCell ref="C58:D58"/>
    <mergeCell ref="C59:D59"/>
    <mergeCell ref="C60:D60"/>
    <mergeCell ref="C61:D61"/>
    <mergeCell ref="C62:D62"/>
    <mergeCell ref="C63:D63"/>
    <mergeCell ref="C64:D64"/>
    <mergeCell ref="C49:D49"/>
    <mergeCell ref="C50:D50"/>
    <mergeCell ref="C51:D51"/>
    <mergeCell ref="C52:D52"/>
    <mergeCell ref="C53:D53"/>
    <mergeCell ref="C54:D54"/>
    <mergeCell ref="C55:D55"/>
    <mergeCell ref="C56:D56"/>
    <mergeCell ref="C57:D57"/>
    <mergeCell ref="C40:D40"/>
    <mergeCell ref="C41:D41"/>
    <mergeCell ref="C42:D42"/>
    <mergeCell ref="C43:D43"/>
    <mergeCell ref="C44:D44"/>
    <mergeCell ref="C45:D45"/>
    <mergeCell ref="C46:D46"/>
    <mergeCell ref="C47:D47"/>
    <mergeCell ref="C48:D48"/>
    <mergeCell ref="C31:D31"/>
    <mergeCell ref="C32:D32"/>
    <mergeCell ref="C33:D33"/>
    <mergeCell ref="C34:D34"/>
    <mergeCell ref="C35:D35"/>
    <mergeCell ref="C36:D36"/>
    <mergeCell ref="C37:D37"/>
    <mergeCell ref="C38:D38"/>
    <mergeCell ref="C39:D39"/>
    <mergeCell ref="C22:D22"/>
    <mergeCell ref="C23:D23"/>
    <mergeCell ref="C24:D24"/>
    <mergeCell ref="C25:D25"/>
    <mergeCell ref="C26:D26"/>
    <mergeCell ref="C27:D27"/>
    <mergeCell ref="C28:D28"/>
    <mergeCell ref="C29:D29"/>
    <mergeCell ref="C30:D30"/>
    <mergeCell ref="Q73:R73"/>
    <mergeCell ref="M68:N68"/>
    <mergeCell ref="O71:P71"/>
    <mergeCell ref="M71:N71"/>
    <mergeCell ref="K71:L71"/>
    <mergeCell ref="I71:J71"/>
    <mergeCell ref="I69:J69"/>
    <mergeCell ref="I70:J70"/>
    <mergeCell ref="M69:N69"/>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U73:V73"/>
    <mergeCell ref="B12:B13"/>
    <mergeCell ref="C17:D17"/>
    <mergeCell ref="D70:D71"/>
    <mergeCell ref="C16:D16"/>
    <mergeCell ref="C18:D18"/>
    <mergeCell ref="C19:D19"/>
    <mergeCell ref="C20:D20"/>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C21:D21"/>
    <mergeCell ref="AE70:AF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AE71:AF71"/>
    <mergeCell ref="O69:P69"/>
    <mergeCell ref="W70:X70"/>
    <mergeCell ref="U70:V70"/>
    <mergeCell ref="AC70:AD70"/>
    <mergeCell ref="AE69:AF69"/>
    <mergeCell ref="U72:V72"/>
    <mergeCell ref="Y72:Z72"/>
    <mergeCell ref="AA68:AB68"/>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W71:X71"/>
    <mergeCell ref="S69:T69"/>
    <mergeCell ref="Q69:R69"/>
    <mergeCell ref="K69:L69"/>
    <mergeCell ref="K68:L68"/>
    <mergeCell ref="I68:J68"/>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s>
  <phoneticPr fontId="38" type="noConversion"/>
  <conditionalFormatting sqref="F1:F2">
    <cfRule type="expression" dxfId="129" priority="2389" stopIfTrue="1">
      <formula>IF(OR(ACOMPANHAMENTO="BM",F$12&gt;CÁLCULO.NúmeroDeFrentes),TRUE,PLE.ValorDoEvento=0)</formula>
    </cfRule>
    <cfRule type="cellIs" dxfId="128" priority="2390" stopIfTrue="1" operator="equal">
      <formula>$J$9</formula>
    </cfRule>
  </conditionalFormatting>
  <conditionalFormatting sqref="I70:AF70">
    <cfRule type="expression" dxfId="127" priority="2391" stopIfTrue="1">
      <formula>I69=$J$9</formula>
    </cfRule>
  </conditionalFormatting>
  <conditionalFormatting sqref="I71:AF71">
    <cfRule type="expression" dxfId="126" priority="2392" stopIfTrue="1">
      <formula>I69=$J$9</formula>
    </cfRule>
  </conditionalFormatting>
  <conditionalFormatting sqref="I72:AF72">
    <cfRule type="expression" dxfId="125" priority="2393" stopIfTrue="1">
      <formula>I69=$J$9</formula>
    </cfRule>
  </conditionalFormatting>
  <conditionalFormatting sqref="I73:AF73">
    <cfRule type="expression" dxfId="124" priority="2394" stopIfTrue="1">
      <formula>I69=$J$9</formula>
    </cfRule>
  </conditionalFormatting>
  <conditionalFormatting sqref="I69:J69">
    <cfRule type="cellIs" dxfId="123" priority="2388" stopIfTrue="1" operator="notEqual">
      <formula>1</formula>
    </cfRule>
  </conditionalFormatting>
  <conditionalFormatting sqref="H1:AF1">
    <cfRule type="expression" dxfId="122" priority="2406" stopIfTrue="1">
      <formula>IF(OR(ACOMPANHAMENTO="BM",TIPOORCAMENTO="Proposto",H$12&gt;CÁLCULO.NúmeroDeFrentes),TRUE,PLE.ValorDoEvento=0)</formula>
    </cfRule>
    <cfRule type="cellIs" dxfId="121" priority="2407" stopIfTrue="1" operator="equal">
      <formula>$J$9</formula>
    </cfRule>
  </conditionalFormatting>
  <conditionalFormatting sqref="AE6:AE7">
    <cfRule type="expression" dxfId="120" priority="2395" stopIfTrue="1">
      <formula>TIPOORCAMENTO&lt;&gt;"Licitado"</formula>
    </cfRule>
  </conditionalFormatting>
  <conditionalFormatting sqref="N9:T9">
    <cfRule type="expression" dxfId="119" priority="2396" stopIfTrue="1">
      <formula>COLUMN(N9)&gt;COLUMN($AF$12)</formula>
    </cfRule>
    <cfRule type="expression" dxfId="118" priority="2397" stopIfTrue="1">
      <formula>$N$9="DIGITE A DATA DA MEDIÇÃO"</formula>
    </cfRule>
  </conditionalFormatting>
  <conditionalFormatting sqref="I9:M9 U9:AF9">
    <cfRule type="expression" dxfId="117" priority="2398" stopIfTrue="1">
      <formula>COLUMN(I9)&gt;COLUMN($AF$12)</formula>
    </cfRule>
  </conditionalFormatting>
  <conditionalFormatting sqref="K70:AF73">
    <cfRule type="expression" dxfId="116" priority="1404" stopIfTrue="1">
      <formula>I$72=100%</formula>
    </cfRule>
  </conditionalFormatting>
  <conditionalFormatting sqref="J75 L75 N75 P75 R75 T75 V75 X75 Z75 AB75 AD75 AF75">
    <cfRule type="expression" dxfId="115" priority="14115" stopIfTrue="1">
      <formula>J70=$J$9</formula>
    </cfRule>
  </conditionalFormatting>
  <conditionalFormatting sqref="K74:AF74">
    <cfRule type="expression" dxfId="114" priority="1403">
      <formula>OFFSET(K74,-2,-2)=1</formula>
    </cfRule>
  </conditionalFormatting>
  <conditionalFormatting sqref="I74:AF74">
    <cfRule type="expression" dxfId="113" priority="1402">
      <formula>ROUND(I74,4)&gt;ROUND(I72,4)</formula>
    </cfRule>
  </conditionalFormatting>
  <conditionalFormatting sqref="N13">
    <cfRule type="expression" dxfId="112" priority="1401">
      <formula>$Y$9=0</formula>
    </cfRule>
  </conditionalFormatting>
  <conditionalFormatting sqref="F16:F24">
    <cfRule type="expression" dxfId="111" priority="21" stopIfTrue="1">
      <formula>IF(OR(ACOMPANHAMENTO="BM",F$12&gt;CÁLCULO.NúmeroDeFrentes),TRUE,PLE.ValorDoEvento=0)</formula>
    </cfRule>
    <cfRule type="cellIs" dxfId="110" priority="22" stopIfTrue="1" operator="equal">
      <formula>$J$9</formula>
    </cfRule>
  </conditionalFormatting>
  <conditionalFormatting sqref="H16:AF24">
    <cfRule type="expression" dxfId="109" priority="23" stopIfTrue="1">
      <formula>IF(OR(ACOMPANHAMENTO="BM",TIPOORCAMENTO="Proposto",H$12&gt;CÁLCULO.NúmeroDeFrentes),TRUE,PLE.ValorDoEvento=0)</formula>
    </cfRule>
    <cfRule type="cellIs" dxfId="108" priority="24" stopIfTrue="1" operator="equal">
      <formula>$J$9</formula>
    </cfRule>
  </conditionalFormatting>
  <conditionalFormatting sqref="F25:F33">
    <cfRule type="expression" dxfId="107" priority="17" stopIfTrue="1">
      <formula>IF(OR(ACOMPANHAMENTO="BM",F$12&gt;CÁLCULO.NúmeroDeFrentes),TRUE,PLE.ValorDoEvento=0)</formula>
    </cfRule>
    <cfRule type="cellIs" dxfId="106" priority="18" stopIfTrue="1" operator="equal">
      <formula>$J$9</formula>
    </cfRule>
  </conditionalFormatting>
  <conditionalFormatting sqref="H25:AF33">
    <cfRule type="expression" dxfId="105" priority="19" stopIfTrue="1">
      <formula>IF(OR(ACOMPANHAMENTO="BM",TIPOORCAMENTO="Proposto",H$12&gt;CÁLCULO.NúmeroDeFrentes),TRUE,PLE.ValorDoEvento=0)</formula>
    </cfRule>
    <cfRule type="cellIs" dxfId="104" priority="20" stopIfTrue="1" operator="equal">
      <formula>$J$9</formula>
    </cfRule>
  </conditionalFormatting>
  <conditionalFormatting sqref="F34:F42">
    <cfRule type="expression" dxfId="103" priority="13" stopIfTrue="1">
      <formula>IF(OR(ACOMPANHAMENTO="BM",F$12&gt;CÁLCULO.NúmeroDeFrentes),TRUE,PLE.ValorDoEvento=0)</formula>
    </cfRule>
    <cfRule type="cellIs" dxfId="102" priority="14" stopIfTrue="1" operator="equal">
      <formula>$J$9</formula>
    </cfRule>
  </conditionalFormatting>
  <conditionalFormatting sqref="H34:AF42">
    <cfRule type="expression" dxfId="101" priority="15" stopIfTrue="1">
      <formula>IF(OR(ACOMPANHAMENTO="BM",TIPOORCAMENTO="Proposto",H$12&gt;CÁLCULO.NúmeroDeFrentes),TRUE,PLE.ValorDoEvento=0)</formula>
    </cfRule>
    <cfRule type="cellIs" dxfId="100" priority="16" stopIfTrue="1" operator="equal">
      <formula>$J$9</formula>
    </cfRule>
  </conditionalFormatting>
  <conditionalFormatting sqref="F43:F51">
    <cfRule type="expression" dxfId="99" priority="9" stopIfTrue="1">
      <formula>IF(OR(ACOMPANHAMENTO="BM",F$12&gt;CÁLCULO.NúmeroDeFrentes),TRUE,PLE.ValorDoEvento=0)</formula>
    </cfRule>
    <cfRule type="cellIs" dxfId="98" priority="10" stopIfTrue="1" operator="equal">
      <formula>$J$9</formula>
    </cfRule>
  </conditionalFormatting>
  <conditionalFormatting sqref="H43:AF51">
    <cfRule type="expression" dxfId="97" priority="11" stopIfTrue="1">
      <formula>IF(OR(ACOMPANHAMENTO="BM",TIPOORCAMENTO="Proposto",H$12&gt;CÁLCULO.NúmeroDeFrentes),TRUE,PLE.ValorDoEvento=0)</formula>
    </cfRule>
    <cfRule type="cellIs" dxfId="96" priority="12" stopIfTrue="1" operator="equal">
      <formula>$J$9</formula>
    </cfRule>
  </conditionalFormatting>
  <conditionalFormatting sqref="F52:F60">
    <cfRule type="expression" dxfId="95" priority="5" stopIfTrue="1">
      <formula>IF(OR(ACOMPANHAMENTO="BM",F$12&gt;CÁLCULO.NúmeroDeFrentes),TRUE,PLE.ValorDoEvento=0)</formula>
    </cfRule>
    <cfRule type="cellIs" dxfId="94" priority="6" stopIfTrue="1" operator="equal">
      <formula>$J$9</formula>
    </cfRule>
  </conditionalFormatting>
  <conditionalFormatting sqref="H52:AF60">
    <cfRule type="expression" dxfId="93" priority="7" stopIfTrue="1">
      <formula>IF(OR(ACOMPANHAMENTO="BM",TIPOORCAMENTO="Proposto",H$12&gt;CÁLCULO.NúmeroDeFrentes),TRUE,PLE.ValorDoEvento=0)</formula>
    </cfRule>
    <cfRule type="cellIs" dxfId="92" priority="8" stopIfTrue="1" operator="equal">
      <formula>$J$9</formula>
    </cfRule>
  </conditionalFormatting>
  <conditionalFormatting sqref="F61:F64">
    <cfRule type="expression" dxfId="91" priority="1" stopIfTrue="1">
      <formula>IF(OR(ACOMPANHAMENTO="BM",F$12&gt;CÁLCULO.NúmeroDeFrentes),TRUE,PLE.ValorDoEvento=0)</formula>
    </cfRule>
    <cfRule type="cellIs" dxfId="90" priority="2" stopIfTrue="1" operator="equal">
      <formula>$J$9</formula>
    </cfRule>
  </conditionalFormatting>
  <conditionalFormatting sqref="H61:AF64">
    <cfRule type="expression" dxfId="89" priority="3" stopIfTrue="1">
      <formula>IF(OR(ACOMPANHAMENTO="BM",TIPOORCAMENTO="Proposto",H$12&gt;CÁLCULO.NúmeroDeFrentes),TRUE,PLE.ValorDoEvento=0)</formula>
    </cfRule>
    <cfRule type="cellIs" dxfId="88"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7620</xdr:rowOff>
                  </from>
                  <to>
                    <xdr:col>11</xdr:col>
                    <xdr:colOff>220980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80"/>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3.2" x14ac:dyDescent="0.25"/>
  <cols>
    <col min="1" max="2" width="6.5546875" hidden="1" customWidth="1"/>
    <col min="3" max="3" width="3.5546875" customWidth="1"/>
    <col min="4" max="4" width="10.5546875" customWidth="1"/>
    <col min="5" max="5" width="65.5546875" customWidth="1"/>
    <col min="6" max="6" width="7.5546875" customWidth="1"/>
    <col min="7" max="7" width="11.5546875" customWidth="1"/>
    <col min="8" max="8" width="14.5546875" customWidth="1"/>
    <col min="9" max="9" width="18.5546875" customWidth="1"/>
    <col min="10" max="12" width="11.5546875" customWidth="1"/>
    <col min="13" max="15" width="18.5546875" customWidth="1"/>
    <col min="17" max="18" width="11.5546875" hidden="1" customWidth="1"/>
    <col min="19" max="19" width="9.109375" hidden="1" customWidth="1"/>
    <col min="20" max="20" width="10.5546875" hidden="1" customWidth="1"/>
    <col min="21" max="21" width="65.5546875" hidden="1" customWidth="1"/>
    <col min="22" max="22" width="7.5546875" hidden="1" customWidth="1"/>
    <col min="23" max="23" width="11.5546875" hidden="1" customWidth="1"/>
    <col min="24" max="24" width="14.5546875" hidden="1" customWidth="1"/>
    <col min="25" max="25" width="18.5546875" hidden="1" customWidth="1"/>
    <col min="26" max="26" width="25.5546875" hidden="1" customWidth="1"/>
    <col min="27" max="27" width="9.109375" hidden="1" customWidth="1"/>
    <col min="28" max="39" width="11.5546875" customWidth="1"/>
    <col min="40" max="40" width="10.44140625" customWidth="1"/>
    <col min="41" max="41" width="9.109375" hidden="1" customWidth="1"/>
  </cols>
  <sheetData>
    <row r="1" spans="1:41" ht="15.6" x14ac:dyDescent="0.25">
      <c r="E1" s="318" t="str">
        <f>IF(CAIXA.Modo,"BA - Boletim de Aferição","BM - Boletim de Medição")</f>
        <v>BM - Boletim de Medição</v>
      </c>
      <c r="G1" s="319"/>
      <c r="J1" s="319"/>
      <c r="K1" s="319"/>
      <c r="L1" s="319"/>
      <c r="M1" s="319"/>
      <c r="N1" s="319"/>
      <c r="O1" s="52" t="s">
        <v>644</v>
      </c>
    </row>
    <row r="2" spans="1:41" ht="15" x14ac:dyDescent="0.25">
      <c r="A2" s="320" t="s">
        <v>842</v>
      </c>
      <c r="B2" s="2"/>
      <c r="E2" s="321" t="str">
        <f ca="1">IF(Import.RegimeExecução="(SELECIONAR)","Selecione o Regime de Execução na Aba Dados",Import.RegimeExecução&amp;" - "&amp;import.recurso)</f>
        <v>Selecione o Regime de Execução na Aba Dados</v>
      </c>
      <c r="O2" s="11" t="s">
        <v>647</v>
      </c>
    </row>
    <row r="3" spans="1:41" x14ac:dyDescent="0.25">
      <c r="A3" s="820" t="b">
        <v>0</v>
      </c>
      <c r="B3" s="820"/>
      <c r="E3" s="86"/>
    </row>
    <row r="4" spans="1:41" x14ac:dyDescent="0.25">
      <c r="D4" s="701" t="s">
        <v>652</v>
      </c>
      <c r="E4" s="701"/>
      <c r="F4" s="712" t="s">
        <v>650</v>
      </c>
      <c r="G4" s="712"/>
      <c r="H4" s="712"/>
      <c r="I4" s="145" t="s">
        <v>707</v>
      </c>
      <c r="J4" s="701" t="s">
        <v>708</v>
      </c>
      <c r="K4" s="701"/>
      <c r="L4" s="701"/>
      <c r="M4" s="701"/>
      <c r="N4" s="701"/>
      <c r="O4" s="147" t="s">
        <v>843</v>
      </c>
    </row>
    <row r="5" spans="1:41" ht="12.75" customHeight="1" x14ac:dyDescent="0.25">
      <c r="A5" t="s">
        <v>844</v>
      </c>
      <c r="D5" s="704" t="str">
        <f>Import.Proponente</f>
        <v>MUNICÍPIO DE SARANDI</v>
      </c>
      <c r="E5" s="704"/>
      <c r="F5" s="717">
        <f>Import.CR</f>
        <v>0</v>
      </c>
      <c r="G5" s="717"/>
      <c r="H5" s="717"/>
      <c r="I5" s="322">
        <f>Import.TransfereGOV</f>
        <v>0</v>
      </c>
      <c r="J5" s="704" t="str">
        <f>Import.Apelido</f>
        <v>PAVIMENTAÇÃO ASFÁLTICA EM DIVERSOS TRECHOS NO MUNICÍPIO DE SARANDI</v>
      </c>
      <c r="K5" s="704"/>
      <c r="L5" s="704"/>
      <c r="M5" s="704"/>
      <c r="N5" s="704"/>
      <c r="O5" s="323">
        <f>Import.DataInicioObra</f>
        <v>0</v>
      </c>
      <c r="AO5" s="324" t="s">
        <v>845</v>
      </c>
    </row>
    <row r="6" spans="1:41" ht="5.0999999999999996" customHeight="1" x14ac:dyDescent="0.25">
      <c r="D6" s="93"/>
      <c r="E6" s="94"/>
      <c r="F6" s="93"/>
      <c r="G6" s="93"/>
      <c r="H6" s="93"/>
      <c r="I6" s="93"/>
      <c r="J6" s="93"/>
      <c r="K6" s="93"/>
      <c r="L6" s="93"/>
      <c r="M6" s="93"/>
      <c r="N6" s="93"/>
      <c r="O6" s="93"/>
      <c r="AO6" s="325"/>
    </row>
    <row r="7" spans="1:41" ht="12.75" customHeight="1" x14ac:dyDescent="0.25">
      <c r="A7" t="str">
        <f ca="1">RegimeExecucao</f>
        <v>Unitário</v>
      </c>
      <c r="D7" s="87" t="s">
        <v>846</v>
      </c>
      <c r="E7" s="87" t="s">
        <v>847</v>
      </c>
      <c r="F7" s="701" t="s">
        <v>848</v>
      </c>
      <c r="G7" s="701"/>
      <c r="H7" s="701"/>
      <c r="I7" s="701" t="str">
        <f>IF(TIPOORCAMENTO="Licitado","REGIME DE EXECUÇÃO","MUNICÍPIO / UF")</f>
        <v>MUNICÍPIO / UF</v>
      </c>
      <c r="J7" s="701"/>
      <c r="K7" s="701"/>
      <c r="L7" s="701"/>
      <c r="M7" s="701" t="s">
        <v>849</v>
      </c>
      <c r="N7" s="701"/>
      <c r="O7" s="87" t="s">
        <v>850</v>
      </c>
      <c r="AO7" s="275">
        <f ca="1">BM.MEDAcumulado</f>
        <v>0</v>
      </c>
    </row>
    <row r="8" spans="1:41" ht="12.75" customHeight="1" x14ac:dyDescent="0.25">
      <c r="A8" s="320" t="s">
        <v>851</v>
      </c>
      <c r="B8" s="2"/>
      <c r="C8" s="694" t="s">
        <v>655</v>
      </c>
      <c r="D8" s="326">
        <f>Import.CTEF</f>
        <v>0</v>
      </c>
      <c r="E8" s="56">
        <f>Import.empresa</f>
        <v>0</v>
      </c>
      <c r="F8" s="704">
        <f>Import.CNPJ</f>
        <v>0</v>
      </c>
      <c r="G8" s="704"/>
      <c r="H8" s="704"/>
      <c r="I8" s="704" t="str">
        <f>IF(TIPOORCAMENTO="Licitado",Import.RegimeExecução,Import.Município)</f>
        <v>SARANDI/RS</v>
      </c>
      <c r="J8" s="704"/>
      <c r="K8" s="704"/>
      <c r="L8" s="704"/>
      <c r="M8" s="704" t="str" cm="1">
        <f t="array" aca="1" ref="M8" ca="1">TEXT(IF(BM.medicao=1,Import.DataInicioObra,OFFSET($AB$12,0,BM.medicao-1-$AB$13)+1),"dd/mm/aaaa")&amp;" a "&amp;TEXT(OFFSET($AB$12,0,BM.medicao-$AB$13),"dd/mm/aaaa")</f>
        <v>00/01/1900 a 00/01/1900</v>
      </c>
      <c r="N8" s="704"/>
      <c r="O8" s="422">
        <v>1</v>
      </c>
    </row>
    <row r="9" spans="1:41" ht="12.75" customHeight="1" x14ac:dyDescent="0.25">
      <c r="A9" s="559" t="b">
        <v>1</v>
      </c>
      <c r="B9" s="4"/>
      <c r="C9" s="694"/>
    </row>
    <row r="10" spans="1:41" ht="13.35" customHeight="1" x14ac:dyDescent="0.25">
      <c r="A10" s="410" t="s">
        <v>852</v>
      </c>
      <c r="B10" s="411"/>
      <c r="C10" s="694"/>
      <c r="E10" s="556"/>
      <c r="F10" s="819" t="e" cm="1">
        <f t="array" aca="1" ref="F10" ca="1">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IF($J$175&lt;&gt;"",UPPER($J$175),
 "")))))))</f>
        <v>#NAME?</v>
      </c>
      <c r="G10" s="819"/>
      <c r="H10" s="819"/>
      <c r="I10" s="819"/>
      <c r="O10" s="558" t="e">
        <f ca="1">"Realizado Acumulado: "&amp;TEXT(P10,"0,00%")</f>
        <v>#NAME?</v>
      </c>
      <c r="P10" s="561" t="e">
        <f ca="1">ROUND($O$15/($I$15+10^-12),4)</f>
        <v>#NAME?</v>
      </c>
      <c r="AB10" s="571" t="str">
        <f ca="1">IF(INDEX($AB$12:$AN$12,MATCH($O$8,$AB$13:$AN$13,0))=0,"Preencher a data da medição "&amp;$O$8,"")</f>
        <v>Preencher a data da medição 1</v>
      </c>
    </row>
    <row r="11" spans="1:41" ht="15" customHeight="1" x14ac:dyDescent="0.3">
      <c r="A11" s="560" t="e">
        <f ca="1">OFFSET(CRONO!$F$13,CRONO!$F$106,0)</f>
        <v>#VALUE!</v>
      </c>
      <c r="B11" s="418"/>
      <c r="C11" s="694"/>
      <c r="E11" s="556"/>
      <c r="F11" s="819"/>
      <c r="G11" s="819"/>
      <c r="H11" s="819"/>
      <c r="I11" s="819"/>
      <c r="N11" s="557"/>
      <c r="O11" s="558" t="str">
        <f ca="1">IF(ISERROR(P11),"","Administração Local Acumulada: "&amp;TEXT(P11,"0,00%"))</f>
        <v/>
      </c>
      <c r="P11" s="561" t="e">
        <f ca="1">OFFSET($O$15,$A$11,0)/OFFSET($I$15,$A$11,0)</f>
        <v>#VALUE!</v>
      </c>
      <c r="T11" s="818" t="s">
        <v>853</v>
      </c>
      <c r="U11" s="818"/>
      <c r="Z11" s="4"/>
      <c r="AB11" s="806" t="s">
        <v>854</v>
      </c>
      <c r="AC11" s="806"/>
      <c r="AD11" s="806"/>
      <c r="AE11" s="806"/>
      <c r="AF11" s="806"/>
      <c r="AG11" s="806"/>
      <c r="AH11" s="806"/>
      <c r="AI11" s="806"/>
      <c r="AJ11" s="806"/>
      <c r="AK11" s="806"/>
      <c r="AL11" s="806"/>
      <c r="AM11" s="806"/>
    </row>
    <row r="12" spans="1:41" ht="15" customHeight="1" x14ac:dyDescent="0.3">
      <c r="C12" s="694"/>
      <c r="E12" s="84" t="s">
        <v>855</v>
      </c>
      <c r="J12" s="706" t="str">
        <f ca="1">"Evolução Física "&amp;CHOOSE(MATCH(RegimeExecucao,{"Unitário","Global"},0),"(Qtde.)","(%)")</f>
        <v>Evolução Física (Qtde.)</v>
      </c>
      <c r="K12" s="706"/>
      <c r="L12" s="706"/>
      <c r="M12" s="706" t="s">
        <v>856</v>
      </c>
      <c r="N12" s="706"/>
      <c r="O12" s="706"/>
      <c r="Q12" s="706" t="str">
        <f ca="1">"Aferido (CAIXA) "&amp;CHOOSE(MATCH(RegimeExecucao,{"Unitário","Global"},0),"(Qtde.)","(%)")</f>
        <v>Aferido (CAIXA) (Qtde.)</v>
      </c>
      <c r="R12" s="706"/>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5">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f ca="1">IF(RegimeExecucao="Unitário","Unidade","")</f>
        <v>Unidade</v>
      </c>
      <c r="W13" s="292" t="str">
        <f ca="1">CHOOSE(MATCH(RegimeExecucao,{"Unitário","Global"},0),"Quant. Glosada (unid)","Percentual Glosado (%)")</f>
        <v>Quant. Glosada (unid)</v>
      </c>
      <c r="X13" s="292" t="str">
        <f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t="13.8" hidden="1" x14ac:dyDescent="0.3">
      <c r="A14" t="str">
        <f ca="1">ORÇAMENTO!C14</f>
        <v>S</v>
      </c>
      <c r="B14">
        <f ca="1">ORÇAMENTO!D14</f>
        <v>0</v>
      </c>
      <c r="C14" s="114" t="str">
        <f ca="1">IF(OR($I14&gt;0,$A14=1,$A14=2,$A14=3,$A14=4),"F","")</f>
        <v/>
      </c>
      <c r="D14" s="117" t="str">
        <f ca="1">ORÇAMENTO!O14</f>
        <v>-</v>
      </c>
      <c r="E14" s="163" t="str">
        <f ca="1">ORÇAMENTO.Descricao</f>
        <v>(Sem Código)</v>
      </c>
      <c r="F14" s="164" t="str">
        <f ca="1">IF(RegimeExecucao="Global","",ORÇAMENTO.Unidade)</f>
        <v>-</v>
      </c>
      <c r="G14" s="122">
        <f ca="1">IF(RegimeExecucao="Global","",ORÇAMENTO!T14)</f>
        <v>0</v>
      </c>
      <c r="H14" s="122">
        <f ca="1">IF(RegimeExecucao="Global","",ORÇAMENTO!W14)</f>
        <v>0</v>
      </c>
      <c r="I14" s="125">
        <f ca="1">ORÇAMENTO!X14</f>
        <v>0</v>
      </c>
      <c r="J14" s="333" t="e" cm="1">
        <f t="array" aca="1" ref="J14" ca="1">_xlfn.SINGLE(IF($A14="S",IF(CAIXA.Modo,BM.AFAnterior,BM.MEDAnterior),IF(AND(_xlfn.SINGLE(RegimeExecucao)="Global",$I14&gt;0,COUNTIF($AB$13:$AM$13,BM.medicao-1)&gt;0),M14/$I14*100,0)))</f>
        <v>#NAME?</v>
      </c>
      <c r="K14" s="122" t="e">
        <f ca="1">L14-J14</f>
        <v>#NAME?</v>
      </c>
      <c r="L14" s="334" t="e" cm="1">
        <f t="array" aca="1" ref="L14" ca="1">_xlfn.SINGLE(IF($A14="S",IF(CAIXA.Modo,BM.AFAcumulado,BM.MEDAcumulado),IF(AND(_xlfn.SINGLE(RegimeExecucao)="Global",$I14&gt;0,COUNTIF($AB$13:$AM$13,BM.medicao)&gt;0),O14/$I14*100,0)))</f>
        <v>#NAME?</v>
      </c>
      <c r="M14" s="335">
        <f ca="1">IF($A14="S",VTOTALBM,IF($A14=0,0,ROUND(SomaAgrupBM,15-13*ORÇAMENTO!$AF$11)))</f>
        <v>0</v>
      </c>
      <c r="N14" s="336">
        <f ca="1">O14-M14</f>
        <v>0</v>
      </c>
      <c r="O14" s="125">
        <f ca="1">IF($A14="S",VTOTALBM,IF($A14=0,0,ROUND(SomaAgrupBM,15-13*ORÇAMENTO!$AF$11)))</f>
        <v>0</v>
      </c>
      <c r="Q14" s="337"/>
      <c r="R14" s="338"/>
      <c r="T14" s="117" t="str">
        <f ca="1">IF($W14&gt;0,$D14,"")</f>
        <v/>
      </c>
      <c r="U14" s="163" t="str">
        <f ca="1">IF($W14&gt;0,$E14,"")</f>
        <v/>
      </c>
      <c r="V14" s="164" t="str">
        <f ca="1">IF(AND($W14&gt;0,RegimeExecucao="Unitário"),$F14,"")</f>
        <v/>
      </c>
      <c r="W14" s="454">
        <f ca="1">IF($Y14&gt;0,CHOOSE(MATCH(RegimeExecucao,{"Unitário","Global"},0),IF($A14="S",$Y14/$X14,""),($Y14/$X14)*100),0)</f>
        <v>0</v>
      </c>
      <c r="X14" s="339" t="str">
        <f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f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114" t="s">
        <v>536</v>
      </c>
      <c r="D15" s="817" t="str">
        <f>"Objeto do CTEF: "&amp;Import.DescLote</f>
        <v>Objeto do CTEF: PAVIMENTAÇÃO ASFÁLTICA EM DIVERSOS TRECHOS NO MUNICÍPIO DE SARANDI</v>
      </c>
      <c r="E15" s="817"/>
      <c r="F15" s="455"/>
      <c r="G15" s="456"/>
      <c r="H15" s="456" t="s">
        <v>864</v>
      </c>
      <c r="I15" s="457" t="e">
        <f ca="1">IF(OR(_xlfn.SINGLE(ACOMPANHAMENTO)="PLE",_xlfn.SINGLE(TIPOORCAMENTO)="Proposto"),0,ORÇAMENTO!$X$15)</f>
        <v>#NAME?</v>
      </c>
      <c r="J15" s="340" t="e">
        <f ca="1">IF(M$15=0,0,IF(RegimeExecucao="Global",M$15/$I$15*100,0))</f>
        <v>#NAME?</v>
      </c>
      <c r="K15" s="340" t="e">
        <f ca="1">L15-J15</f>
        <v>#NAME?</v>
      </c>
      <c r="L15" s="340" t="e">
        <f ca="1">IF(O$15=0,0,IF(RegimeExecucao="Global",O$15/$I$15*100,0))</f>
        <v>#NAME?</v>
      </c>
      <c r="M15" s="341" t="e">
        <f ca="1">IF(OR(_xlfn.SINGLE(ACOMPANHAMENTO)="PLE",_xlfn.SINGLE(TIPOORCAMENTO)="Proposto"),0,SUMIF(OFFSET($A15,1,0):$A$165,"S",OFFSET(M15,1,0):M$165))</f>
        <v>#NAME?</v>
      </c>
      <c r="N15" s="341" t="e">
        <f ca="1">O15-M15</f>
        <v>#NAME?</v>
      </c>
      <c r="O15" s="341" t="e">
        <f ca="1">IF(OR(_xlfn.SINGLE(ACOMPANHAMENTO)="PLE",_xlfn.SINGLE(TIPOORCAMENTO)="Proposto"),0,SUMIF(OFFSET($A15,1,0):$A$165,"S",OFFSET(O15,1,0):O$165))</f>
        <v>#NAME?</v>
      </c>
      <c r="Q15" s="342"/>
      <c r="R15" s="342"/>
      <c r="T15" s="343"/>
      <c r="U15" s="344"/>
      <c r="V15" s="344"/>
      <c r="W15" s="344"/>
      <c r="X15" s="344"/>
      <c r="Y15" s="344"/>
      <c r="Z15" s="345"/>
      <c r="AB15" s="813" t="str">
        <f ca="1">"Preencher abaixo com a "&amp;CHOOSE(MATCH(RegimeExecucao,{"Unitário","Global"},0),"QUANTIDADE","PORCENTAGEM")&amp;" executada no PERÍODO"</f>
        <v>Preencher abaixo com a QUANTIDADE executada no PERÍODO</v>
      </c>
      <c r="AC15" s="813"/>
      <c r="AD15" s="813"/>
      <c r="AE15" s="813"/>
      <c r="AF15" s="813"/>
      <c r="AG15" s="813"/>
      <c r="AH15" s="813"/>
      <c r="AI15" s="813"/>
      <c r="AJ15" s="813"/>
      <c r="AK15" s="813"/>
      <c r="AL15" s="813"/>
      <c r="AM15" s="813"/>
    </row>
    <row r="16" spans="1:41" ht="26.4" x14ac:dyDescent="0.3">
      <c r="A16">
        <f ca="1">ORÇAMENTO!C16</f>
        <v>1</v>
      </c>
      <c r="B16">
        <f ca="1">ORÇAMENTO!D16</f>
        <v>41</v>
      </c>
      <c r="C16" s="114" t="str">
        <f t="shared" ref="C16:C164" ca="1" si="1">IF(OR($I16&gt;0,$A16=1,$A16=2,$A16=3,$A16=4),"F","")</f>
        <v>F</v>
      </c>
      <c r="D16" s="117" t="str">
        <f ca="1">ORÇAMENTO!O16</f>
        <v>1.</v>
      </c>
      <c r="E16" s="163" t="str">
        <f t="shared" ref="E16:E164" si="2">ORÇAMENTO.Descricao</f>
        <v>RERPERFILAMENTO E CBUQ SOBRE CALÇAMENTO AV. SETE DE SETEMBRO LOTEAMENTO BEM MORAR (TRECHO 2)</v>
      </c>
      <c r="F16" s="164" t="str">
        <f ca="1">IF(RegimeExecucao="Global","",ORÇAMENTO.Unidade)</f>
        <v>-</v>
      </c>
      <c r="G16" s="122">
        <f ca="1">IF(RegimeExecucao="Global","",ORÇAMENTO!T16)</f>
        <v>0</v>
      </c>
      <c r="H16" s="122">
        <f ca="1">IF(RegimeExecucao="Global","",ORÇAMENTO!W16)</f>
        <v>0</v>
      </c>
      <c r="I16" s="125">
        <f ca="1">ORÇAMENTO!X16</f>
        <v>498227.73</v>
      </c>
      <c r="J16" s="333" t="e" cm="1">
        <f t="array" aca="1" ref="J16" ca="1">_xlfn.SINGLE(IF($A16="S",IF(CAIXA.Modo,BM.AFAnterior,BM.MEDAnterior),IF(AND(_xlfn.SINGLE(RegimeExecucao)="Global",$I16&gt;0,COUNTIF($AB$13:$AM$13,BM.medicao-1)&gt;0),M16/$I16*100,0)))</f>
        <v>#NAME?</v>
      </c>
      <c r="K16" s="122" t="e">
        <f t="shared" ref="K16:K164" ca="1" si="3">L16-J16</f>
        <v>#NAME?</v>
      </c>
      <c r="L16" s="334" t="e" cm="1">
        <f t="array" aca="1" ref="L16" ca="1">_xlfn.SINGLE(IF($A16="S",IF(CAIXA.Modo,BM.AFAcumulado,BM.MEDAcumulado),IF(AND(_xlfn.SINGLE(RegimeExecucao)="Global",$I16&gt;0,COUNTIF($AB$13:$AM$13,BM.medicao)&gt;0),O16/$I16*100,0)))</f>
        <v>#NAME?</v>
      </c>
      <c r="M16" s="335" t="e">
        <f ca="1">IF($A16="S",VTOTALBM,IF($A16=0,0,ROUND(SomaAgrupBM,15-13*ORÇAMENTO!$AF$11)))</f>
        <v>#NAME?</v>
      </c>
      <c r="N16" s="336" t="e">
        <f t="shared" ref="N16:N164" ca="1" si="4">O16-M16</f>
        <v>#NAME?</v>
      </c>
      <c r="O16" s="125" t="e">
        <f ca="1">IF($A16="S",VTOTALBM,IF($A16=0,0,ROUND(SomaAgrupBM,15-13*ORÇAMENTO!$AF$11)))</f>
        <v>#NAME?</v>
      </c>
      <c r="Q16" s="337"/>
      <c r="R16" s="338"/>
      <c r="T16" s="117" t="e">
        <f t="shared" ref="T16:T164" ca="1" si="5">IF($W16&gt;0,$D16,"")</f>
        <v>#NAME?</v>
      </c>
      <c r="U16" s="163" t="e">
        <f t="shared" ref="U16:U164" ca="1" si="6">IF($W16&gt;0,$E16,"")</f>
        <v>#NAME?</v>
      </c>
      <c r="V16" s="164" t="e">
        <f ca="1">IF(AND($W16&gt;0,RegimeExecucao="Unitário"),$F16,"")</f>
        <v>#NAME?</v>
      </c>
      <c r="W16" s="454" t="e">
        <f ca="1">IF($Y16&gt;0,CHOOSE(MATCH(RegimeExecucao,{"Unitário","Global"},0),IF($A16="S",$Y16/$X16,""),($Y16/$X16)*100),0)</f>
        <v>#NAME?</v>
      </c>
      <c r="X16" s="339" t="e">
        <f ca="1">IF($Y16&gt;0,CHOOSE(MATCH(RegimeExecucao,{"Unitário","Global"},0),IF($A16="S",ROUND($H16,ORÇAMENTO!$AF$10),""),ROUND($I16,ORÇAMENTO!$AF$11)),"")</f>
        <v>#NAME?</v>
      </c>
      <c r="Y16" s="339" t="e">
        <f t="shared" ref="Y16:Y164" ca="1" si="7">AO16-O16</f>
        <v>#NAME?</v>
      </c>
      <c r="Z16" s="473"/>
      <c r="AB16" s="337"/>
      <c r="AC16" s="437"/>
      <c r="AD16" s="437"/>
      <c r="AE16" s="437"/>
      <c r="AF16" s="437"/>
      <c r="AG16" s="437"/>
      <c r="AH16" s="437"/>
      <c r="AI16" s="437"/>
      <c r="AJ16" s="437"/>
      <c r="AK16" s="437"/>
      <c r="AL16" s="437"/>
      <c r="AM16" s="338"/>
      <c r="AO16">
        <f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4</v>
      </c>
      <c r="C17" s="114" t="str">
        <f t="shared" ca="1" si="1"/>
        <v>F</v>
      </c>
      <c r="D17" s="117" t="str">
        <f ca="1">ORÇAMENTO!O17</f>
        <v>1.1.</v>
      </c>
      <c r="E17" s="163" t="str">
        <f t="shared" si="2"/>
        <v>SERVIÇOS INICIAIS</v>
      </c>
      <c r="F17" s="164" t="str">
        <f ca="1">IF(RegimeExecucao="Global","",ORÇAMENTO.Unidade)</f>
        <v>-</v>
      </c>
      <c r="G17" s="122">
        <f ca="1">IF(RegimeExecucao="Global","",ORÇAMENTO!T17)</f>
        <v>0</v>
      </c>
      <c r="H17" s="122">
        <f ca="1">IF(RegimeExecucao="Global","",ORÇAMENTO!W17)</f>
        <v>0</v>
      </c>
      <c r="I17" s="125">
        <f ca="1">ORÇAMENTO!X17</f>
        <v>18380.169999999998</v>
      </c>
      <c r="J17" s="333" t="e" cm="1">
        <f t="array" aca="1" ref="J17" ca="1">_xlfn.SINGLE(IF($A17="S",IF(CAIXA.Modo,BM.AFAnterior,BM.MEDAnterior),IF(AND(_xlfn.SINGLE(RegimeExecucao)="Global",$I17&gt;0,COUNTIF($AB$13:$AM$13,BM.medicao-1)&gt;0),M17/$I17*100,0)))</f>
        <v>#NAME?</v>
      </c>
      <c r="K17" s="122" t="e">
        <f t="shared" ca="1" si="3"/>
        <v>#NAME?</v>
      </c>
      <c r="L17" s="334" t="e" cm="1">
        <f t="array" aca="1" ref="L17" ca="1">_xlfn.SINGLE(IF($A17="S",IF(CAIXA.Modo,BM.AFAcumulado,BM.MEDAcumulado),IF(AND(_xlfn.SINGLE(RegimeExecucao)="Global",$I17&gt;0,COUNTIF($AB$13:$AM$13,BM.medicao)&gt;0),O17/$I17*100,0)))</f>
        <v>#NAME?</v>
      </c>
      <c r="M17" s="335" t="e">
        <f ca="1">IF($A17="S",VTOTALBM,IF($A17=0,0,ROUND(SomaAgrupBM,15-13*ORÇAMENTO!$AF$11)))</f>
        <v>#NAME?</v>
      </c>
      <c r="N17" s="336" t="e">
        <f t="shared" ca="1" si="4"/>
        <v>#NAME?</v>
      </c>
      <c r="O17" s="125" t="e">
        <f ca="1">IF($A17="S",VTOTALBM,IF($A17=0,0,ROUND(SomaAgrupBM,15-13*ORÇAMENTO!$AF$11)))</f>
        <v>#NAME?</v>
      </c>
      <c r="Q17" s="337"/>
      <c r="R17" s="338"/>
      <c r="T17" s="117" t="e">
        <f t="shared" ca="1" si="5"/>
        <v>#NAME?</v>
      </c>
      <c r="U17" s="163" t="e">
        <f t="shared" ca="1" si="6"/>
        <v>#NAME?</v>
      </c>
      <c r="V17" s="164" t="e">
        <f ca="1">IF(AND($W17&gt;0,RegimeExecucao="Unitário"),$F17,"")</f>
        <v>#NAME?</v>
      </c>
      <c r="W17" s="454" t="e">
        <f ca="1">IF($Y17&gt;0,CHOOSE(MATCH(RegimeExecucao,{"Unitário","Global"},0),IF($A17="S",$Y17/$X17,""),($Y17/$X17)*100),0)</f>
        <v>#NAME?</v>
      </c>
      <c r="X17" s="339" t="e">
        <f ca="1">IF($Y17&gt;0,CHOOSE(MATCH(RegimeExecucao,{"Unitário","Global"},0),IF($A17="S",ROUND($H17,ORÇAMENTO!$AF$10),""),ROUND($I17,ORÇAMENTO!$AF$11)),"")</f>
        <v>#NAME?</v>
      </c>
      <c r="Y17" s="339" t="e">
        <f t="shared" ca="1" si="7"/>
        <v>#NAME?</v>
      </c>
      <c r="Z17" s="473"/>
      <c r="AB17" s="337"/>
      <c r="AC17" s="437"/>
      <c r="AD17" s="437"/>
      <c r="AE17" s="437"/>
      <c r="AF17" s="437"/>
      <c r="AG17" s="437"/>
      <c r="AH17" s="437"/>
      <c r="AI17" s="437"/>
      <c r="AJ17" s="437"/>
      <c r="AK17" s="437"/>
      <c r="AL17" s="437"/>
      <c r="AM17" s="338"/>
      <c r="AO17">
        <f ca="1">IF($A17="S",IF(BM!$I17=0,0,CHOOSE(MATCH(RegimeExecucao,{"Global","Unitário"},0),ROUND(ROUND(BM.MEDAcumulado,15-13*BM!$A$9)/100*BM!$I17,15-13*ORÇAMENTO!$AF$11),ROUND(ROUND(BM.MEDAcumulado,15-13*BM!$A$9)*ROUND(BM!$H17,15-13*ORÇAMENTO!$AF$10),15-13*ORÇAMENTO!$AF$11))),IF($A17=0,0,ROUND(SomaAgrupBM,15-13*ORÇAMENTO!$AF$11)))</f>
        <v>0</v>
      </c>
    </row>
    <row r="18" spans="1:41" ht="26.4" x14ac:dyDescent="0.3">
      <c r="A18" t="str">
        <f ca="1">ORÇAMENTO!C18</f>
        <v>S</v>
      </c>
      <c r="B18">
        <f ca="1">ORÇAMENTO!D18</f>
        <v>0</v>
      </c>
      <c r="C18" s="114" t="str">
        <f t="shared" ca="1" si="1"/>
        <v>F</v>
      </c>
      <c r="D18" s="117" t="str">
        <f ca="1">ORÇAMENTO!O18</f>
        <v>1.1.1.</v>
      </c>
      <c r="E18" s="163" t="str">
        <f t="shared" si="2"/>
        <v>FORNECIMENTO E INSTALAÇÃO DE PLACA DE OBRA COM CHAPA GALVANIZADA E ESTRUTURA EM MADEIRA</v>
      </c>
      <c r="F18" s="164" t="str">
        <f ca="1">IF(RegimeExecucao="Global","",ORÇAMENTO.Unidade)</f>
        <v>M2</v>
      </c>
      <c r="G18" s="122">
        <f ca="1">IF(RegimeExecucao="Global","",ORÇAMENTO!T18)</f>
        <v>6</v>
      </c>
      <c r="H18" s="122">
        <f ca="1">IF(RegimeExecucao="Global","",ORÇAMENTO!W18)</f>
        <v>568.13</v>
      </c>
      <c r="I18" s="125">
        <f ca="1">ORÇAMENTO!X18</f>
        <v>3408.78</v>
      </c>
      <c r="J18" s="333" t="e" cm="1">
        <f t="array" aca="1" ref="J18" ca="1">_xlfn.SINGLE(IF($A18="S",IF(CAIXA.Modo,BM.AFAnterior,BM.MEDAnterior),IF(AND(_xlfn.SINGLE(RegimeExecucao)="Global",$I18&gt;0,COUNTIF($AB$13:$AM$13,BM.medicao-1)&gt;0),M18/$I18*100,0)))</f>
        <v>#NAME?</v>
      </c>
      <c r="K18" s="122" t="e">
        <f t="shared" ca="1" si="3"/>
        <v>#NAME?</v>
      </c>
      <c r="L18" s="334" t="e" cm="1">
        <f t="array" aca="1" ref="L18" ca="1">_xlfn.SINGLE(IF($A18="S",IF(CAIXA.Modo,BM.AFAcumulado,BM.MEDAcumulado),IF(AND(_xlfn.SINGLE(RegimeExecucao)="Global",$I18&gt;0,COUNTIF($AB$13:$AM$13,BM.medicao)&gt;0),O18/$I18*100,0)))</f>
        <v>#NAME?</v>
      </c>
      <c r="M18" s="335" t="e">
        <f ca="1">IF($A18="S",VTOTALBM,IF($A18=0,0,ROUND(SomaAgrupBM,15-13*ORÇAMENTO!$AF$11)))</f>
        <v>#NAME?</v>
      </c>
      <c r="N18" s="336" t="e">
        <f t="shared" ca="1" si="4"/>
        <v>#NAME?</v>
      </c>
      <c r="O18" s="125" t="e">
        <f ca="1">IF($A18="S",VTOTALBM,IF($A18=0,0,ROUND(SomaAgrupBM,15-13*ORÇAMENTO!$AF$11)))</f>
        <v>#NAME?</v>
      </c>
      <c r="Q18" s="337"/>
      <c r="R18" s="338"/>
      <c r="T18" s="117" t="e">
        <f t="shared" ca="1" si="5"/>
        <v>#NAME?</v>
      </c>
      <c r="U18" s="163" t="e">
        <f t="shared" ca="1" si="6"/>
        <v>#NAME?</v>
      </c>
      <c r="V18" s="164" t="e">
        <f ca="1">IF(AND($W18&gt;0,RegimeExecucao="Unitário"),$F18,"")</f>
        <v>#NAME?</v>
      </c>
      <c r="W18" s="454" t="e">
        <f ca="1">IF($Y18&gt;0,CHOOSE(MATCH(RegimeExecucao,{"Unitário","Global"},0),IF($A18="S",$Y18/$X18,""),($Y18/$X18)*100),0)</f>
        <v>#NAME?</v>
      </c>
      <c r="X18" s="339" t="e">
        <f ca="1">IF($Y18&gt;0,CHOOSE(MATCH(RegimeExecucao,{"Unitário","Global"},0),IF($A18="S",ROUND($H18,ORÇAMENTO!$AF$10),""),ROUND($I18,ORÇAMENTO!$AF$11)),"")</f>
        <v>#NAME?</v>
      </c>
      <c r="Y18" s="339" t="e">
        <f t="shared" ca="1" si="7"/>
        <v>#NAME?</v>
      </c>
      <c r="Z18" s="473"/>
      <c r="AB18" s="337"/>
      <c r="AC18" s="437"/>
      <c r="AD18" s="437"/>
      <c r="AE18" s="437"/>
      <c r="AF18" s="437"/>
      <c r="AG18" s="437"/>
      <c r="AH18" s="437"/>
      <c r="AI18" s="437"/>
      <c r="AJ18" s="437"/>
      <c r="AK18" s="437"/>
      <c r="AL18" s="437"/>
      <c r="AM18" s="338"/>
      <c r="AO18">
        <f ca="1">IF($A18="S",IF(BM!$I18=0,0,CHOOSE(MATCH(RegimeExecucao,{"Global","Unitário"},0),ROUND(ROUND(BM.MEDAcumulado,15-13*BM!$A$9)/100*BM!$I18,15-13*ORÇAMENTO!$AF$11),ROUND(ROUND(BM.MEDAcumulado,15-13*BM!$A$9)*ROUND(BM!$H18,15-13*ORÇAMENTO!$AF$10),15-13*ORÇAMENTO!$AF$11))),IF($A18=0,0,ROUND(SomaAgrupBM,15-13*ORÇAMENTO!$AF$11)))</f>
        <v>0</v>
      </c>
    </row>
    <row r="19" spans="1:41" ht="39.6" x14ac:dyDescent="0.3">
      <c r="A19" t="str">
        <f ca="1">ORÇAMENTO!C19</f>
        <v>S</v>
      </c>
      <c r="B19">
        <f ca="1">ORÇAMENTO!D19</f>
        <v>0</v>
      </c>
      <c r="C19" s="114" t="str">
        <f t="shared" ca="1" si="1"/>
        <v>F</v>
      </c>
      <c r="D19" s="117" t="str">
        <f ca="1">ORÇAMENTO!O19</f>
        <v>1.1.2.</v>
      </c>
      <c r="E19" s="163" t="str">
        <f t="shared" ca="1" si="2"/>
        <v>MOBILIZAÇÃO OU DESMOBILIZAÇÃO DE 07 EQUIPAMENTOS, COM CAMINHÃO PRANCHA, PARA UMA DMT= 21 KM E UMA VM=
60KM/H, POR VIAS PAVIMENTADAS</v>
      </c>
      <c r="F19" s="164" t="str">
        <f ca="1">IF(RegimeExecucao="Global","",ORÇAMENTO.Unidade)</f>
        <v>UN</v>
      </c>
      <c r="G19" s="122">
        <f ca="1">IF(RegimeExecucao="Global","",ORÇAMENTO!T19)</f>
        <v>1</v>
      </c>
      <c r="H19" s="122">
        <f ca="1">IF(RegimeExecucao="Global","",ORÇAMENTO!W19)</f>
        <v>2174.1999999999998</v>
      </c>
      <c r="I19" s="125">
        <f ca="1">ORÇAMENTO!X19</f>
        <v>2174.1999999999998</v>
      </c>
      <c r="J19" s="333" t="e" cm="1">
        <f t="array" aca="1" ref="J19" ca="1">_xlfn.SINGLE(IF($A19="S",IF(CAIXA.Modo,BM.AFAnterior,BM.MEDAnterior),IF(AND(_xlfn.SINGLE(RegimeExecucao)="Global",$I19&gt;0,COUNTIF($AB$13:$AM$13,BM.medicao-1)&gt;0),M19/$I19*100,0)))</f>
        <v>#NAME?</v>
      </c>
      <c r="K19" s="122" t="e">
        <f t="shared" ca="1" si="3"/>
        <v>#NAME?</v>
      </c>
      <c r="L19" s="334" t="e" cm="1">
        <f t="array" aca="1" ref="L19" ca="1">_xlfn.SINGLE(IF($A19="S",IF(CAIXA.Modo,BM.AFAcumulado,BM.MEDAcumulado),IF(AND(_xlfn.SINGLE(RegimeExecucao)="Global",$I19&gt;0,COUNTIF($AB$13:$AM$13,BM.medicao)&gt;0),O19/$I19*100,0)))</f>
        <v>#NAME?</v>
      </c>
      <c r="M19" s="335" t="e">
        <f ca="1">IF($A19="S",VTOTALBM,IF($A19=0,0,ROUND(SomaAgrupBM,15-13*ORÇAMENTO!$AF$11)))</f>
        <v>#NAME?</v>
      </c>
      <c r="N19" s="336" t="e">
        <f t="shared" ca="1" si="4"/>
        <v>#NAME?</v>
      </c>
      <c r="O19" s="125" t="e">
        <f ca="1">IF($A19="S",VTOTALBM,IF($A19=0,0,ROUND(SomaAgrupBM,15-13*ORÇAMENTO!$AF$11)))</f>
        <v>#NAME?</v>
      </c>
      <c r="Q19" s="337"/>
      <c r="R19" s="338"/>
      <c r="T19" s="117" t="e">
        <f t="shared" ca="1" si="5"/>
        <v>#NAME?</v>
      </c>
      <c r="U19" s="163" t="e">
        <f t="shared" ca="1" si="6"/>
        <v>#NAME?</v>
      </c>
      <c r="V19" s="164" t="e">
        <f ca="1">IF(AND($W19&gt;0,RegimeExecucao="Unitário"),$F19,"")</f>
        <v>#NAME?</v>
      </c>
      <c r="W19" s="454" t="e">
        <f ca="1">IF($Y19&gt;0,CHOOSE(MATCH(RegimeExecucao,{"Unitário","Global"},0),IF($A19="S",$Y19/$X19,""),($Y19/$X19)*100),0)</f>
        <v>#NAME?</v>
      </c>
      <c r="X19" s="339" t="e">
        <f ca="1">IF($Y19&gt;0,CHOOSE(MATCH(RegimeExecucao,{"Unitário","Global"},0),IF($A19="S",ROUND($H19,ORÇAMENTO!$AF$10),""),ROUND($I19,ORÇAMENTO!$AF$11)),"")</f>
        <v>#NAME?</v>
      </c>
      <c r="Y19" s="339" t="e">
        <f t="shared" ca="1" si="7"/>
        <v>#NAME?</v>
      </c>
      <c r="Z19" s="473"/>
      <c r="AB19" s="337"/>
      <c r="AC19" s="437"/>
      <c r="AD19" s="437"/>
      <c r="AE19" s="437"/>
      <c r="AF19" s="437"/>
      <c r="AG19" s="437"/>
      <c r="AH19" s="437"/>
      <c r="AI19" s="437"/>
      <c r="AJ19" s="437"/>
      <c r="AK19" s="437"/>
      <c r="AL19" s="437"/>
      <c r="AM19" s="338"/>
      <c r="AO19">
        <f ca="1">IF($A19="S",IF(BM!$I19=0,0,CHOOSE(MATCH(RegimeExecucao,{"Global","Unitário"},0),ROUND(ROUND(BM.MEDAcumulado,15-13*BM!$A$9)/100*BM!$I19,15-13*ORÇAMENTO!$AF$11),ROUND(ROUND(BM.MEDAcumulado,15-13*BM!$A$9)*ROUND(BM!$H19,15-13*ORÇAMENTO!$AF$10),15-13*ORÇAMENTO!$AF$11))),IF($A19=0,0,ROUND(SomaAgrupBM,15-13*ORÇAMENTO!$AF$11)))</f>
        <v>0</v>
      </c>
    </row>
    <row r="20" spans="1:41" ht="13.8" x14ac:dyDescent="0.3">
      <c r="A20" t="str">
        <f ca="1">ORÇAMENTO!C20</f>
        <v>S</v>
      </c>
      <c r="B20">
        <f ca="1">ORÇAMENTO!D20</f>
        <v>0</v>
      </c>
      <c r="C20" s="114" t="str">
        <f ca="1">IF(OR($I20&gt;0,$A20=1,$A20=2,$A20=3,$A20=4),"F","")</f>
        <v>F</v>
      </c>
      <c r="D20" s="117" t="str">
        <f ca="1">ORÇAMENTO!O20</f>
        <v>1.1.3.</v>
      </c>
      <c r="E20" s="163" t="str">
        <f ca="1">ORÇAMENTO.Descricao</f>
        <v xml:space="preserve">BARRACÃO PROVISÓRIO DE OBRA EM MADEIRA 10M² COM BANEHIRO </v>
      </c>
      <c r="F20" s="164" t="str">
        <f ca="1">IF(RegimeExecucao="Global","",ORÇAMENTO.Unidade)</f>
        <v>UN</v>
      </c>
      <c r="G20" s="122">
        <f ca="1">IF(RegimeExecucao="Global","",ORÇAMENTO!T20)</f>
        <v>1</v>
      </c>
      <c r="H20" s="122">
        <f ca="1">IF(RegimeExecucao="Global","",ORÇAMENTO!W20)</f>
        <v>12797.19</v>
      </c>
      <c r="I20" s="125">
        <f ca="1">ORÇAMENTO!X20</f>
        <v>12797.19</v>
      </c>
      <c r="J20" s="333" t="e" cm="1">
        <f t="array" aca="1" ref="J20" ca="1">_xlfn.SINGLE(IF($A20="S",IF(CAIXA.Modo,BM.AFAnterior,BM.MEDAnterior),IF(AND(_xlfn.SINGLE(RegimeExecucao)="Global",$I20&gt;0,COUNTIF($AB$13:$AM$13,BM.medicao-1)&gt;0),M20/$I20*100,0)))</f>
        <v>#NAME?</v>
      </c>
      <c r="K20" s="122" t="e">
        <f ca="1">L20-J20</f>
        <v>#NAME?</v>
      </c>
      <c r="L20" s="334" t="e" cm="1">
        <f t="array" aca="1" ref="L20" ca="1">_xlfn.SINGLE(IF($A20="S",IF(CAIXA.Modo,BM.AFAcumulado,BM.MEDAcumulado),IF(AND(_xlfn.SINGLE(RegimeExecucao)="Global",$I20&gt;0,COUNTIF($AB$13:$AM$13,BM.medicao)&gt;0),O20/$I20*100,0)))</f>
        <v>#NAME?</v>
      </c>
      <c r="M20" s="335" t="e">
        <f ca="1">IF($A20="S",VTOTALBM,IF($A20=0,0,ROUND(SomaAgrupBM,15-13*ORÇAMENTO!$AF$11)))</f>
        <v>#NAME?</v>
      </c>
      <c r="N20" s="336" t="e">
        <f ca="1">O20-M20</f>
        <v>#NAME?</v>
      </c>
      <c r="O20" s="125" t="e">
        <f ca="1">IF($A20="S",VTOTALBM,IF($A20=0,0,ROUND(SomaAgrupBM,15-13*ORÇAMENTO!$AF$11)))</f>
        <v>#NAME?</v>
      </c>
      <c r="Q20" s="337"/>
      <c r="R20" s="338"/>
      <c r="T20" s="117" t="e">
        <f ca="1">IF($W20&gt;0,$D20,"")</f>
        <v>#NAME?</v>
      </c>
      <c r="U20" s="163" t="e">
        <f ca="1">IF($W20&gt;0,$E20,"")</f>
        <v>#NAME?</v>
      </c>
      <c r="V20" s="164" t="e">
        <f ca="1">IF(AND($W20&gt;0,RegimeExecucao="Unitário"),$F20,"")</f>
        <v>#NAME?</v>
      </c>
      <c r="W20" s="454" t="e">
        <f ca="1">IF($Y20&gt;0,CHOOSE(MATCH(RegimeExecucao,{"Unitário","Global"},0),IF($A20="S",$Y20/$X20,""),($Y20/$X20)*100),0)</f>
        <v>#NAME?</v>
      </c>
      <c r="X20" s="339" t="e">
        <f ca="1">IF($Y20&gt;0,CHOOSE(MATCH(RegimeExecucao,{"Unitário","Global"},0),IF($A20="S",ROUND($H20,ORÇAMENTO!$AF$10),""),ROUND($I20,ORÇAMENTO!$AF$11)),"")</f>
        <v>#NAME?</v>
      </c>
      <c r="Y20" s="339" t="e">
        <f ca="1">AO20-O20</f>
        <v>#NAME?</v>
      </c>
      <c r="Z20" s="473"/>
      <c r="AB20" s="337"/>
      <c r="AC20" s="437"/>
      <c r="AD20" s="437"/>
      <c r="AE20" s="437"/>
      <c r="AF20" s="437"/>
      <c r="AG20" s="437"/>
      <c r="AH20" s="437"/>
      <c r="AI20" s="437"/>
      <c r="AJ20" s="437"/>
      <c r="AK20" s="437"/>
      <c r="AL20" s="437"/>
      <c r="AM20" s="338"/>
      <c r="AO20">
        <f ca="1">IF($A20="S",IF(BM!$I20=0,0,CHOOSE(MATCH(RegimeExecucao,{"Global","Unitário"},0),ROUND(ROUND(BM.MEDAcumulado,15-13*BM!$A$9)/100*BM!$I20,15-13*ORÇAMENTO!$AF$11),ROUND(ROUND(BM.MEDAcumulado,15-13*BM!$A$9)*ROUND(BM!$H20,15-13*ORÇAMENTO!$AF$10),15-13*ORÇAMENTO!$AF$11))),IF($A20=0,0,ROUND(SomaAgrupBM,15-13*ORÇAMENTO!$AF$11)))</f>
        <v>0</v>
      </c>
    </row>
    <row r="21" spans="1:41" ht="13.8" x14ac:dyDescent="0.3">
      <c r="A21">
        <f ca="1">ORÇAMENTO!C21</f>
        <v>2</v>
      </c>
      <c r="B21">
        <f ca="1">ORÇAMENTO!D21</f>
        <v>2</v>
      </c>
      <c r="C21" s="114" t="str">
        <f t="shared" ca="1" si="1"/>
        <v>F</v>
      </c>
      <c r="D21" s="117" t="str">
        <f ca="1">ORÇAMENTO!O21</f>
        <v>1.2.</v>
      </c>
      <c r="E21" s="163" t="str">
        <f t="shared" si="2"/>
        <v>ADMINISTRAÇÃO LOCAL DA OBRA</v>
      </c>
      <c r="F21" s="164" t="str">
        <f ca="1">IF(RegimeExecucao="Global","",ORÇAMENTO.Unidade)</f>
        <v>-</v>
      </c>
      <c r="G21" s="122">
        <f ca="1">IF(RegimeExecucao="Global","",ORÇAMENTO!T21)</f>
        <v>0</v>
      </c>
      <c r="H21" s="122">
        <f ca="1">IF(RegimeExecucao="Global","",ORÇAMENTO!W21)</f>
        <v>0</v>
      </c>
      <c r="I21" s="125">
        <f ca="1">ORÇAMENTO!X21</f>
        <v>37230.239999999998</v>
      </c>
      <c r="J21" s="333" t="e" cm="1">
        <f t="array" aca="1" ref="J21" ca="1">_xlfn.SINGLE(IF($A21="S",IF(CAIXA.Modo,BM.AFAnterior,BM.MEDAnterior),IF(AND(_xlfn.SINGLE(RegimeExecucao)="Global",$I21&gt;0,COUNTIF($AB$13:$AM$13,BM.medicao-1)&gt;0),M21/$I21*100,0)))</f>
        <v>#NAME?</v>
      </c>
      <c r="K21" s="122" t="e">
        <f t="shared" ca="1" si="3"/>
        <v>#NAME?</v>
      </c>
      <c r="L21" s="334" t="e" cm="1">
        <f t="array" aca="1" ref="L21" ca="1">_xlfn.SINGLE(IF($A21="S",IF(CAIXA.Modo,BM.AFAcumulado,BM.MEDAcumulado),IF(AND(_xlfn.SINGLE(RegimeExecucao)="Global",$I21&gt;0,COUNTIF($AB$13:$AM$13,BM.medicao)&gt;0),O21/$I21*100,0)))</f>
        <v>#NAME?</v>
      </c>
      <c r="M21" s="335" t="e">
        <f ca="1">IF($A21="S",VTOTALBM,IF($A21=0,0,ROUND(SomaAgrupBM,15-13*ORÇAMENTO!$AF$11)))</f>
        <v>#NAME?</v>
      </c>
      <c r="N21" s="336" t="e">
        <f t="shared" ca="1" si="4"/>
        <v>#NAME?</v>
      </c>
      <c r="O21" s="125" t="e">
        <f ca="1">IF($A21="S",VTOTALBM,IF($A21=0,0,ROUND(SomaAgrupBM,15-13*ORÇAMENTO!$AF$11)))</f>
        <v>#NAME?</v>
      </c>
      <c r="Q21" s="337"/>
      <c r="R21" s="338"/>
      <c r="T21" s="117" t="e">
        <f t="shared" ca="1" si="5"/>
        <v>#NAME?</v>
      </c>
      <c r="U21" s="163" t="e">
        <f t="shared" ca="1" si="6"/>
        <v>#NAME?</v>
      </c>
      <c r="V21" s="164" t="e">
        <f ca="1">IF(AND($W21&gt;0,RegimeExecucao="Unitário"),$F21,"")</f>
        <v>#NAME?</v>
      </c>
      <c r="W21" s="454" t="e">
        <f ca="1">IF($Y21&gt;0,CHOOSE(MATCH(RegimeExecucao,{"Unitário","Global"},0),IF($A21="S",$Y21/$X21,""),($Y21/$X21)*100),0)</f>
        <v>#NAME?</v>
      </c>
      <c r="X21" s="339" t="e">
        <f ca="1">IF($Y21&gt;0,CHOOSE(MATCH(RegimeExecucao,{"Unitário","Global"},0),IF($A21="S",ROUND($H21,ORÇAMENTO!$AF$10),""),ROUND($I21,ORÇAMENTO!$AF$11)),"")</f>
        <v>#NAME?</v>
      </c>
      <c r="Y21" s="339" t="e">
        <f t="shared" ca="1" si="7"/>
        <v>#NAME?</v>
      </c>
      <c r="Z21" s="473"/>
      <c r="AB21" s="337"/>
      <c r="AC21" s="437"/>
      <c r="AD21" s="437"/>
      <c r="AE21" s="437"/>
      <c r="AF21" s="437"/>
      <c r="AG21" s="437"/>
      <c r="AH21" s="437"/>
      <c r="AI21" s="437"/>
      <c r="AJ21" s="437"/>
      <c r="AK21" s="437"/>
      <c r="AL21" s="437"/>
      <c r="AM21" s="338"/>
      <c r="AO21">
        <f ca="1">IF($A21="S",IF(BM!$I21=0,0,CHOOSE(MATCH(RegimeExecucao,{"Global","Unitário"},0),ROUND(ROUND(BM.MEDAcumulado,15-13*BM!$A$9)/100*BM!$I21,15-13*ORÇAMENTO!$AF$11),ROUND(ROUND(BM.MEDAcumulado,15-13*BM!$A$9)*ROUND(BM!$H21,15-13*ORÇAMENTO!$AF$10),15-13*ORÇAMENTO!$AF$11))),IF($A21=0,0,ROUND(SomaAgrupBM,15-13*ORÇAMENTO!$AF$11)))</f>
        <v>0</v>
      </c>
    </row>
    <row r="22" spans="1:41" ht="13.8" x14ac:dyDescent="0.3">
      <c r="A22" t="str">
        <f ca="1">ORÇAMENTO!C22</f>
        <v>S</v>
      </c>
      <c r="B22">
        <f ca="1">ORÇAMENTO!D22</f>
        <v>0</v>
      </c>
      <c r="C22" s="114" t="str">
        <f t="shared" ca="1" si="1"/>
        <v>F</v>
      </c>
      <c r="D22" s="117" t="str">
        <f ca="1">ORÇAMENTO!O22</f>
        <v>1.2.1.</v>
      </c>
      <c r="E22" s="163" t="str">
        <f t="shared" ca="1" si="2"/>
        <v>ADMINISTRAÇÃO LOCAL DA OBRA MENSAL</v>
      </c>
      <c r="F22" s="164" t="str">
        <f ca="1">IF(RegimeExecucao="Global","",ORÇAMENTO.Unidade)</f>
        <v>MES</v>
      </c>
      <c r="G22" s="122">
        <f ca="1">IF(RegimeExecucao="Global","",ORÇAMENTO!T22)</f>
        <v>6</v>
      </c>
      <c r="H22" s="122">
        <f ca="1">IF(RegimeExecucao="Global","",ORÇAMENTO!W22)</f>
        <v>6205.04</v>
      </c>
      <c r="I22" s="125">
        <f ca="1">ORÇAMENTO!X22</f>
        <v>37230.239999999998</v>
      </c>
      <c r="J22" s="333" t="e" cm="1">
        <f t="array" aca="1" ref="J22" ca="1">_xlfn.SINGLE(IF($A22="S",IF(CAIXA.Modo,BM.AFAnterior,BM.MEDAnterior),IF(AND(_xlfn.SINGLE(RegimeExecucao)="Global",$I22&gt;0,COUNTIF($AB$13:$AM$13,BM.medicao-1)&gt;0),M22/$I22*100,0)))</f>
        <v>#NAME?</v>
      </c>
      <c r="K22" s="122" t="e">
        <f t="shared" ca="1" si="3"/>
        <v>#NAME?</v>
      </c>
      <c r="L22" s="334" t="e" cm="1">
        <f t="array" aca="1" ref="L22" ca="1">_xlfn.SINGLE(IF($A22="S",IF(CAIXA.Modo,BM.AFAcumulado,BM.MEDAcumulado),IF(AND(_xlfn.SINGLE(RegimeExecucao)="Global",$I22&gt;0,COUNTIF($AB$13:$AM$13,BM.medicao)&gt;0),O22/$I22*100,0)))</f>
        <v>#NAME?</v>
      </c>
      <c r="M22" s="335" t="e">
        <f ca="1">IF($A22="S",VTOTALBM,IF($A22=0,0,ROUND(SomaAgrupBM,15-13*ORÇAMENTO!$AF$11)))</f>
        <v>#NAME?</v>
      </c>
      <c r="N22" s="336" t="e">
        <f t="shared" ca="1" si="4"/>
        <v>#NAME?</v>
      </c>
      <c r="O22" s="125" t="e">
        <f ca="1">IF($A22="S",VTOTALBM,IF($A22=0,0,ROUND(SomaAgrupBM,15-13*ORÇAMENTO!$AF$11)))</f>
        <v>#NAME?</v>
      </c>
      <c r="Q22" s="337"/>
      <c r="R22" s="338"/>
      <c r="T22" s="117" t="e">
        <f t="shared" ca="1" si="5"/>
        <v>#NAME?</v>
      </c>
      <c r="U22" s="163" t="e">
        <f t="shared" ca="1" si="6"/>
        <v>#NAME?</v>
      </c>
      <c r="V22" s="164" t="e">
        <f ca="1">IF(AND($W22&gt;0,RegimeExecucao="Unitário"),$F22,"")</f>
        <v>#NAME?</v>
      </c>
      <c r="W22" s="454" t="e">
        <f ca="1">IF($Y22&gt;0,CHOOSE(MATCH(RegimeExecucao,{"Unitário","Global"},0),IF($A22="S",$Y22/$X22,""),($Y22/$X22)*100),0)</f>
        <v>#NAME?</v>
      </c>
      <c r="X22" s="339" t="e">
        <f ca="1">IF($Y22&gt;0,CHOOSE(MATCH(RegimeExecucao,{"Unitário","Global"},0),IF($A22="S",ROUND($H22,ORÇAMENTO!$AF$10),""),ROUND($I22,ORÇAMENTO!$AF$11)),"")</f>
        <v>#NAME?</v>
      </c>
      <c r="Y22" s="339" t="e">
        <f t="shared" ca="1" si="7"/>
        <v>#NAME?</v>
      </c>
      <c r="Z22" s="473"/>
      <c r="AB22" s="337"/>
      <c r="AC22" s="437"/>
      <c r="AD22" s="437"/>
      <c r="AE22" s="437"/>
      <c r="AF22" s="437"/>
      <c r="AG22" s="437"/>
      <c r="AH22" s="437"/>
      <c r="AI22" s="437"/>
      <c r="AJ22" s="437"/>
      <c r="AK22" s="437"/>
      <c r="AL22" s="437"/>
      <c r="AM22" s="338"/>
      <c r="AO22">
        <f ca="1">IF($A22="S",IF(BM!$I22=0,0,CHOOSE(MATCH(RegimeExecucao,{"Global","Unitário"},0),ROUND(ROUND(BM.MEDAcumulado,15-13*BM!$A$9)/100*BM!$I22,15-13*ORÇAMENTO!$AF$11),ROUND(ROUND(BM.MEDAcumulado,15-13*BM!$A$9)*ROUND(BM!$H22,15-13*ORÇAMENTO!$AF$10),15-13*ORÇAMENTO!$AF$11))),IF($A22=0,0,ROUND(SomaAgrupBM,15-13*ORÇAMENTO!$AF$11)))</f>
        <v>0</v>
      </c>
    </row>
    <row r="23" spans="1:41" ht="13.8" x14ac:dyDescent="0.3">
      <c r="A23">
        <f ca="1">ORÇAMENTO!C23</f>
        <v>2</v>
      </c>
      <c r="B23">
        <f ca="1">ORÇAMENTO!D23</f>
        <v>10</v>
      </c>
      <c r="C23" s="114" t="str">
        <f t="shared" ca="1" si="1"/>
        <v>F</v>
      </c>
      <c r="D23" s="117" t="str">
        <f ca="1">ORÇAMENTO!O23</f>
        <v>1.3.</v>
      </c>
      <c r="E23" s="163" t="str">
        <f t="shared" si="2"/>
        <v>DRENAGEM</v>
      </c>
      <c r="F23" s="164" t="str">
        <f ca="1">IF(RegimeExecucao="Global","",ORÇAMENTO.Unidade)</f>
        <v>-</v>
      </c>
      <c r="G23" s="122">
        <f ca="1">IF(RegimeExecucao="Global","",ORÇAMENTO!T23)</f>
        <v>0</v>
      </c>
      <c r="H23" s="122">
        <f ca="1">IF(RegimeExecucao="Global","",ORÇAMENTO!W23)</f>
        <v>0</v>
      </c>
      <c r="I23" s="125">
        <f ca="1">ORÇAMENTO!X23</f>
        <v>36923.120000000003</v>
      </c>
      <c r="J23" s="333" t="e" cm="1">
        <f t="array" aca="1" ref="J23" ca="1">_xlfn.SINGLE(IF($A23="S",IF(CAIXA.Modo,BM.AFAnterior,BM.MEDAnterior),IF(AND(_xlfn.SINGLE(RegimeExecucao)="Global",$I23&gt;0,COUNTIF($AB$13:$AM$13,BM.medicao-1)&gt;0),M23/$I23*100,0)))</f>
        <v>#NAME?</v>
      </c>
      <c r="K23" s="122" t="e">
        <f t="shared" ca="1" si="3"/>
        <v>#NAME?</v>
      </c>
      <c r="L23" s="334" t="e" cm="1">
        <f t="array" aca="1" ref="L23" ca="1">_xlfn.SINGLE(IF($A23="S",IF(CAIXA.Modo,BM.AFAcumulado,BM.MEDAcumulado),IF(AND(_xlfn.SINGLE(RegimeExecucao)="Global",$I23&gt;0,COUNTIF($AB$13:$AM$13,BM.medicao)&gt;0),O23/$I23*100,0)))</f>
        <v>#NAME?</v>
      </c>
      <c r="M23" s="335" t="e">
        <f ca="1">IF($A23="S",VTOTALBM,IF($A23=0,0,ROUND(SomaAgrupBM,15-13*ORÇAMENTO!$AF$11)))</f>
        <v>#NAME?</v>
      </c>
      <c r="N23" s="336" t="e">
        <f t="shared" ca="1" si="4"/>
        <v>#NAME?</v>
      </c>
      <c r="O23" s="125" t="e">
        <f ca="1">IF($A23="S",VTOTALBM,IF($A23=0,0,ROUND(SomaAgrupBM,15-13*ORÇAMENTO!$AF$11)))</f>
        <v>#NAME?</v>
      </c>
      <c r="Q23" s="337"/>
      <c r="R23" s="338"/>
      <c r="T23" s="117" t="e">
        <f t="shared" ca="1" si="5"/>
        <v>#NAME?</v>
      </c>
      <c r="U23" s="163" t="e">
        <f t="shared" ca="1" si="6"/>
        <v>#NAME?</v>
      </c>
      <c r="V23" s="164" t="e">
        <f ca="1">IF(AND($W23&gt;0,RegimeExecucao="Unitário"),$F23,"")</f>
        <v>#NAME?</v>
      </c>
      <c r="W23" s="454" t="e">
        <f ca="1">IF($Y23&gt;0,CHOOSE(MATCH(RegimeExecucao,{"Unitário","Global"},0),IF($A23="S",$Y23/$X23,""),($Y23/$X23)*100),0)</f>
        <v>#NAME?</v>
      </c>
      <c r="X23" s="339" t="e">
        <f ca="1">IF($Y23&gt;0,CHOOSE(MATCH(RegimeExecucao,{"Unitário","Global"},0),IF($A23="S",ROUND($H23,ORÇAMENTO!$AF$10),""),ROUND($I23,ORÇAMENTO!$AF$11)),"")</f>
        <v>#NAME?</v>
      </c>
      <c r="Y23" s="339" t="e">
        <f t="shared" ca="1" si="7"/>
        <v>#NAME?</v>
      </c>
      <c r="Z23" s="473"/>
      <c r="AB23" s="337"/>
      <c r="AC23" s="437"/>
      <c r="AD23" s="437"/>
      <c r="AE23" s="437"/>
      <c r="AF23" s="437"/>
      <c r="AG23" s="437"/>
      <c r="AH23" s="437"/>
      <c r="AI23" s="437"/>
      <c r="AJ23" s="437"/>
      <c r="AK23" s="437"/>
      <c r="AL23" s="437"/>
      <c r="AM23" s="338"/>
      <c r="AO23">
        <f ca="1">IF($A23="S",IF(BM!$I23=0,0,CHOOSE(MATCH(RegimeExecucao,{"Global","Unitário"},0),ROUND(ROUND(BM.MEDAcumulado,15-13*BM!$A$9)/100*BM!$I23,15-13*ORÇAMENTO!$AF$11),ROUND(ROUND(BM.MEDAcumulado,15-13*BM!$A$9)*ROUND(BM!$H23,15-13*ORÇAMENTO!$AF$10),15-13*ORÇAMENTO!$AF$11))),IF($A23=0,0,ROUND(SomaAgrupBM,15-13*ORÇAMENTO!$AF$11)))</f>
        <v>0</v>
      </c>
    </row>
    <row r="24" spans="1:41" ht="13.8" x14ac:dyDescent="0.3">
      <c r="A24" t="str">
        <f ca="1">ORÇAMENTO!C24</f>
        <v>S</v>
      </c>
      <c r="B24">
        <f ca="1">ORÇAMENTO!D24</f>
        <v>0</v>
      </c>
      <c r="C24" s="114" t="str">
        <f t="shared" ca="1" si="1"/>
        <v>F</v>
      </c>
      <c r="D24" s="117" t="str">
        <f ca="1">ORÇAMENTO!O24</f>
        <v>1.3.1.</v>
      </c>
      <c r="E24" s="163" t="str">
        <f t="shared" ca="1" si="2"/>
        <v>Escavação mecânica com retroescavadeira em material de 1ª categoria</v>
      </c>
      <c r="F24" s="164" t="str">
        <f ca="1">IF(RegimeExecucao="Global","",ORÇAMENTO.Unidade)</f>
        <v>m³</v>
      </c>
      <c r="G24" s="122">
        <f ca="1">IF(RegimeExecucao="Global","",ORÇAMENTO!T24)</f>
        <v>20.8</v>
      </c>
      <c r="H24" s="122">
        <f ca="1">IF(RegimeExecucao="Global","",ORÇAMENTO!W24)</f>
        <v>9.06</v>
      </c>
      <c r="I24" s="125">
        <f ca="1">ORÇAMENTO!X24</f>
        <v>188.45</v>
      </c>
      <c r="J24" s="333" t="e" cm="1">
        <f t="array" aca="1" ref="J24" ca="1">_xlfn.SINGLE(IF($A24="S",IF(CAIXA.Modo,BM.AFAnterior,BM.MEDAnterior),IF(AND(_xlfn.SINGLE(RegimeExecucao)="Global",$I24&gt;0,COUNTIF($AB$13:$AM$13,BM.medicao-1)&gt;0),M24/$I24*100,0)))</f>
        <v>#NAME?</v>
      </c>
      <c r="K24" s="122" t="e">
        <f t="shared" ca="1" si="3"/>
        <v>#NAME?</v>
      </c>
      <c r="L24" s="334" t="e" cm="1">
        <f t="array" aca="1" ref="L24" ca="1">_xlfn.SINGLE(IF($A24="S",IF(CAIXA.Modo,BM.AFAcumulado,BM.MEDAcumulado),IF(AND(_xlfn.SINGLE(RegimeExecucao)="Global",$I24&gt;0,COUNTIF($AB$13:$AM$13,BM.medicao)&gt;0),O24/$I24*100,0)))</f>
        <v>#NAME?</v>
      </c>
      <c r="M24" s="335" t="e">
        <f ca="1">IF($A24="S",VTOTALBM,IF($A24=0,0,ROUND(SomaAgrupBM,15-13*ORÇAMENTO!$AF$11)))</f>
        <v>#NAME?</v>
      </c>
      <c r="N24" s="336" t="e">
        <f t="shared" ca="1" si="4"/>
        <v>#NAME?</v>
      </c>
      <c r="O24" s="125" t="e">
        <f ca="1">IF($A24="S",VTOTALBM,IF($A24=0,0,ROUND(SomaAgrupBM,15-13*ORÇAMENTO!$AF$11)))</f>
        <v>#NAME?</v>
      </c>
      <c r="Q24" s="337"/>
      <c r="R24" s="338"/>
      <c r="T24" s="117" t="e">
        <f t="shared" ca="1" si="5"/>
        <v>#NAME?</v>
      </c>
      <c r="U24" s="163" t="e">
        <f t="shared" ca="1" si="6"/>
        <v>#NAME?</v>
      </c>
      <c r="V24" s="164" t="e">
        <f ca="1">IF(AND($W24&gt;0,RegimeExecucao="Unitário"),$F24,"")</f>
        <v>#NAME?</v>
      </c>
      <c r="W24" s="454" t="e">
        <f ca="1">IF($Y24&gt;0,CHOOSE(MATCH(RegimeExecucao,{"Unitário","Global"},0),IF($A24="S",$Y24/$X24,""),($Y24/$X24)*100),0)</f>
        <v>#NAME?</v>
      </c>
      <c r="X24" s="339" t="e">
        <f ca="1">IF($Y24&gt;0,CHOOSE(MATCH(RegimeExecucao,{"Unitário","Global"},0),IF($A24="S",ROUND($H24,ORÇAMENTO!$AF$10),""),ROUND($I24,ORÇAMENTO!$AF$11)),"")</f>
        <v>#NAME?</v>
      </c>
      <c r="Y24" s="339" t="e">
        <f t="shared" ca="1" si="7"/>
        <v>#NAME?</v>
      </c>
      <c r="Z24" s="473"/>
      <c r="AB24" s="337"/>
      <c r="AC24" s="437"/>
      <c r="AD24" s="437"/>
      <c r="AE24" s="437"/>
      <c r="AF24" s="437"/>
      <c r="AG24" s="437"/>
      <c r="AH24" s="437"/>
      <c r="AI24" s="437"/>
      <c r="AJ24" s="437"/>
      <c r="AK24" s="437"/>
      <c r="AL24" s="437"/>
      <c r="AM24" s="338"/>
      <c r="AO24">
        <f ca="1">IF($A24="S",IF(BM!$I24=0,0,CHOOSE(MATCH(RegimeExecucao,{"Global","Unitário"},0),ROUND(ROUND(BM.MEDAcumulado,15-13*BM!$A$9)/100*BM!$I24,15-13*ORÇAMENTO!$AF$11),ROUND(ROUND(BM.MEDAcumulado,15-13*BM!$A$9)*ROUND(BM!$H24,15-13*ORÇAMENTO!$AF$10),15-13*ORÇAMENTO!$AF$11))),IF($A24=0,0,ROUND(SomaAgrupBM,15-13*ORÇAMENTO!$AF$11)))</f>
        <v>0</v>
      </c>
    </row>
    <row r="25" spans="1:41" ht="26.4" x14ac:dyDescent="0.3">
      <c r="A25" t="str">
        <f ca="1">ORÇAMENTO!C25</f>
        <v>S</v>
      </c>
      <c r="B25">
        <f ca="1">ORÇAMENTO!D25</f>
        <v>0</v>
      </c>
      <c r="C25" s="114" t="str">
        <f t="shared" ca="1" si="1"/>
        <v>F</v>
      </c>
      <c r="D25" s="117" t="str">
        <f ca="1">ORÇAMENTO!O25</f>
        <v>1.3.2.</v>
      </c>
      <c r="E25" s="163" t="str">
        <f t="shared" ca="1" si="2"/>
        <v>Tubo de concreto PA1 comercial para drenagem - D = 0,50 m - fornecimento e instalação</v>
      </c>
      <c r="F25" s="164" t="str">
        <f ca="1">IF(RegimeExecucao="Global","",ORÇAMENTO.Unidade)</f>
        <v>m</v>
      </c>
      <c r="G25" s="122">
        <f ca="1">IF(RegimeExecucao="Global","",ORÇAMENTO!T25)</f>
        <v>24</v>
      </c>
      <c r="H25" s="122">
        <f ca="1">IF(RegimeExecucao="Global","",ORÇAMENTO!W25)</f>
        <v>289.63</v>
      </c>
      <c r="I25" s="125">
        <f ca="1">ORÇAMENTO!X25</f>
        <v>6951.12</v>
      </c>
      <c r="J25" s="333" t="e" cm="1">
        <f t="array" aca="1" ref="J25" ca="1">_xlfn.SINGLE(IF($A25="S",IF(CAIXA.Modo,BM.AFAnterior,BM.MEDAnterior),IF(AND(_xlfn.SINGLE(RegimeExecucao)="Global",$I25&gt;0,COUNTIF($AB$13:$AM$13,BM.medicao-1)&gt;0),M25/$I25*100,0)))</f>
        <v>#NAME?</v>
      </c>
      <c r="K25" s="122" t="e">
        <f t="shared" ca="1" si="3"/>
        <v>#NAME?</v>
      </c>
      <c r="L25" s="334" t="e" cm="1">
        <f t="array" aca="1" ref="L25" ca="1">_xlfn.SINGLE(IF($A25="S",IF(CAIXA.Modo,BM.AFAcumulado,BM.MEDAcumulado),IF(AND(_xlfn.SINGLE(RegimeExecucao)="Global",$I25&gt;0,COUNTIF($AB$13:$AM$13,BM.medicao)&gt;0),O25/$I25*100,0)))</f>
        <v>#NAME?</v>
      </c>
      <c r="M25" s="335" t="e">
        <f ca="1">IF($A25="S",VTOTALBM,IF($A25=0,0,ROUND(SomaAgrupBM,15-13*ORÇAMENTO!$AF$11)))</f>
        <v>#NAME?</v>
      </c>
      <c r="N25" s="336" t="e">
        <f t="shared" ca="1" si="4"/>
        <v>#NAME?</v>
      </c>
      <c r="O25" s="125" t="e">
        <f ca="1">IF($A25="S",VTOTALBM,IF($A25=0,0,ROUND(SomaAgrupBM,15-13*ORÇAMENTO!$AF$11)))</f>
        <v>#NAME?</v>
      </c>
      <c r="Q25" s="337"/>
      <c r="R25" s="338"/>
      <c r="T25" s="117" t="e">
        <f t="shared" ca="1" si="5"/>
        <v>#NAME?</v>
      </c>
      <c r="U25" s="163" t="e">
        <f t="shared" ca="1" si="6"/>
        <v>#NAME?</v>
      </c>
      <c r="V25" s="164" t="e">
        <f ca="1">IF(AND($W25&gt;0,RegimeExecucao="Unitário"),$F25,"")</f>
        <v>#NAME?</v>
      </c>
      <c r="W25" s="454" t="e">
        <f ca="1">IF($Y25&gt;0,CHOOSE(MATCH(RegimeExecucao,{"Unitário","Global"},0),IF($A25="S",$Y25/$X25,""),($Y25/$X25)*100),0)</f>
        <v>#NAME?</v>
      </c>
      <c r="X25" s="339" t="e">
        <f ca="1">IF($Y25&gt;0,CHOOSE(MATCH(RegimeExecucao,{"Unitário","Global"},0),IF($A25="S",ROUND($H25,ORÇAMENTO!$AF$10),""),ROUND($I25,ORÇAMENTO!$AF$11)),"")</f>
        <v>#NAME?</v>
      </c>
      <c r="Y25" s="339" t="e">
        <f t="shared" ca="1" si="7"/>
        <v>#NAME?</v>
      </c>
      <c r="Z25" s="473"/>
      <c r="AB25" s="337"/>
      <c r="AC25" s="437"/>
      <c r="AD25" s="437"/>
      <c r="AE25" s="437"/>
      <c r="AF25" s="437"/>
      <c r="AG25" s="437"/>
      <c r="AH25" s="437"/>
      <c r="AI25" s="437"/>
      <c r="AJ25" s="437"/>
      <c r="AK25" s="437"/>
      <c r="AL25" s="437"/>
      <c r="AM25" s="338"/>
      <c r="AO25">
        <f ca="1">IF($A25="S",IF(BM!$I25=0,0,CHOOSE(MATCH(RegimeExecucao,{"Global","Unitário"},0),ROUND(ROUND(BM.MEDAcumulado,15-13*BM!$A$9)/100*BM!$I25,15-13*ORÇAMENTO!$AF$11),ROUND(ROUND(BM.MEDAcumulado,15-13*BM!$A$9)*ROUND(BM!$H25,15-13*ORÇAMENTO!$AF$10),15-13*ORÇAMENTO!$AF$11))),IF($A25=0,0,ROUND(SomaAgrupBM,15-13*ORÇAMENTO!$AF$11)))</f>
        <v>0</v>
      </c>
    </row>
    <row r="26" spans="1:41" ht="26.4" x14ac:dyDescent="0.3">
      <c r="A26" t="str">
        <f ca="1">ORÇAMENTO!C26</f>
        <v>S</v>
      </c>
      <c r="B26">
        <f ca="1">ORÇAMENTO!D26</f>
        <v>0</v>
      </c>
      <c r="C26" s="114" t="str">
        <f t="shared" ca="1" si="1"/>
        <v>F</v>
      </c>
      <c r="D26" s="117" t="str">
        <f ca="1">ORÇAMENTO!O26</f>
        <v>1.3.3.</v>
      </c>
      <c r="E26" s="163" t="str">
        <f t="shared" ca="1" si="2"/>
        <v>Tubo de concreto PA1 comercial para drenagem - D = 0,60 m - fornecimento e instalação</v>
      </c>
      <c r="F26" s="164" t="str">
        <f ca="1">IF(RegimeExecucao="Global","",ORÇAMENTO.Unidade)</f>
        <v>m</v>
      </c>
      <c r="G26" s="122">
        <f ca="1">IF(RegimeExecucao="Global","",ORÇAMENTO!T26)</f>
        <v>2</v>
      </c>
      <c r="H26" s="122">
        <f ca="1">IF(RegimeExecucao="Global","",ORÇAMENTO!W26)</f>
        <v>380.23</v>
      </c>
      <c r="I26" s="125">
        <f ca="1">ORÇAMENTO!X26</f>
        <v>760.46</v>
      </c>
      <c r="J26" s="333" t="e" cm="1">
        <f t="array" aca="1" ref="J26" ca="1">_xlfn.SINGLE(IF($A26="S",IF(CAIXA.Modo,BM.AFAnterior,BM.MEDAnterior),IF(AND(_xlfn.SINGLE(RegimeExecucao)="Global",$I26&gt;0,COUNTIF($AB$13:$AM$13,BM.medicao-1)&gt;0),M26/$I26*100,0)))</f>
        <v>#NAME?</v>
      </c>
      <c r="K26" s="122" t="e">
        <f t="shared" ca="1" si="3"/>
        <v>#NAME?</v>
      </c>
      <c r="L26" s="334" t="e" cm="1">
        <f t="array" aca="1" ref="L26" ca="1">_xlfn.SINGLE(IF($A26="S",IF(CAIXA.Modo,BM.AFAcumulado,BM.MEDAcumulado),IF(AND(_xlfn.SINGLE(RegimeExecucao)="Global",$I26&gt;0,COUNTIF($AB$13:$AM$13,BM.medicao)&gt;0),O26/$I26*100,0)))</f>
        <v>#NAME?</v>
      </c>
      <c r="M26" s="335" t="e">
        <f ca="1">IF($A26="S",VTOTALBM,IF($A26=0,0,ROUND(SomaAgrupBM,15-13*ORÇAMENTO!$AF$11)))</f>
        <v>#NAME?</v>
      </c>
      <c r="N26" s="336" t="e">
        <f t="shared" ca="1" si="4"/>
        <v>#NAME?</v>
      </c>
      <c r="O26" s="125" t="e">
        <f ca="1">IF($A26="S",VTOTALBM,IF($A26=0,0,ROUND(SomaAgrupBM,15-13*ORÇAMENTO!$AF$11)))</f>
        <v>#NAME?</v>
      </c>
      <c r="Q26" s="337"/>
      <c r="R26" s="338"/>
      <c r="T26" s="117" t="e">
        <f t="shared" ca="1" si="5"/>
        <v>#NAME?</v>
      </c>
      <c r="U26" s="163" t="e">
        <f t="shared" ca="1" si="6"/>
        <v>#NAME?</v>
      </c>
      <c r="V26" s="164" t="e">
        <f ca="1">IF(AND($W26&gt;0,RegimeExecucao="Unitário"),$F26,"")</f>
        <v>#NAME?</v>
      </c>
      <c r="W26" s="454" t="e">
        <f ca="1">IF($Y26&gt;0,CHOOSE(MATCH(RegimeExecucao,{"Unitário","Global"},0),IF($A26="S",$Y26/$X26,""),($Y26/$X26)*100),0)</f>
        <v>#NAME?</v>
      </c>
      <c r="X26" s="339" t="e">
        <f ca="1">IF($Y26&gt;0,CHOOSE(MATCH(RegimeExecucao,{"Unitário","Global"},0),IF($A26="S",ROUND($H26,ORÇAMENTO!$AF$10),""),ROUND($I26,ORÇAMENTO!$AF$11)),"")</f>
        <v>#NAME?</v>
      </c>
      <c r="Y26" s="339" t="e">
        <f t="shared" ca="1" si="7"/>
        <v>#NAME?</v>
      </c>
      <c r="Z26" s="473"/>
      <c r="AB26" s="337"/>
      <c r="AC26" s="437"/>
      <c r="AD26" s="437"/>
      <c r="AE26" s="437"/>
      <c r="AF26" s="437"/>
      <c r="AG26" s="437"/>
      <c r="AH26" s="437"/>
      <c r="AI26" s="437"/>
      <c r="AJ26" s="437"/>
      <c r="AK26" s="437"/>
      <c r="AL26" s="437"/>
      <c r="AM26" s="338"/>
      <c r="AO26">
        <f ca="1">IF($A26="S",IF(BM!$I26=0,0,CHOOSE(MATCH(RegimeExecucao,{"Global","Unitário"},0),ROUND(ROUND(BM.MEDAcumulado,15-13*BM!$A$9)/100*BM!$I26,15-13*ORÇAMENTO!$AF$11),ROUND(ROUND(BM.MEDAcumulado,15-13*BM!$A$9)*ROUND(BM!$H26,15-13*ORÇAMENTO!$AF$10),15-13*ORÇAMENTO!$AF$11))),IF($A26=0,0,ROUND(SomaAgrupBM,15-13*ORÇAMENTO!$AF$11)))</f>
        <v>0</v>
      </c>
    </row>
    <row r="27" spans="1:41" ht="26.4" x14ac:dyDescent="0.3">
      <c r="A27" t="str">
        <f ca="1">ORÇAMENTO!C27</f>
        <v>S</v>
      </c>
      <c r="B27">
        <f ca="1">ORÇAMENTO!D27</f>
        <v>0</v>
      </c>
      <c r="C27" s="114" t="str">
        <f t="shared" ca="1" si="1"/>
        <v>F</v>
      </c>
      <c r="D27" s="117" t="str">
        <f ca="1">ORÇAMENTO!O27</f>
        <v>1.3.4.</v>
      </c>
      <c r="E27" s="163" t="str">
        <f t="shared" ca="1" si="2"/>
        <v>Base ou sub-base de brita graduada com brita comercial - 100% Proctor modificado</v>
      </c>
      <c r="F27" s="164" t="str">
        <f ca="1">IF(RegimeExecucao="Global","",ORÇAMENTO.Unidade)</f>
        <v>m³</v>
      </c>
      <c r="G27" s="122">
        <f ca="1">IF(RegimeExecucao="Global","",ORÇAMENTO!T27)</f>
        <v>15.72</v>
      </c>
      <c r="H27" s="122">
        <f ca="1">IF(RegimeExecucao="Global","",ORÇAMENTO!W27)</f>
        <v>291.70999999999998</v>
      </c>
      <c r="I27" s="125">
        <f ca="1">ORÇAMENTO!X27</f>
        <v>4585.68</v>
      </c>
      <c r="J27" s="333" t="e" cm="1">
        <f t="array" aca="1" ref="J27" ca="1">_xlfn.SINGLE(IF($A27="S",IF(CAIXA.Modo,BM.AFAnterior,BM.MEDAnterior),IF(AND(_xlfn.SINGLE(RegimeExecucao)="Global",$I27&gt;0,COUNTIF($AB$13:$AM$13,BM.medicao-1)&gt;0),M27/$I27*100,0)))</f>
        <v>#NAME?</v>
      </c>
      <c r="K27" s="122" t="e">
        <f t="shared" ca="1" si="3"/>
        <v>#NAME?</v>
      </c>
      <c r="L27" s="334" t="e" cm="1">
        <f t="array" aca="1" ref="L27" ca="1">_xlfn.SINGLE(IF($A27="S",IF(CAIXA.Modo,BM.AFAcumulado,BM.MEDAcumulado),IF(AND(_xlfn.SINGLE(RegimeExecucao)="Global",$I27&gt;0,COUNTIF($AB$13:$AM$13,BM.medicao)&gt;0),O27/$I27*100,0)))</f>
        <v>#NAME?</v>
      </c>
      <c r="M27" s="335" t="e">
        <f ca="1">IF($A27="S",VTOTALBM,IF($A27=0,0,ROUND(SomaAgrupBM,15-13*ORÇAMENTO!$AF$11)))</f>
        <v>#NAME?</v>
      </c>
      <c r="N27" s="336" t="e">
        <f t="shared" ca="1" si="4"/>
        <v>#NAME?</v>
      </c>
      <c r="O27" s="125" t="e">
        <f ca="1">IF($A27="S",VTOTALBM,IF($A27=0,0,ROUND(SomaAgrupBM,15-13*ORÇAMENTO!$AF$11)))</f>
        <v>#NAME?</v>
      </c>
      <c r="Q27" s="337"/>
      <c r="R27" s="338"/>
      <c r="T27" s="117" t="e">
        <f t="shared" ca="1" si="5"/>
        <v>#NAME?</v>
      </c>
      <c r="U27" s="163" t="e">
        <f t="shared" ca="1" si="6"/>
        <v>#NAME?</v>
      </c>
      <c r="V27" s="164" t="e">
        <f ca="1">IF(AND($W27&gt;0,RegimeExecucao="Unitário"),$F27,"")</f>
        <v>#NAME?</v>
      </c>
      <c r="W27" s="454" t="e">
        <f ca="1">IF($Y27&gt;0,CHOOSE(MATCH(RegimeExecucao,{"Unitário","Global"},0),IF($A27="S",$Y27/$X27,""),($Y27/$X27)*100),0)</f>
        <v>#NAME?</v>
      </c>
      <c r="X27" s="339" t="e">
        <f ca="1">IF($Y27&gt;0,CHOOSE(MATCH(RegimeExecucao,{"Unitário","Global"},0),IF($A27="S",ROUND($H27,ORÇAMENTO!$AF$10),""),ROUND($I27,ORÇAMENTO!$AF$11)),"")</f>
        <v>#NAME?</v>
      </c>
      <c r="Y27" s="339" t="e">
        <f t="shared" ca="1" si="7"/>
        <v>#NAME?</v>
      </c>
      <c r="Z27" s="473"/>
      <c r="AB27" s="337"/>
      <c r="AC27" s="437"/>
      <c r="AD27" s="437"/>
      <c r="AE27" s="437"/>
      <c r="AF27" s="437"/>
      <c r="AG27" s="437"/>
      <c r="AH27" s="437"/>
      <c r="AI27" s="437"/>
      <c r="AJ27" s="437"/>
      <c r="AK27" s="437"/>
      <c r="AL27" s="437"/>
      <c r="AM27" s="338"/>
      <c r="AO27">
        <f ca="1">IF($A27="S",IF(BM!$I27=0,0,CHOOSE(MATCH(RegimeExecucao,{"Global","Unitário"},0),ROUND(ROUND(BM.MEDAcumulado,15-13*BM!$A$9)/100*BM!$I27,15-13*ORÇAMENTO!$AF$11),ROUND(ROUND(BM.MEDAcumulado,15-13*BM!$A$9)*ROUND(BM!$H27,15-13*ORÇAMENTO!$AF$10),15-13*ORÇAMENTO!$AF$11))),IF($A27=0,0,ROUND(SomaAgrupBM,15-13*ORÇAMENTO!$AF$11)))</f>
        <v>0</v>
      </c>
    </row>
    <row r="28" spans="1:41" ht="13.8" x14ac:dyDescent="0.3">
      <c r="A28" t="str">
        <f ca="1">ORÇAMENTO!C28</f>
        <v>S</v>
      </c>
      <c r="B28">
        <f ca="1">ORÇAMENTO!D28</f>
        <v>0</v>
      </c>
      <c r="C28" s="114" t="str">
        <f t="shared" ca="1" si="1"/>
        <v>F</v>
      </c>
      <c r="D28" s="117" t="str">
        <f ca="1">ORÇAMENTO!O28</f>
        <v>1.3.5.</v>
      </c>
      <c r="E28" s="163" t="str">
        <f t="shared" ca="1" si="2"/>
        <v>Transporte com caminhão basculante de 10 m³ - rodovia pavimentada</v>
      </c>
      <c r="F28" s="164" t="str">
        <f ca="1">IF(RegimeExecucao="Global","",ORÇAMENTO.Unidade)</f>
        <v>tkm</v>
      </c>
      <c r="G28" s="122">
        <f ca="1">IF(RegimeExecucao="Global","",ORÇAMENTO!T28)</f>
        <v>495.18</v>
      </c>
      <c r="H28" s="122">
        <f ca="1">IF(RegimeExecucao="Global","",ORÇAMENTO!W28)</f>
        <v>1.01</v>
      </c>
      <c r="I28" s="125">
        <f ca="1">ORÇAMENTO!X28</f>
        <v>500.13</v>
      </c>
      <c r="J28" s="333" t="e" cm="1">
        <f t="array" aca="1" ref="J28" ca="1">_xlfn.SINGLE(IF($A28="S",IF(CAIXA.Modo,BM.AFAnterior,BM.MEDAnterior),IF(AND(_xlfn.SINGLE(RegimeExecucao)="Global",$I28&gt;0,COUNTIF($AB$13:$AM$13,BM.medicao-1)&gt;0),M28/$I28*100,0)))</f>
        <v>#NAME?</v>
      </c>
      <c r="K28" s="122" t="e">
        <f t="shared" ca="1" si="3"/>
        <v>#NAME?</v>
      </c>
      <c r="L28" s="334" t="e" cm="1">
        <f t="array" aca="1" ref="L28" ca="1">_xlfn.SINGLE(IF($A28="S",IF(CAIXA.Modo,BM.AFAcumulado,BM.MEDAcumulado),IF(AND(_xlfn.SINGLE(RegimeExecucao)="Global",$I28&gt;0,COUNTIF($AB$13:$AM$13,BM.medicao)&gt;0),O28/$I28*100,0)))</f>
        <v>#NAME?</v>
      </c>
      <c r="M28" s="335" t="e">
        <f ca="1">IF($A28="S",VTOTALBM,IF($A28=0,0,ROUND(SomaAgrupBM,15-13*ORÇAMENTO!$AF$11)))</f>
        <v>#NAME?</v>
      </c>
      <c r="N28" s="336" t="e">
        <f t="shared" ca="1" si="4"/>
        <v>#NAME?</v>
      </c>
      <c r="O28" s="125" t="e">
        <f ca="1">IF($A28="S",VTOTALBM,IF($A28=0,0,ROUND(SomaAgrupBM,15-13*ORÇAMENTO!$AF$11)))</f>
        <v>#NAME?</v>
      </c>
      <c r="Q28" s="337"/>
      <c r="R28" s="338"/>
      <c r="T28" s="117" t="e">
        <f t="shared" ca="1" si="5"/>
        <v>#NAME?</v>
      </c>
      <c r="U28" s="163" t="e">
        <f t="shared" ca="1" si="6"/>
        <v>#NAME?</v>
      </c>
      <c r="V28" s="164" t="e">
        <f ca="1">IF(AND($W28&gt;0,RegimeExecucao="Unitário"),$F28,"")</f>
        <v>#NAME?</v>
      </c>
      <c r="W28" s="454" t="e">
        <f ca="1">IF($Y28&gt;0,CHOOSE(MATCH(RegimeExecucao,{"Unitário","Global"},0),IF($A28="S",$Y28/$X28,""),($Y28/$X28)*100),0)</f>
        <v>#NAME?</v>
      </c>
      <c r="X28" s="339" t="e">
        <f ca="1">IF($Y28&gt;0,CHOOSE(MATCH(RegimeExecucao,{"Unitário","Global"},0),IF($A28="S",ROUND($H28,ORÇAMENTO!$AF$10),""),ROUND($I28,ORÇAMENTO!$AF$11)),"")</f>
        <v>#NAME?</v>
      </c>
      <c r="Y28" s="339" t="e">
        <f t="shared" ca="1" si="7"/>
        <v>#NAME?</v>
      </c>
      <c r="Z28" s="473"/>
      <c r="AB28" s="337"/>
      <c r="AC28" s="437"/>
      <c r="AD28" s="437"/>
      <c r="AE28" s="437"/>
      <c r="AF28" s="437"/>
      <c r="AG28" s="437"/>
      <c r="AH28" s="437"/>
      <c r="AI28" s="437"/>
      <c r="AJ28" s="437"/>
      <c r="AK28" s="437"/>
      <c r="AL28" s="437"/>
      <c r="AM28" s="338"/>
      <c r="AO28">
        <f ca="1">IF($A28="S",IF(BM!$I28=0,0,CHOOSE(MATCH(RegimeExecucao,{"Global","Unitário"},0),ROUND(ROUND(BM.MEDAcumulado,15-13*BM!$A$9)/100*BM!$I28,15-13*ORÇAMENTO!$AF$11),ROUND(ROUND(BM.MEDAcumulado,15-13*BM!$A$9)*ROUND(BM!$H28,15-13*ORÇAMENTO!$AF$10),15-13*ORÇAMENTO!$AF$11))),IF($A28=0,0,ROUND(SomaAgrupBM,15-13*ORÇAMENTO!$AF$11)))</f>
        <v>0</v>
      </c>
    </row>
    <row r="29" spans="1:41" ht="26.4" x14ac:dyDescent="0.3">
      <c r="A29" t="str">
        <f ca="1">ORÇAMENTO!C29</f>
        <v>S</v>
      </c>
      <c r="B29">
        <f ca="1">ORÇAMENTO!D29</f>
        <v>0</v>
      </c>
      <c r="C29" s="114" t="str">
        <f t="shared" ca="1" si="1"/>
        <v>F</v>
      </c>
      <c r="D29" s="117" t="str">
        <f ca="1">ORÇAMENTO!O29</f>
        <v>1.3.6.</v>
      </c>
      <c r="E29" s="163" t="str">
        <f t="shared" ca="1" si="2"/>
        <v>Boca de lobo combinada - chapéu e grelha simples - BLC 01 - areia e brita comerciais</v>
      </c>
      <c r="F29" s="164" t="str">
        <f ca="1">IF(RegimeExecucao="Global","",ORÇAMENTO.Unidade)</f>
        <v>un</v>
      </c>
      <c r="G29" s="122">
        <f ca="1">IF(RegimeExecucao="Global","",ORÇAMENTO!T29)</f>
        <v>3</v>
      </c>
      <c r="H29" s="122">
        <f ca="1">IF(RegimeExecucao="Global","",ORÇAMENTO!W29)</f>
        <v>2982.3</v>
      </c>
      <c r="I29" s="125">
        <f ca="1">ORÇAMENTO!X29</f>
        <v>8946.9</v>
      </c>
      <c r="J29" s="333" t="e" cm="1">
        <f t="array" aca="1" ref="J29" ca="1">_xlfn.SINGLE(IF($A29="S",IF(CAIXA.Modo,BM.AFAnterior,BM.MEDAnterior),IF(AND(_xlfn.SINGLE(RegimeExecucao)="Global",$I29&gt;0,COUNTIF($AB$13:$AM$13,BM.medicao-1)&gt;0),M29/$I29*100,0)))</f>
        <v>#NAME?</v>
      </c>
      <c r="K29" s="122" t="e">
        <f t="shared" ca="1" si="3"/>
        <v>#NAME?</v>
      </c>
      <c r="L29" s="334" t="e" cm="1">
        <f t="array" aca="1" ref="L29" ca="1">_xlfn.SINGLE(IF($A29="S",IF(CAIXA.Modo,BM.AFAcumulado,BM.MEDAcumulado),IF(AND(_xlfn.SINGLE(RegimeExecucao)="Global",$I29&gt;0,COUNTIF($AB$13:$AM$13,BM.medicao)&gt;0),O29/$I29*100,0)))</f>
        <v>#NAME?</v>
      </c>
      <c r="M29" s="335" t="e">
        <f ca="1">IF($A29="S",VTOTALBM,IF($A29=0,0,ROUND(SomaAgrupBM,15-13*ORÇAMENTO!$AF$11)))</f>
        <v>#NAME?</v>
      </c>
      <c r="N29" s="336" t="e">
        <f t="shared" ca="1" si="4"/>
        <v>#NAME?</v>
      </c>
      <c r="O29" s="125" t="e">
        <f ca="1">IF($A29="S",VTOTALBM,IF($A29=0,0,ROUND(SomaAgrupBM,15-13*ORÇAMENTO!$AF$11)))</f>
        <v>#NAME?</v>
      </c>
      <c r="Q29" s="337"/>
      <c r="R29" s="338"/>
      <c r="T29" s="117" t="e">
        <f t="shared" ca="1" si="5"/>
        <v>#NAME?</v>
      </c>
      <c r="U29" s="163" t="e">
        <f t="shared" ca="1" si="6"/>
        <v>#NAME?</v>
      </c>
      <c r="V29" s="164" t="e">
        <f ca="1">IF(AND($W29&gt;0,RegimeExecucao="Unitário"),$F29,"")</f>
        <v>#NAME?</v>
      </c>
      <c r="W29" s="454" t="e">
        <f ca="1">IF($Y29&gt;0,CHOOSE(MATCH(RegimeExecucao,{"Unitário","Global"},0),IF($A29="S",$Y29/$X29,""),($Y29/$X29)*100),0)</f>
        <v>#NAME?</v>
      </c>
      <c r="X29" s="339" t="e">
        <f ca="1">IF($Y29&gt;0,CHOOSE(MATCH(RegimeExecucao,{"Unitário","Global"},0),IF($A29="S",ROUND($H29,ORÇAMENTO!$AF$10),""),ROUND($I29,ORÇAMENTO!$AF$11)),"")</f>
        <v>#NAME?</v>
      </c>
      <c r="Y29" s="339" t="e">
        <f t="shared" ca="1" si="7"/>
        <v>#NAME?</v>
      </c>
      <c r="Z29" s="473"/>
      <c r="AB29" s="337"/>
      <c r="AC29" s="437"/>
      <c r="AD29" s="437"/>
      <c r="AE29" s="437"/>
      <c r="AF29" s="437"/>
      <c r="AG29" s="437"/>
      <c r="AH29" s="437"/>
      <c r="AI29" s="437"/>
      <c r="AJ29" s="437"/>
      <c r="AK29" s="437"/>
      <c r="AL29" s="437"/>
      <c r="AM29" s="338"/>
      <c r="AO29">
        <f ca="1">IF($A29="S",IF(BM!$I29=0,0,CHOOSE(MATCH(RegimeExecucao,{"Global","Unitário"},0),ROUND(ROUND(BM.MEDAcumulado,15-13*BM!$A$9)/100*BM!$I29,15-13*ORÇAMENTO!$AF$11),ROUND(ROUND(BM.MEDAcumulado,15-13*BM!$A$9)*ROUND(BM!$H29,15-13*ORÇAMENTO!$AF$10),15-13*ORÇAMENTO!$AF$11))),IF($A29=0,0,ROUND(SomaAgrupBM,15-13*ORÇAMENTO!$AF$11)))</f>
        <v>0</v>
      </c>
    </row>
    <row r="30" spans="1:41" ht="26.4" x14ac:dyDescent="0.3">
      <c r="A30" t="str">
        <f ca="1">ORÇAMENTO!C30</f>
        <v>S</v>
      </c>
      <c r="B30">
        <f ca="1">ORÇAMENTO!D30</f>
        <v>0</v>
      </c>
      <c r="C30" s="114" t="str">
        <f t="shared" ca="1" si="1"/>
        <v>F</v>
      </c>
      <c r="D30" s="117" t="str">
        <f ca="1">ORÇAMENTO!O30</f>
        <v>1.3.7.</v>
      </c>
      <c r="E30" s="163" t="str">
        <f t="shared" ca="1" si="2"/>
        <v>Boca de BSTC D = 0,60 m - esconsidade 30° - areia e brita comerciais - alas esconsas</v>
      </c>
      <c r="F30" s="164" t="str">
        <f ca="1">IF(RegimeExecucao="Global","",ORÇAMENTO.Unidade)</f>
        <v>un</v>
      </c>
      <c r="G30" s="122">
        <f ca="1">IF(RegimeExecucao="Global","",ORÇAMENTO!T30)</f>
        <v>2</v>
      </c>
      <c r="H30" s="122">
        <f ca="1">IF(RegimeExecucao="Global","",ORÇAMENTO!W30)</f>
        <v>1672.9</v>
      </c>
      <c r="I30" s="125">
        <f ca="1">ORÇAMENTO!X30</f>
        <v>3345.8</v>
      </c>
      <c r="J30" s="333" t="e" cm="1">
        <f t="array" aca="1" ref="J30" ca="1">_xlfn.SINGLE(IF($A30="S",IF(CAIXA.Modo,BM.AFAnterior,BM.MEDAnterior),IF(AND(_xlfn.SINGLE(RegimeExecucao)="Global",$I30&gt;0,COUNTIF($AB$13:$AM$13,BM.medicao-1)&gt;0),M30/$I30*100,0)))</f>
        <v>#NAME?</v>
      </c>
      <c r="K30" s="122" t="e">
        <f t="shared" ca="1" si="3"/>
        <v>#NAME?</v>
      </c>
      <c r="L30" s="334" t="e" cm="1">
        <f t="array" aca="1" ref="L30" ca="1">_xlfn.SINGLE(IF($A30="S",IF(CAIXA.Modo,BM.AFAcumulado,BM.MEDAcumulado),IF(AND(_xlfn.SINGLE(RegimeExecucao)="Global",$I30&gt;0,COUNTIF($AB$13:$AM$13,BM.medicao)&gt;0),O30/$I30*100,0)))</f>
        <v>#NAME?</v>
      </c>
      <c r="M30" s="335" t="e">
        <f ca="1">IF($A30="S",VTOTALBM,IF($A30=0,0,ROUND(SomaAgrupBM,15-13*ORÇAMENTO!$AF$11)))</f>
        <v>#NAME?</v>
      </c>
      <c r="N30" s="336" t="e">
        <f t="shared" ca="1" si="4"/>
        <v>#NAME?</v>
      </c>
      <c r="O30" s="125" t="e">
        <f ca="1">IF($A30="S",VTOTALBM,IF($A30=0,0,ROUND(SomaAgrupBM,15-13*ORÇAMENTO!$AF$11)))</f>
        <v>#NAME?</v>
      </c>
      <c r="Q30" s="337"/>
      <c r="R30" s="338"/>
      <c r="T30" s="117" t="e">
        <f t="shared" ca="1" si="5"/>
        <v>#NAME?</v>
      </c>
      <c r="U30" s="163" t="e">
        <f t="shared" ca="1" si="6"/>
        <v>#NAME?</v>
      </c>
      <c r="V30" s="164" t="e">
        <f ca="1">IF(AND($W30&gt;0,RegimeExecucao="Unitário"),$F30,"")</f>
        <v>#NAME?</v>
      </c>
      <c r="W30" s="454" t="e">
        <f ca="1">IF($Y30&gt;0,CHOOSE(MATCH(RegimeExecucao,{"Unitário","Global"},0),IF($A30="S",$Y30/$X30,""),($Y30/$X30)*100),0)</f>
        <v>#NAME?</v>
      </c>
      <c r="X30" s="339" t="e">
        <f ca="1">IF($Y30&gt;0,CHOOSE(MATCH(RegimeExecucao,{"Unitário","Global"},0),IF($A30="S",ROUND($H30,ORÇAMENTO!$AF$10),""),ROUND($I30,ORÇAMENTO!$AF$11)),"")</f>
        <v>#NAME?</v>
      </c>
      <c r="Y30" s="339" t="e">
        <f t="shared" ca="1" si="7"/>
        <v>#NAME?</v>
      </c>
      <c r="Z30" s="473"/>
      <c r="AB30" s="337"/>
      <c r="AC30" s="437"/>
      <c r="AD30" s="437"/>
      <c r="AE30" s="437"/>
      <c r="AF30" s="437"/>
      <c r="AG30" s="437"/>
      <c r="AH30" s="437"/>
      <c r="AI30" s="437"/>
      <c r="AJ30" s="437"/>
      <c r="AK30" s="437"/>
      <c r="AL30" s="437"/>
      <c r="AM30" s="338"/>
      <c r="AO30">
        <f ca="1">IF($A30="S",IF(BM!$I30=0,0,CHOOSE(MATCH(RegimeExecucao,{"Global","Unitário"},0),ROUND(ROUND(BM.MEDAcumulado,15-13*BM!$A$9)/100*BM!$I30,15-13*ORÇAMENTO!$AF$11),ROUND(ROUND(BM.MEDAcumulado,15-13*BM!$A$9)*ROUND(BM!$H30,15-13*ORÇAMENTO!$AF$10),15-13*ORÇAMENTO!$AF$11))),IF($A30=0,0,ROUND(SomaAgrupBM,15-13*ORÇAMENTO!$AF$11)))</f>
        <v>0</v>
      </c>
    </row>
    <row r="31" spans="1:41" ht="13.8" x14ac:dyDescent="0.3">
      <c r="A31" t="str">
        <f ca="1">ORÇAMENTO!C31</f>
        <v>S</v>
      </c>
      <c r="B31">
        <f ca="1">ORÇAMENTO!D31</f>
        <v>0</v>
      </c>
      <c r="C31" s="114" t="str">
        <f t="shared" ca="1" si="1"/>
        <v>F</v>
      </c>
      <c r="D31" s="117" t="str">
        <f ca="1">ORÇAMENTO!O31</f>
        <v>1.3.8.</v>
      </c>
      <c r="E31" s="163" t="str">
        <f t="shared" ca="1" si="2"/>
        <v>Dissipador de energia - DED 03 A - areia, brita e pedra de mão comerciais</v>
      </c>
      <c r="F31" s="164" t="str">
        <f ca="1">IF(RegimeExecucao="Global","",ORÇAMENTO.Unidade)</f>
        <v>un</v>
      </c>
      <c r="G31" s="122">
        <f ca="1">IF(RegimeExecucao="Global","",ORÇAMENTO!T31)</f>
        <v>2</v>
      </c>
      <c r="H31" s="122">
        <f ca="1">IF(RegimeExecucao="Global","",ORÇAMENTO!W31)</f>
        <v>859.77</v>
      </c>
      <c r="I31" s="125">
        <f ca="1">ORÇAMENTO!X31</f>
        <v>1719.54</v>
      </c>
      <c r="J31" s="333" t="e" cm="1">
        <f t="array" aca="1" ref="J31" ca="1">_xlfn.SINGLE(IF($A31="S",IF(CAIXA.Modo,BM.AFAnterior,BM.MEDAnterior),IF(AND(_xlfn.SINGLE(RegimeExecucao)="Global",$I31&gt;0,COUNTIF($AB$13:$AM$13,BM.medicao-1)&gt;0),M31/$I31*100,0)))</f>
        <v>#NAME?</v>
      </c>
      <c r="K31" s="122" t="e">
        <f t="shared" ca="1" si="3"/>
        <v>#NAME?</v>
      </c>
      <c r="L31" s="334" t="e" cm="1">
        <f t="array" aca="1" ref="L31" ca="1">_xlfn.SINGLE(IF($A31="S",IF(CAIXA.Modo,BM.AFAcumulado,BM.MEDAcumulado),IF(AND(_xlfn.SINGLE(RegimeExecucao)="Global",$I31&gt;0,COUNTIF($AB$13:$AM$13,BM.medicao)&gt;0),O31/$I31*100,0)))</f>
        <v>#NAME?</v>
      </c>
      <c r="M31" s="335" t="e">
        <f ca="1">IF($A31="S",VTOTALBM,IF($A31=0,0,ROUND(SomaAgrupBM,15-13*ORÇAMENTO!$AF$11)))</f>
        <v>#NAME?</v>
      </c>
      <c r="N31" s="336" t="e">
        <f t="shared" ca="1" si="4"/>
        <v>#NAME?</v>
      </c>
      <c r="O31" s="125" t="e">
        <f ca="1">IF($A31="S",VTOTALBM,IF($A31=0,0,ROUND(SomaAgrupBM,15-13*ORÇAMENTO!$AF$11)))</f>
        <v>#NAME?</v>
      </c>
      <c r="Q31" s="337"/>
      <c r="R31" s="338"/>
      <c r="T31" s="117" t="e">
        <f t="shared" ca="1" si="5"/>
        <v>#NAME?</v>
      </c>
      <c r="U31" s="163" t="e">
        <f t="shared" ca="1" si="6"/>
        <v>#NAME?</v>
      </c>
      <c r="V31" s="164" t="e">
        <f ca="1">IF(AND($W31&gt;0,RegimeExecucao="Unitário"),$F31,"")</f>
        <v>#NAME?</v>
      </c>
      <c r="W31" s="454" t="e">
        <f ca="1">IF($Y31&gt;0,CHOOSE(MATCH(RegimeExecucao,{"Unitário","Global"},0),IF($A31="S",$Y31/$X31,""),($Y31/$X31)*100),0)</f>
        <v>#NAME?</v>
      </c>
      <c r="X31" s="339" t="e">
        <f ca="1">IF($Y31&gt;0,CHOOSE(MATCH(RegimeExecucao,{"Unitário","Global"},0),IF($A31="S",ROUND($H31,ORÇAMENTO!$AF$10),""),ROUND($I31,ORÇAMENTO!$AF$11)),"")</f>
        <v>#NAME?</v>
      </c>
      <c r="Y31" s="339" t="e">
        <f t="shared" ca="1" si="7"/>
        <v>#NAME?</v>
      </c>
      <c r="Z31" s="473"/>
      <c r="AB31" s="337"/>
      <c r="AC31" s="437"/>
      <c r="AD31" s="437"/>
      <c r="AE31" s="437"/>
      <c r="AF31" s="437"/>
      <c r="AG31" s="437"/>
      <c r="AH31" s="437"/>
      <c r="AI31" s="437"/>
      <c r="AJ31" s="437"/>
      <c r="AK31" s="437"/>
      <c r="AL31" s="437"/>
      <c r="AM31" s="338"/>
      <c r="AO31">
        <f ca="1">IF($A31="S",IF(BM!$I31=0,0,CHOOSE(MATCH(RegimeExecucao,{"Global","Unitário"},0),ROUND(ROUND(BM.MEDAcumulado,15-13*BM!$A$9)/100*BM!$I31,15-13*ORÇAMENTO!$AF$11),ROUND(ROUND(BM.MEDAcumulado,15-13*BM!$A$9)*ROUND(BM!$H31,15-13*ORÇAMENTO!$AF$10),15-13*ORÇAMENTO!$AF$11))),IF($A31=0,0,ROUND(SomaAgrupBM,15-13*ORÇAMENTO!$AF$11)))</f>
        <v>0</v>
      </c>
    </row>
    <row r="32" spans="1:41" ht="39.6" x14ac:dyDescent="0.3">
      <c r="A32" t="str">
        <f ca="1">ORÇAMENTO!C32</f>
        <v>S</v>
      </c>
      <c r="B32">
        <f ca="1">ORÇAMENTO!D32</f>
        <v>0</v>
      </c>
      <c r="C32" s="114" t="str">
        <f t="shared" ca="1" si="1"/>
        <v>F</v>
      </c>
      <c r="D32" s="117" t="str">
        <f ca="1">ORÇAMENTO!O32</f>
        <v>1.3.9.</v>
      </c>
      <c r="E32" s="163" t="str">
        <f t="shared" ca="1" si="2"/>
        <v xml:space="preserve">CAIXA DE INFILTRAÇÃO EM ALVENARIA DE BLOCOS CERÂMICOS MACIÇOS COM DIMENSÕES DE 1,50 X 1,50 X 1,50M PREENCHIDA COM PEDRAS DE MÃO E REVESTIDA COM MANTA GEOTÊXTIL </v>
      </c>
      <c r="F32" s="164" t="str">
        <f ca="1">IF(RegimeExecucao="Global","",ORÇAMENTO.Unidade)</f>
        <v>UN</v>
      </c>
      <c r="G32" s="122">
        <f ca="1">IF(RegimeExecucao="Global","",ORÇAMENTO!T32)</f>
        <v>2</v>
      </c>
      <c r="H32" s="122">
        <f ca="1">IF(RegimeExecucao="Global","",ORÇAMENTO!W32)</f>
        <v>4962.5200000000004</v>
      </c>
      <c r="I32" s="125">
        <f ca="1">ORÇAMENTO!X32</f>
        <v>9925.0400000000009</v>
      </c>
      <c r="J32" s="333" t="e" cm="1">
        <f t="array" aca="1" ref="J32" ca="1">_xlfn.SINGLE(IF($A32="S",IF(CAIXA.Modo,BM.AFAnterior,BM.MEDAnterior),IF(AND(_xlfn.SINGLE(RegimeExecucao)="Global",$I32&gt;0,COUNTIF($AB$13:$AM$13,BM.medicao-1)&gt;0),M32/$I32*100,0)))</f>
        <v>#NAME?</v>
      </c>
      <c r="K32" s="122" t="e">
        <f t="shared" ca="1" si="3"/>
        <v>#NAME?</v>
      </c>
      <c r="L32" s="334" t="e" cm="1">
        <f t="array" aca="1" ref="L32" ca="1">_xlfn.SINGLE(IF($A32="S",IF(CAIXA.Modo,BM.AFAcumulado,BM.MEDAcumulado),IF(AND(_xlfn.SINGLE(RegimeExecucao)="Global",$I32&gt;0,COUNTIF($AB$13:$AM$13,BM.medicao)&gt;0),O32/$I32*100,0)))</f>
        <v>#NAME?</v>
      </c>
      <c r="M32" s="335" t="e">
        <f ca="1">IF($A32="S",VTOTALBM,IF($A32=0,0,ROUND(SomaAgrupBM,15-13*ORÇAMENTO!$AF$11)))</f>
        <v>#NAME?</v>
      </c>
      <c r="N32" s="336" t="e">
        <f t="shared" ca="1" si="4"/>
        <v>#NAME?</v>
      </c>
      <c r="O32" s="125" t="e">
        <f ca="1">IF($A32="S",VTOTALBM,IF($A32=0,0,ROUND(SomaAgrupBM,15-13*ORÇAMENTO!$AF$11)))</f>
        <v>#NAME?</v>
      </c>
      <c r="Q32" s="337"/>
      <c r="R32" s="338"/>
      <c r="T32" s="117" t="e">
        <f t="shared" ca="1" si="5"/>
        <v>#NAME?</v>
      </c>
      <c r="U32" s="163" t="e">
        <f t="shared" ca="1" si="6"/>
        <v>#NAME?</v>
      </c>
      <c r="V32" s="164" t="e">
        <f ca="1">IF(AND($W32&gt;0,RegimeExecucao="Unitário"),$F32,"")</f>
        <v>#NAME?</v>
      </c>
      <c r="W32" s="454" t="e">
        <f ca="1">IF($Y32&gt;0,CHOOSE(MATCH(RegimeExecucao,{"Unitário","Global"},0),IF($A32="S",$Y32/$X32,""),($Y32/$X32)*100),0)</f>
        <v>#NAME?</v>
      </c>
      <c r="X32" s="339" t="e">
        <f ca="1">IF($Y32&gt;0,CHOOSE(MATCH(RegimeExecucao,{"Unitário","Global"},0),IF($A32="S",ROUND($H32,ORÇAMENTO!$AF$10),""),ROUND($I32,ORÇAMENTO!$AF$11)),"")</f>
        <v>#NAME?</v>
      </c>
      <c r="Y32" s="339" t="e">
        <f t="shared" ca="1" si="7"/>
        <v>#NAME?</v>
      </c>
      <c r="Z32" s="473"/>
      <c r="AB32" s="337"/>
      <c r="AC32" s="437"/>
      <c r="AD32" s="437"/>
      <c r="AE32" s="437"/>
      <c r="AF32" s="437"/>
      <c r="AG32" s="437"/>
      <c r="AH32" s="437"/>
      <c r="AI32" s="437"/>
      <c r="AJ32" s="437"/>
      <c r="AK32" s="437"/>
      <c r="AL32" s="437"/>
      <c r="AM32" s="338"/>
      <c r="AO32">
        <f ca="1">IF($A32="S",IF(BM!$I32=0,0,CHOOSE(MATCH(RegimeExecucao,{"Global","Unitário"},0),ROUND(ROUND(BM.MEDAcumulado,15-13*BM!$A$9)/100*BM!$I32,15-13*ORÇAMENTO!$AF$11),ROUND(ROUND(BM.MEDAcumulado,15-13*BM!$A$9)*ROUND(BM!$H32,15-13*ORÇAMENTO!$AF$10),15-13*ORÇAMENTO!$AF$11))),IF($A32=0,0,ROUND(SomaAgrupBM,15-13*ORÇAMENTO!$AF$11)))</f>
        <v>0</v>
      </c>
    </row>
    <row r="33" spans="1:41" ht="13.8" x14ac:dyDescent="0.3">
      <c r="A33">
        <f ca="1">ORÇAMENTO!C33</f>
        <v>2</v>
      </c>
      <c r="B33">
        <f ca="1">ORÇAMENTO!D33</f>
        <v>8</v>
      </c>
      <c r="C33" s="114" t="str">
        <f t="shared" ca="1" si="1"/>
        <v>F</v>
      </c>
      <c r="D33" s="117" t="str">
        <f ca="1">ORÇAMENTO!O33</f>
        <v>1.4.</v>
      </c>
      <c r="E33" s="163" t="str">
        <f t="shared" si="2"/>
        <v>CAMADA DE REPERFILAMENTO</v>
      </c>
      <c r="F33" s="164" t="str">
        <f ca="1">IF(RegimeExecucao="Global","",ORÇAMENTO.Unidade)</f>
        <v>-</v>
      </c>
      <c r="G33" s="122">
        <f ca="1">IF(RegimeExecucao="Global","",ORÇAMENTO!T33)</f>
        <v>0</v>
      </c>
      <c r="H33" s="122">
        <f ca="1">IF(RegimeExecucao="Global","",ORÇAMENTO!W33)</f>
        <v>0</v>
      </c>
      <c r="I33" s="125">
        <f ca="1">ORÇAMENTO!X33</f>
        <v>378802.9</v>
      </c>
      <c r="J33" s="333" t="e" cm="1">
        <f t="array" aca="1" ref="J33" ca="1">_xlfn.SINGLE(IF($A33="S",IF(CAIXA.Modo,BM.AFAnterior,BM.MEDAnterior),IF(AND(_xlfn.SINGLE(RegimeExecucao)="Global",$I33&gt;0,COUNTIF($AB$13:$AM$13,BM.medicao-1)&gt;0),M33/$I33*100,0)))</f>
        <v>#NAME?</v>
      </c>
      <c r="K33" s="122" t="e">
        <f t="shared" ca="1" si="3"/>
        <v>#NAME?</v>
      </c>
      <c r="L33" s="334" t="e" cm="1">
        <f t="array" aca="1" ref="L33" ca="1">_xlfn.SINGLE(IF($A33="S",IF(CAIXA.Modo,BM.AFAcumulado,BM.MEDAcumulado),IF(AND(_xlfn.SINGLE(RegimeExecucao)="Global",$I33&gt;0,COUNTIF($AB$13:$AM$13,BM.medicao)&gt;0),O33/$I33*100,0)))</f>
        <v>#NAME?</v>
      </c>
      <c r="M33" s="335" t="e">
        <f ca="1">IF($A33="S",VTOTALBM,IF($A33=0,0,ROUND(SomaAgrupBM,15-13*ORÇAMENTO!$AF$11)))</f>
        <v>#NAME?</v>
      </c>
      <c r="N33" s="336" t="e">
        <f t="shared" ca="1" si="4"/>
        <v>#NAME?</v>
      </c>
      <c r="O33" s="125" t="e">
        <f ca="1">IF($A33="S",VTOTALBM,IF($A33=0,0,ROUND(SomaAgrupBM,15-13*ORÇAMENTO!$AF$11)))</f>
        <v>#NAME?</v>
      </c>
      <c r="Q33" s="337"/>
      <c r="R33" s="338"/>
      <c r="T33" s="117" t="e">
        <f t="shared" ca="1" si="5"/>
        <v>#NAME?</v>
      </c>
      <c r="U33" s="163" t="e">
        <f t="shared" ca="1" si="6"/>
        <v>#NAME?</v>
      </c>
      <c r="V33" s="164" t="e">
        <f ca="1">IF(AND($W33&gt;0,RegimeExecucao="Unitário"),$F33,"")</f>
        <v>#NAME?</v>
      </c>
      <c r="W33" s="454" t="e">
        <f ca="1">IF($Y33&gt;0,CHOOSE(MATCH(RegimeExecucao,{"Unitário","Global"},0),IF($A33="S",$Y33/$X33,""),($Y33/$X33)*100),0)</f>
        <v>#NAME?</v>
      </c>
      <c r="X33" s="339" t="e">
        <f ca="1">IF($Y33&gt;0,CHOOSE(MATCH(RegimeExecucao,{"Unitário","Global"},0),IF($A33="S",ROUND($H33,ORÇAMENTO!$AF$10),""),ROUND($I33,ORÇAMENTO!$AF$11)),"")</f>
        <v>#NAME?</v>
      </c>
      <c r="Y33" s="339" t="e">
        <f t="shared" ca="1" si="7"/>
        <v>#NAME?</v>
      </c>
      <c r="Z33" s="473"/>
      <c r="AB33" s="337"/>
      <c r="AC33" s="437"/>
      <c r="AD33" s="437"/>
      <c r="AE33" s="437"/>
      <c r="AF33" s="437"/>
      <c r="AG33" s="437"/>
      <c r="AH33" s="437"/>
      <c r="AI33" s="437"/>
      <c r="AJ33" s="437"/>
      <c r="AK33" s="437"/>
      <c r="AL33" s="437"/>
      <c r="AM33" s="338"/>
      <c r="AO33">
        <f ca="1">IF($A33="S",IF(BM!$I33=0,0,CHOOSE(MATCH(RegimeExecucao,{"Global","Unitário"},0),ROUND(ROUND(BM.MEDAcumulado,15-13*BM!$A$9)/100*BM!$I33,15-13*ORÇAMENTO!$AF$11),ROUND(ROUND(BM.MEDAcumulado,15-13*BM!$A$9)*ROUND(BM!$H33,15-13*ORÇAMENTO!$AF$10),15-13*ORÇAMENTO!$AF$11))),IF($A33=0,0,ROUND(SomaAgrupBM,15-13*ORÇAMENTO!$AF$11)))</f>
        <v>0</v>
      </c>
    </row>
    <row r="34" spans="1:41" ht="13.8" x14ac:dyDescent="0.3">
      <c r="A34" t="str">
        <f ca="1">ORÇAMENTO!C34</f>
        <v>S</v>
      </c>
      <c r="B34">
        <f ca="1">ORÇAMENTO!D34</f>
        <v>0</v>
      </c>
      <c r="C34" s="114" t="str">
        <f t="shared" ca="1" si="1"/>
        <v>F</v>
      </c>
      <c r="D34" s="117" t="str">
        <f ca="1">ORÇAMENTO!O34</f>
        <v>1.4.1.</v>
      </c>
      <c r="E34" s="163" t="str">
        <f t="shared" ca="1" si="2"/>
        <v>Pintura de ligação</v>
      </c>
      <c r="F34" s="164" t="str">
        <f ca="1">IF(RegimeExecucao="Global","",ORÇAMENTO.Unidade)</f>
        <v>m²</v>
      </c>
      <c r="G34" s="122">
        <f ca="1">IF(RegimeExecucao="Global","",ORÇAMENTO!T34)</f>
        <v>5171.87</v>
      </c>
      <c r="H34" s="122">
        <f ca="1">IF(RegimeExecucao="Global","",ORÇAMENTO!W34)</f>
        <v>0.56999999999999995</v>
      </c>
      <c r="I34" s="125">
        <f ca="1">ORÇAMENTO!X34</f>
        <v>2947.97</v>
      </c>
      <c r="J34" s="333" t="e" cm="1">
        <f t="array" aca="1" ref="J34" ca="1">_xlfn.SINGLE(IF($A34="S",IF(CAIXA.Modo,BM.AFAnterior,BM.MEDAnterior),IF(AND(_xlfn.SINGLE(RegimeExecucao)="Global",$I34&gt;0,COUNTIF($AB$13:$AM$13,BM.medicao-1)&gt;0),M34/$I34*100,0)))</f>
        <v>#NAME?</v>
      </c>
      <c r="K34" s="122" t="e">
        <f t="shared" ca="1" si="3"/>
        <v>#NAME?</v>
      </c>
      <c r="L34" s="334" t="e" cm="1">
        <f t="array" aca="1" ref="L34" ca="1">_xlfn.SINGLE(IF($A34="S",IF(CAIXA.Modo,BM.AFAcumulado,BM.MEDAcumulado),IF(AND(_xlfn.SINGLE(RegimeExecucao)="Global",$I34&gt;0,COUNTIF($AB$13:$AM$13,BM.medicao)&gt;0),O34/$I34*100,0)))</f>
        <v>#NAME?</v>
      </c>
      <c r="M34" s="335" t="e">
        <f ca="1">IF($A34="S",VTOTALBM,IF($A34=0,0,ROUND(SomaAgrupBM,15-13*ORÇAMENTO!$AF$11)))</f>
        <v>#NAME?</v>
      </c>
      <c r="N34" s="336" t="e">
        <f t="shared" ca="1" si="4"/>
        <v>#NAME?</v>
      </c>
      <c r="O34" s="125" t="e">
        <f ca="1">IF($A34="S",VTOTALBM,IF($A34=0,0,ROUND(SomaAgrupBM,15-13*ORÇAMENTO!$AF$11)))</f>
        <v>#NAME?</v>
      </c>
      <c r="Q34" s="337"/>
      <c r="R34" s="338"/>
      <c r="T34" s="117" t="e">
        <f t="shared" ca="1" si="5"/>
        <v>#NAME?</v>
      </c>
      <c r="U34" s="163" t="e">
        <f t="shared" ca="1" si="6"/>
        <v>#NAME?</v>
      </c>
      <c r="V34" s="164" t="e">
        <f ca="1">IF(AND($W34&gt;0,RegimeExecucao="Unitário"),$F34,"")</f>
        <v>#NAME?</v>
      </c>
      <c r="W34" s="454" t="e">
        <f ca="1">IF($Y34&gt;0,CHOOSE(MATCH(RegimeExecucao,{"Unitário","Global"},0),IF($A34="S",$Y34/$X34,""),($Y34/$X34)*100),0)</f>
        <v>#NAME?</v>
      </c>
      <c r="X34" s="339" t="e">
        <f ca="1">IF($Y34&gt;0,CHOOSE(MATCH(RegimeExecucao,{"Unitário","Global"},0),IF($A34="S",ROUND($H34,ORÇAMENTO!$AF$10),""),ROUND($I34,ORÇAMENTO!$AF$11)),"")</f>
        <v>#NAME?</v>
      </c>
      <c r="Y34" s="339" t="e">
        <f t="shared" ca="1" si="7"/>
        <v>#NAME?</v>
      </c>
      <c r="Z34" s="473"/>
      <c r="AB34" s="337"/>
      <c r="AC34" s="437"/>
      <c r="AD34" s="437"/>
      <c r="AE34" s="437"/>
      <c r="AF34" s="437"/>
      <c r="AG34" s="437"/>
      <c r="AH34" s="437"/>
      <c r="AI34" s="437"/>
      <c r="AJ34" s="437"/>
      <c r="AK34" s="437"/>
      <c r="AL34" s="437"/>
      <c r="AM34" s="338"/>
      <c r="AO34">
        <f ca="1">IF($A34="S",IF(BM!$I34=0,0,CHOOSE(MATCH(RegimeExecucao,{"Global","Unitário"},0),ROUND(ROUND(BM.MEDAcumulado,15-13*BM!$A$9)/100*BM!$I34,15-13*ORÇAMENTO!$AF$11),ROUND(ROUND(BM.MEDAcumulado,15-13*BM!$A$9)*ROUND(BM!$H34,15-13*ORÇAMENTO!$AF$10),15-13*ORÇAMENTO!$AF$11))),IF($A34=0,0,ROUND(SomaAgrupBM,15-13*ORÇAMENTO!$AF$11)))</f>
        <v>0</v>
      </c>
    </row>
    <row r="35" spans="1:41" ht="26.4" x14ac:dyDescent="0.3">
      <c r="A35" t="str">
        <f ca="1">ORÇAMENTO!C35</f>
        <v>S</v>
      </c>
      <c r="B35">
        <f ca="1">ORÇAMENTO!D35</f>
        <v>0</v>
      </c>
      <c r="C35" s="114" t="str">
        <f t="shared" ca="1" si="1"/>
        <v>F</v>
      </c>
      <c r="D35" s="117" t="str">
        <f ca="1">ORÇAMENTO!O35</f>
        <v>1.4.2.</v>
      </c>
      <c r="E35" s="163" t="str">
        <f t="shared" ca="1" si="2"/>
        <v>EMULSÃO ASFÁLTICA RR-1C COLETADO NA ANP, ACRESCIDO DE IMPOSTOS (ICMS, PIS, COFINS)</v>
      </c>
      <c r="F35" s="164" t="str">
        <f ca="1">IF(RegimeExecucao="Global","",ORÇAMENTO.Unidade)</f>
        <v>KG</v>
      </c>
      <c r="G35" s="122">
        <f ca="1">IF(RegimeExecucao="Global","",ORÇAMENTO!T35)</f>
        <v>2327.34</v>
      </c>
      <c r="H35" s="122">
        <f ca="1">IF(RegimeExecucao="Global","",ORÇAMENTO!W35)</f>
        <v>4.21</v>
      </c>
      <c r="I35" s="125">
        <f ca="1">ORÇAMENTO!X35</f>
        <v>9798.1</v>
      </c>
      <c r="J35" s="333" t="e" cm="1">
        <f t="array" aca="1" ref="J35" ca="1">_xlfn.SINGLE(IF($A35="S",IF(CAIXA.Modo,BM.AFAnterior,BM.MEDAnterior),IF(AND(_xlfn.SINGLE(RegimeExecucao)="Global",$I35&gt;0,COUNTIF($AB$13:$AM$13,BM.medicao-1)&gt;0),M35/$I35*100,0)))</f>
        <v>#NAME?</v>
      </c>
      <c r="K35" s="122" t="e">
        <f t="shared" ca="1" si="3"/>
        <v>#NAME?</v>
      </c>
      <c r="L35" s="334" t="e" cm="1">
        <f t="array" aca="1" ref="L35" ca="1">_xlfn.SINGLE(IF($A35="S",IF(CAIXA.Modo,BM.AFAcumulado,BM.MEDAcumulado),IF(AND(_xlfn.SINGLE(RegimeExecucao)="Global",$I35&gt;0,COUNTIF($AB$13:$AM$13,BM.medicao)&gt;0),O35/$I35*100,0)))</f>
        <v>#NAME?</v>
      </c>
      <c r="M35" s="335" t="e">
        <f ca="1">IF($A35="S",VTOTALBM,IF($A35=0,0,ROUND(SomaAgrupBM,15-13*ORÇAMENTO!$AF$11)))</f>
        <v>#NAME?</v>
      </c>
      <c r="N35" s="336" t="e">
        <f t="shared" ca="1" si="4"/>
        <v>#NAME?</v>
      </c>
      <c r="O35" s="125" t="e">
        <f ca="1">IF($A35="S",VTOTALBM,IF($A35=0,0,ROUND(SomaAgrupBM,15-13*ORÇAMENTO!$AF$11)))</f>
        <v>#NAME?</v>
      </c>
      <c r="Q35" s="337"/>
      <c r="R35" s="338"/>
      <c r="T35" s="117" t="e">
        <f t="shared" ca="1" si="5"/>
        <v>#NAME?</v>
      </c>
      <c r="U35" s="163" t="e">
        <f t="shared" ca="1" si="6"/>
        <v>#NAME?</v>
      </c>
      <c r="V35" s="164" t="e">
        <f ca="1">IF(AND($W35&gt;0,RegimeExecucao="Unitário"),$F35,"")</f>
        <v>#NAME?</v>
      </c>
      <c r="W35" s="454" t="e">
        <f ca="1">IF($Y35&gt;0,CHOOSE(MATCH(RegimeExecucao,{"Unitário","Global"},0),IF($A35="S",$Y35/$X35,""),($Y35/$X35)*100),0)</f>
        <v>#NAME?</v>
      </c>
      <c r="X35" s="339" t="e">
        <f ca="1">IF($Y35&gt;0,CHOOSE(MATCH(RegimeExecucao,{"Unitário","Global"},0),IF($A35="S",ROUND($H35,ORÇAMENTO!$AF$10),""),ROUND($I35,ORÇAMENTO!$AF$11)),"")</f>
        <v>#NAME?</v>
      </c>
      <c r="Y35" s="339" t="e">
        <f t="shared" ca="1" si="7"/>
        <v>#NAME?</v>
      </c>
      <c r="Z35" s="473"/>
      <c r="AB35" s="337"/>
      <c r="AC35" s="437"/>
      <c r="AD35" s="437"/>
      <c r="AE35" s="437"/>
      <c r="AF35" s="437"/>
      <c r="AG35" s="437"/>
      <c r="AH35" s="437"/>
      <c r="AI35" s="437"/>
      <c r="AJ35" s="437"/>
      <c r="AK35" s="437"/>
      <c r="AL35" s="437"/>
      <c r="AM35" s="338"/>
      <c r="AO35">
        <f ca="1">IF($A35="S",IF(BM!$I35=0,0,CHOOSE(MATCH(RegimeExecucao,{"Global","Unitário"},0),ROUND(ROUND(BM.MEDAcumulado,15-13*BM!$A$9)/100*BM!$I35,15-13*ORÇAMENTO!$AF$11),ROUND(ROUND(BM.MEDAcumulado,15-13*BM!$A$9)*ROUND(BM!$H35,15-13*ORÇAMENTO!$AF$10),15-13*ORÇAMENTO!$AF$11))),IF($A35=0,0,ROUND(SomaAgrupBM,15-13*ORÇAMENTO!$AF$11)))</f>
        <v>0</v>
      </c>
    </row>
    <row r="36" spans="1:41" ht="26.4" x14ac:dyDescent="0.3">
      <c r="A36" t="str">
        <f ca="1">ORÇAMENTO!C36</f>
        <v>S</v>
      </c>
      <c r="B36">
        <f ca="1">ORÇAMENTO!D36</f>
        <v>0</v>
      </c>
      <c r="C36" s="114" t="str">
        <f t="shared" ca="1" si="1"/>
        <v>F</v>
      </c>
      <c r="D36" s="117" t="str">
        <f ca="1">ORÇAMENTO!O36</f>
        <v>1.4.3.</v>
      </c>
      <c r="E36" s="163" t="str">
        <f t="shared" ca="1" si="2"/>
        <v>Transporte de material betuminoso com caminhão tanque distribuidor - rodovia pavimentada</v>
      </c>
      <c r="F36" s="164" t="str">
        <f ca="1">IF(RegimeExecucao="Global","",ORÇAMENTO.Unidade)</f>
        <v>tkm</v>
      </c>
      <c r="G36" s="122">
        <f ca="1">IF(RegimeExecucao="Global","",ORÇAMENTO!T36)</f>
        <v>784.31</v>
      </c>
      <c r="H36" s="122">
        <f ca="1">IF(RegimeExecucao="Global","",ORÇAMENTO!W36)</f>
        <v>2.5499999999999998</v>
      </c>
      <c r="I36" s="125">
        <f ca="1">ORÇAMENTO!X36</f>
        <v>1999.99</v>
      </c>
      <c r="J36" s="333" t="e" cm="1">
        <f t="array" aca="1" ref="J36" ca="1">_xlfn.SINGLE(IF($A36="S",IF(CAIXA.Modo,BM.AFAnterior,BM.MEDAnterior),IF(AND(_xlfn.SINGLE(RegimeExecucao)="Global",$I36&gt;0,COUNTIF($AB$13:$AM$13,BM.medicao-1)&gt;0),M36/$I36*100,0)))</f>
        <v>#NAME?</v>
      </c>
      <c r="K36" s="122" t="e">
        <f t="shared" ca="1" si="3"/>
        <v>#NAME?</v>
      </c>
      <c r="L36" s="334" t="e" cm="1">
        <f t="array" aca="1" ref="L36" ca="1">_xlfn.SINGLE(IF($A36="S",IF(CAIXA.Modo,BM.AFAcumulado,BM.MEDAcumulado),IF(AND(_xlfn.SINGLE(RegimeExecucao)="Global",$I36&gt;0,COUNTIF($AB$13:$AM$13,BM.medicao)&gt;0),O36/$I36*100,0)))</f>
        <v>#NAME?</v>
      </c>
      <c r="M36" s="335" t="e">
        <f ca="1">IF($A36="S",VTOTALBM,IF($A36=0,0,ROUND(SomaAgrupBM,15-13*ORÇAMENTO!$AF$11)))</f>
        <v>#NAME?</v>
      </c>
      <c r="N36" s="336" t="e">
        <f t="shared" ca="1" si="4"/>
        <v>#NAME?</v>
      </c>
      <c r="O36" s="125" t="e">
        <f ca="1">IF($A36="S",VTOTALBM,IF($A36=0,0,ROUND(SomaAgrupBM,15-13*ORÇAMENTO!$AF$11)))</f>
        <v>#NAME?</v>
      </c>
      <c r="Q36" s="337"/>
      <c r="R36" s="338"/>
      <c r="T36" s="117" t="e">
        <f t="shared" ca="1" si="5"/>
        <v>#NAME?</v>
      </c>
      <c r="U36" s="163" t="e">
        <f t="shared" ca="1" si="6"/>
        <v>#NAME?</v>
      </c>
      <c r="V36" s="164" t="e">
        <f ca="1">IF(AND($W36&gt;0,RegimeExecucao="Unitário"),$F36,"")</f>
        <v>#NAME?</v>
      </c>
      <c r="W36" s="454" t="e">
        <f ca="1">IF($Y36&gt;0,CHOOSE(MATCH(RegimeExecucao,{"Unitário","Global"},0),IF($A36="S",$Y36/$X36,""),($Y36/$X36)*100),0)</f>
        <v>#NAME?</v>
      </c>
      <c r="X36" s="339" t="e">
        <f ca="1">IF($Y36&gt;0,CHOOSE(MATCH(RegimeExecucao,{"Unitário","Global"},0),IF($A36="S",ROUND($H36,ORÇAMENTO!$AF$10),""),ROUND($I36,ORÇAMENTO!$AF$11)),"")</f>
        <v>#NAME?</v>
      </c>
      <c r="Y36" s="339" t="e">
        <f t="shared" ca="1" si="7"/>
        <v>#NAME?</v>
      </c>
      <c r="Z36" s="473"/>
      <c r="AB36" s="337"/>
      <c r="AC36" s="437"/>
      <c r="AD36" s="437"/>
      <c r="AE36" s="437"/>
      <c r="AF36" s="437"/>
      <c r="AG36" s="437"/>
      <c r="AH36" s="437"/>
      <c r="AI36" s="437"/>
      <c r="AJ36" s="437"/>
      <c r="AK36" s="437"/>
      <c r="AL36" s="437"/>
      <c r="AM36" s="338"/>
      <c r="AO36">
        <f ca="1">IF($A36="S",IF(BM!$I36=0,0,CHOOSE(MATCH(RegimeExecucao,{"Global","Unitário"},0),ROUND(ROUND(BM.MEDAcumulado,15-13*BM!$A$9)/100*BM!$I36,15-13*ORÇAMENTO!$AF$11),ROUND(ROUND(BM.MEDAcumulado,15-13*BM!$A$9)*ROUND(BM!$H36,15-13*ORÇAMENTO!$AF$10),15-13*ORÇAMENTO!$AF$11))),IF($A36=0,0,ROUND(SomaAgrupBM,15-13*ORÇAMENTO!$AF$11)))</f>
        <v>0</v>
      </c>
    </row>
    <row r="37" spans="1:41" ht="13.8" x14ac:dyDescent="0.3">
      <c r="A37" t="str">
        <f ca="1">ORÇAMENTO!C37</f>
        <v>S</v>
      </c>
      <c r="B37">
        <f ca="1">ORÇAMENTO!D37</f>
        <v>0</v>
      </c>
      <c r="C37" s="114" t="str">
        <f t="shared" ca="1" si="1"/>
        <v>F</v>
      </c>
      <c r="D37" s="117" t="str">
        <f ca="1">ORÇAMENTO!O37</f>
        <v>1.4.4.</v>
      </c>
      <c r="E37" s="163" t="str">
        <f t="shared" ca="1" si="2"/>
        <v>Concreto asfáltico - faixa C-12,5 - areia extraída e brita produzida</v>
      </c>
      <c r="F37" s="164" t="str">
        <f ca="1">IF(RegimeExecucao="Global","",ORÇAMENTO.Unidade)</f>
        <v>t</v>
      </c>
      <c r="G37" s="122">
        <f ca="1">IF(RegimeExecucao="Global","",ORÇAMENTO!T37)</f>
        <v>649.05999999999995</v>
      </c>
      <c r="H37" s="122">
        <f ca="1">IF(RegimeExecucao="Global","",ORÇAMENTO!W37)</f>
        <v>174.65</v>
      </c>
      <c r="I37" s="125">
        <f ca="1">ORÇAMENTO!X37</f>
        <v>113358.33</v>
      </c>
      <c r="J37" s="333" t="e" cm="1">
        <f t="array" aca="1" ref="J37" ca="1">_xlfn.SINGLE(IF($A37="S",IF(CAIXA.Modo,BM.AFAnterior,BM.MEDAnterior),IF(AND(_xlfn.SINGLE(RegimeExecucao)="Global",$I37&gt;0,COUNTIF($AB$13:$AM$13,BM.medicao-1)&gt;0),M37/$I37*100,0)))</f>
        <v>#NAME?</v>
      </c>
      <c r="K37" s="122" t="e">
        <f t="shared" ca="1" si="3"/>
        <v>#NAME?</v>
      </c>
      <c r="L37" s="334" t="e" cm="1">
        <f t="array" aca="1" ref="L37" ca="1">_xlfn.SINGLE(IF($A37="S",IF(CAIXA.Modo,BM.AFAcumulado,BM.MEDAcumulado),IF(AND(_xlfn.SINGLE(RegimeExecucao)="Global",$I37&gt;0,COUNTIF($AB$13:$AM$13,BM.medicao)&gt;0),O37/$I37*100,0)))</f>
        <v>#NAME?</v>
      </c>
      <c r="M37" s="335" t="e">
        <f ca="1">IF($A37="S",VTOTALBM,IF($A37=0,0,ROUND(SomaAgrupBM,15-13*ORÇAMENTO!$AF$11)))</f>
        <v>#NAME?</v>
      </c>
      <c r="N37" s="336" t="e">
        <f t="shared" ca="1" si="4"/>
        <v>#NAME?</v>
      </c>
      <c r="O37" s="125" t="e">
        <f ca="1">IF($A37="S",VTOTALBM,IF($A37=0,0,ROUND(SomaAgrupBM,15-13*ORÇAMENTO!$AF$11)))</f>
        <v>#NAME?</v>
      </c>
      <c r="Q37" s="337"/>
      <c r="R37" s="338"/>
      <c r="T37" s="117" t="e">
        <f t="shared" ca="1" si="5"/>
        <v>#NAME?</v>
      </c>
      <c r="U37" s="163" t="e">
        <f t="shared" ca="1" si="6"/>
        <v>#NAME?</v>
      </c>
      <c r="V37" s="164" t="e">
        <f ca="1">IF(AND($W37&gt;0,RegimeExecucao="Unitário"),$F37,"")</f>
        <v>#NAME?</v>
      </c>
      <c r="W37" s="454" t="e">
        <f ca="1">IF($Y37&gt;0,CHOOSE(MATCH(RegimeExecucao,{"Unitário","Global"},0),IF($A37="S",$Y37/$X37,""),($Y37/$X37)*100),0)</f>
        <v>#NAME?</v>
      </c>
      <c r="X37" s="339" t="e">
        <f ca="1">IF($Y37&gt;0,CHOOSE(MATCH(RegimeExecucao,{"Unitário","Global"},0),IF($A37="S",ROUND($H37,ORÇAMENTO!$AF$10),""),ROUND($I37,ORÇAMENTO!$AF$11)),"")</f>
        <v>#NAME?</v>
      </c>
      <c r="Y37" s="339" t="e">
        <f t="shared" ca="1" si="7"/>
        <v>#NAME?</v>
      </c>
      <c r="Z37" s="473"/>
      <c r="AB37" s="337"/>
      <c r="AC37" s="437"/>
      <c r="AD37" s="437"/>
      <c r="AE37" s="437"/>
      <c r="AF37" s="437"/>
      <c r="AG37" s="437"/>
      <c r="AH37" s="437"/>
      <c r="AI37" s="437"/>
      <c r="AJ37" s="437"/>
      <c r="AK37" s="437"/>
      <c r="AL37" s="437"/>
      <c r="AM37" s="338"/>
      <c r="AO37">
        <f ca="1">IF($A37="S",IF(BM!$I37=0,0,CHOOSE(MATCH(RegimeExecucao,{"Global","Unitário"},0),ROUND(ROUND(BM.MEDAcumulado,15-13*BM!$A$9)/100*BM!$I37,15-13*ORÇAMENTO!$AF$11),ROUND(ROUND(BM.MEDAcumulado,15-13*BM!$A$9)*ROUND(BM!$H37,15-13*ORÇAMENTO!$AF$10),15-13*ORÇAMENTO!$AF$11))),IF($A37=0,0,ROUND(SomaAgrupBM,15-13*ORÇAMENTO!$AF$11)))</f>
        <v>0</v>
      </c>
    </row>
    <row r="38" spans="1:41" ht="13.8" x14ac:dyDescent="0.3">
      <c r="A38" t="str">
        <f ca="1">ORÇAMENTO!C38</f>
        <v>S</v>
      </c>
      <c r="B38">
        <f ca="1">ORÇAMENTO!D38</f>
        <v>0</v>
      </c>
      <c r="C38" s="114" t="str">
        <f t="shared" ca="1" si="1"/>
        <v>F</v>
      </c>
      <c r="D38" s="117" t="str">
        <f ca="1">ORÇAMENTO!O38</f>
        <v>1.4.5.</v>
      </c>
      <c r="E38" s="163" t="str">
        <f t="shared" ca="1" si="2"/>
        <v>Transporte com caminhão basculante de 10 m³ - rodovia pavimentada</v>
      </c>
      <c r="F38" s="164" t="str">
        <f ca="1">IF(RegimeExecucao="Global","",ORÇAMENTO.Unidade)</f>
        <v>tkm</v>
      </c>
      <c r="G38" s="122">
        <f ca="1">IF(RegimeExecucao="Global","",ORÇAMENTO!T38)</f>
        <v>13630.26</v>
      </c>
      <c r="H38" s="122">
        <f ca="1">IF(RegimeExecucao="Global","",ORÇAMENTO!W38)</f>
        <v>1.01</v>
      </c>
      <c r="I38" s="125">
        <f ca="1">ORÇAMENTO!X38</f>
        <v>13766.56</v>
      </c>
      <c r="J38" s="333" t="e" cm="1">
        <f t="array" aca="1" ref="J38" ca="1">_xlfn.SINGLE(IF($A38="S",IF(CAIXA.Modo,BM.AFAnterior,BM.MEDAnterior),IF(AND(_xlfn.SINGLE(RegimeExecucao)="Global",$I38&gt;0,COUNTIF($AB$13:$AM$13,BM.medicao-1)&gt;0),M38/$I38*100,0)))</f>
        <v>#NAME?</v>
      </c>
      <c r="K38" s="122" t="e">
        <f t="shared" ca="1" si="3"/>
        <v>#NAME?</v>
      </c>
      <c r="L38" s="334" t="e" cm="1">
        <f t="array" aca="1" ref="L38" ca="1">_xlfn.SINGLE(IF($A38="S",IF(CAIXA.Modo,BM.AFAcumulado,BM.MEDAcumulado),IF(AND(_xlfn.SINGLE(RegimeExecucao)="Global",$I38&gt;0,COUNTIF($AB$13:$AM$13,BM.medicao)&gt;0),O38/$I38*100,0)))</f>
        <v>#NAME?</v>
      </c>
      <c r="M38" s="335" t="e">
        <f ca="1">IF($A38="S",VTOTALBM,IF($A38=0,0,ROUND(SomaAgrupBM,15-13*ORÇAMENTO!$AF$11)))</f>
        <v>#NAME?</v>
      </c>
      <c r="N38" s="336" t="e">
        <f t="shared" ca="1" si="4"/>
        <v>#NAME?</v>
      </c>
      <c r="O38" s="125" t="e">
        <f ca="1">IF($A38="S",VTOTALBM,IF($A38=0,0,ROUND(SomaAgrupBM,15-13*ORÇAMENTO!$AF$11)))</f>
        <v>#NAME?</v>
      </c>
      <c r="Q38" s="337"/>
      <c r="R38" s="338"/>
      <c r="T38" s="117" t="e">
        <f t="shared" ca="1" si="5"/>
        <v>#NAME?</v>
      </c>
      <c r="U38" s="163" t="e">
        <f t="shared" ca="1" si="6"/>
        <v>#NAME?</v>
      </c>
      <c r="V38" s="164" t="e">
        <f ca="1">IF(AND($W38&gt;0,RegimeExecucao="Unitário"),$F38,"")</f>
        <v>#NAME?</v>
      </c>
      <c r="W38" s="454" t="e">
        <f ca="1">IF($Y38&gt;0,CHOOSE(MATCH(RegimeExecucao,{"Unitário","Global"},0),IF($A38="S",$Y38/$X38,""),($Y38/$X38)*100),0)</f>
        <v>#NAME?</v>
      </c>
      <c r="X38" s="339" t="e">
        <f ca="1">IF($Y38&gt;0,CHOOSE(MATCH(RegimeExecucao,{"Unitário","Global"},0),IF($A38="S",ROUND($H38,ORÇAMENTO!$AF$10),""),ROUND($I38,ORÇAMENTO!$AF$11)),"")</f>
        <v>#NAME?</v>
      </c>
      <c r="Y38" s="339" t="e">
        <f t="shared" ca="1" si="7"/>
        <v>#NAME?</v>
      </c>
      <c r="Z38" s="473"/>
      <c r="AB38" s="337"/>
      <c r="AC38" s="437"/>
      <c r="AD38" s="437"/>
      <c r="AE38" s="437"/>
      <c r="AF38" s="437"/>
      <c r="AG38" s="437"/>
      <c r="AH38" s="437"/>
      <c r="AI38" s="437"/>
      <c r="AJ38" s="437"/>
      <c r="AK38" s="437"/>
      <c r="AL38" s="437"/>
      <c r="AM38" s="338"/>
      <c r="AO38">
        <f ca="1">IF($A38="S",IF(BM!$I38=0,0,CHOOSE(MATCH(RegimeExecucao,{"Global","Unitário"},0),ROUND(ROUND(BM.MEDAcumulado,15-13*BM!$A$9)/100*BM!$I38,15-13*ORÇAMENTO!$AF$11),ROUND(ROUND(BM.MEDAcumulado,15-13*BM!$A$9)*ROUND(BM!$H38,15-13*ORÇAMENTO!$AF$10),15-13*ORÇAMENTO!$AF$11))),IF($A38=0,0,ROUND(SomaAgrupBM,15-13*ORÇAMENTO!$AF$11)))</f>
        <v>0</v>
      </c>
    </row>
    <row r="39" spans="1:41" ht="26.4" x14ac:dyDescent="0.3">
      <c r="A39" t="str">
        <f ca="1">ORÇAMENTO!C39</f>
        <v>S</v>
      </c>
      <c r="B39">
        <f ca="1">ORÇAMENTO!D39</f>
        <v>0</v>
      </c>
      <c r="C39" s="114" t="str">
        <f t="shared" ca="1" si="1"/>
        <v>F</v>
      </c>
      <c r="D39" s="117" t="str">
        <f ca="1">ORÇAMENTO!O39</f>
        <v>1.4.6.</v>
      </c>
      <c r="E39" s="163" t="str">
        <f t="shared" ca="1" si="2"/>
        <v>CIMENTO ASFÁLTICO CAP 50-70, COLETADO NA ANP, ACRESCIDO DE IMPOSTOS (ICMS, PIS, CONFINS)</v>
      </c>
      <c r="F39" s="164" t="str">
        <f ca="1">IF(RegimeExecucao="Global","",ORÇAMENTO.Unidade)</f>
        <v>KG</v>
      </c>
      <c r="G39" s="122">
        <f ca="1">IF(RegimeExecucao="Global","",ORÇAMENTO!T39)</f>
        <v>36737.339999999997</v>
      </c>
      <c r="H39" s="122">
        <f ca="1">IF(RegimeExecucao="Global","",ORÇAMENTO!W39)</f>
        <v>5.59</v>
      </c>
      <c r="I39" s="125">
        <f ca="1">ORÇAMENTO!X39</f>
        <v>205361.73</v>
      </c>
      <c r="J39" s="333" t="e" cm="1">
        <f t="array" aca="1" ref="J39" ca="1">_xlfn.SINGLE(IF($A39="S",IF(CAIXA.Modo,BM.AFAnterior,BM.MEDAnterior),IF(AND(_xlfn.SINGLE(RegimeExecucao)="Global",$I39&gt;0,COUNTIF($AB$13:$AM$13,BM.medicao-1)&gt;0),M39/$I39*100,0)))</f>
        <v>#NAME?</v>
      </c>
      <c r="K39" s="122" t="e">
        <f t="shared" ca="1" si="3"/>
        <v>#NAME?</v>
      </c>
      <c r="L39" s="334" t="e" cm="1">
        <f t="array" aca="1" ref="L39" ca="1">_xlfn.SINGLE(IF($A39="S",IF(CAIXA.Modo,BM.AFAcumulado,BM.MEDAcumulado),IF(AND(_xlfn.SINGLE(RegimeExecucao)="Global",$I39&gt;0,COUNTIF($AB$13:$AM$13,BM.medicao)&gt;0),O39/$I39*100,0)))</f>
        <v>#NAME?</v>
      </c>
      <c r="M39" s="335" t="e">
        <f ca="1">IF($A39="S",VTOTALBM,IF($A39=0,0,ROUND(SomaAgrupBM,15-13*ORÇAMENTO!$AF$11)))</f>
        <v>#NAME?</v>
      </c>
      <c r="N39" s="336" t="e">
        <f t="shared" ca="1" si="4"/>
        <v>#NAME?</v>
      </c>
      <c r="O39" s="125" t="e">
        <f ca="1">IF($A39="S",VTOTALBM,IF($A39=0,0,ROUND(SomaAgrupBM,15-13*ORÇAMENTO!$AF$11)))</f>
        <v>#NAME?</v>
      </c>
      <c r="Q39" s="337"/>
      <c r="R39" s="338"/>
      <c r="T39" s="117" t="e">
        <f t="shared" ca="1" si="5"/>
        <v>#NAME?</v>
      </c>
      <c r="U39" s="163" t="e">
        <f t="shared" ca="1" si="6"/>
        <v>#NAME?</v>
      </c>
      <c r="V39" s="164" t="e">
        <f ca="1">IF(AND($W39&gt;0,RegimeExecucao="Unitário"),$F39,"")</f>
        <v>#NAME?</v>
      </c>
      <c r="W39" s="454" t="e">
        <f ca="1">IF($Y39&gt;0,CHOOSE(MATCH(RegimeExecucao,{"Unitário","Global"},0),IF($A39="S",$Y39/$X39,""),($Y39/$X39)*100),0)</f>
        <v>#NAME?</v>
      </c>
      <c r="X39" s="339" t="e">
        <f ca="1">IF($Y39&gt;0,CHOOSE(MATCH(RegimeExecucao,{"Unitário","Global"},0),IF($A39="S",ROUND($H39,ORÇAMENTO!$AF$10),""),ROUND($I39,ORÇAMENTO!$AF$11)),"")</f>
        <v>#NAME?</v>
      </c>
      <c r="Y39" s="339" t="e">
        <f t="shared" ca="1" si="7"/>
        <v>#NAME?</v>
      </c>
      <c r="Z39" s="473"/>
      <c r="AB39" s="337"/>
      <c r="AC39" s="437"/>
      <c r="AD39" s="437"/>
      <c r="AE39" s="437"/>
      <c r="AF39" s="437"/>
      <c r="AG39" s="437"/>
      <c r="AH39" s="437"/>
      <c r="AI39" s="437"/>
      <c r="AJ39" s="437"/>
      <c r="AK39" s="437"/>
      <c r="AL39" s="437"/>
      <c r="AM39" s="338"/>
      <c r="AO39">
        <f ca="1">IF($A39="S",IF(BM!$I39=0,0,CHOOSE(MATCH(RegimeExecucao,{"Global","Unitário"},0),ROUND(ROUND(BM.MEDAcumulado,15-13*BM!$A$9)/100*BM!$I39,15-13*ORÇAMENTO!$AF$11),ROUND(ROUND(BM.MEDAcumulado,15-13*BM!$A$9)*ROUND(BM!$H39,15-13*ORÇAMENTO!$AF$10),15-13*ORÇAMENTO!$AF$11))),IF($A39=0,0,ROUND(SomaAgrupBM,15-13*ORÇAMENTO!$AF$11)))</f>
        <v>0</v>
      </c>
    </row>
    <row r="40" spans="1:41" ht="26.4" x14ac:dyDescent="0.3">
      <c r="A40" t="str">
        <f ca="1">ORÇAMENTO!C40</f>
        <v>S</v>
      </c>
      <c r="B40">
        <f ca="1">ORÇAMENTO!D40</f>
        <v>0</v>
      </c>
      <c r="C40" s="114" t="str">
        <f t="shared" ca="1" si="1"/>
        <v>F</v>
      </c>
      <c r="D40" s="117" t="str">
        <f ca="1">ORÇAMENTO!O40</f>
        <v>1.4.7.</v>
      </c>
      <c r="E40" s="163" t="str">
        <f t="shared" ca="1" si="2"/>
        <v>Transporte de material betuminoso com caminhão tanque distribuidor - rodovia pavimentada</v>
      </c>
      <c r="F40" s="164" t="str">
        <f ca="1">IF(RegimeExecucao="Global","",ORÇAMENTO.Unidade)</f>
        <v>tkm</v>
      </c>
      <c r="G40" s="122">
        <f ca="1">IF(RegimeExecucao="Global","",ORÇAMENTO!T40)</f>
        <v>12380.48</v>
      </c>
      <c r="H40" s="122">
        <f ca="1">IF(RegimeExecucao="Global","",ORÇAMENTO!W40)</f>
        <v>2.5499999999999998</v>
      </c>
      <c r="I40" s="125">
        <f ca="1">ORÇAMENTO!X40</f>
        <v>31570.22</v>
      </c>
      <c r="J40" s="333" t="e" cm="1">
        <f t="array" aca="1" ref="J40" ca="1">_xlfn.SINGLE(IF($A40="S",IF(CAIXA.Modo,BM.AFAnterior,BM.MEDAnterior),IF(AND(_xlfn.SINGLE(RegimeExecucao)="Global",$I40&gt;0,COUNTIF($AB$13:$AM$13,BM.medicao-1)&gt;0),M40/$I40*100,0)))</f>
        <v>#NAME?</v>
      </c>
      <c r="K40" s="122" t="e">
        <f t="shared" ca="1" si="3"/>
        <v>#NAME?</v>
      </c>
      <c r="L40" s="334" t="e" cm="1">
        <f t="array" aca="1" ref="L40" ca="1">_xlfn.SINGLE(IF($A40="S",IF(CAIXA.Modo,BM.AFAcumulado,BM.MEDAcumulado),IF(AND(_xlfn.SINGLE(RegimeExecucao)="Global",$I40&gt;0,COUNTIF($AB$13:$AM$13,BM.medicao)&gt;0),O40/$I40*100,0)))</f>
        <v>#NAME?</v>
      </c>
      <c r="M40" s="335" t="e">
        <f ca="1">IF($A40="S",VTOTALBM,IF($A40=0,0,ROUND(SomaAgrupBM,15-13*ORÇAMENTO!$AF$11)))</f>
        <v>#NAME?</v>
      </c>
      <c r="N40" s="336" t="e">
        <f t="shared" ca="1" si="4"/>
        <v>#NAME?</v>
      </c>
      <c r="O40" s="125" t="e">
        <f ca="1">IF($A40="S",VTOTALBM,IF($A40=0,0,ROUND(SomaAgrupBM,15-13*ORÇAMENTO!$AF$11)))</f>
        <v>#NAME?</v>
      </c>
      <c r="Q40" s="337"/>
      <c r="R40" s="338"/>
      <c r="T40" s="117" t="e">
        <f t="shared" ca="1" si="5"/>
        <v>#NAME?</v>
      </c>
      <c r="U40" s="163" t="e">
        <f t="shared" ca="1" si="6"/>
        <v>#NAME?</v>
      </c>
      <c r="V40" s="164" t="e">
        <f ca="1">IF(AND($W40&gt;0,RegimeExecucao="Unitário"),$F40,"")</f>
        <v>#NAME?</v>
      </c>
      <c r="W40" s="454" t="e">
        <f ca="1">IF($Y40&gt;0,CHOOSE(MATCH(RegimeExecucao,{"Unitário","Global"},0),IF($A40="S",$Y40/$X40,""),($Y40/$X40)*100),0)</f>
        <v>#NAME?</v>
      </c>
      <c r="X40" s="339" t="e">
        <f ca="1">IF($Y40&gt;0,CHOOSE(MATCH(RegimeExecucao,{"Unitário","Global"},0),IF($A40="S",ROUND($H40,ORÇAMENTO!$AF$10),""),ROUND($I40,ORÇAMENTO!$AF$11)),"")</f>
        <v>#NAME?</v>
      </c>
      <c r="Y40" s="339" t="e">
        <f t="shared" ca="1" si="7"/>
        <v>#NAME?</v>
      </c>
      <c r="Z40" s="473"/>
      <c r="AB40" s="337"/>
      <c r="AC40" s="437"/>
      <c r="AD40" s="437"/>
      <c r="AE40" s="437"/>
      <c r="AF40" s="437"/>
      <c r="AG40" s="437"/>
      <c r="AH40" s="437"/>
      <c r="AI40" s="437"/>
      <c r="AJ40" s="437"/>
      <c r="AK40" s="437"/>
      <c r="AL40" s="437"/>
      <c r="AM40" s="338"/>
      <c r="AO40">
        <f ca="1">IF($A40="S",IF(BM!$I40=0,0,CHOOSE(MATCH(RegimeExecucao,{"Global","Unitário"},0),ROUND(ROUND(BM.MEDAcumulado,15-13*BM!$A$9)/100*BM!$I40,15-13*ORÇAMENTO!$AF$11),ROUND(ROUND(BM.MEDAcumulado,15-13*BM!$A$9)*ROUND(BM!$H40,15-13*ORÇAMENTO!$AF$10),15-13*ORÇAMENTO!$AF$11))),IF($A40=0,0,ROUND(SomaAgrupBM,15-13*ORÇAMENTO!$AF$11)))</f>
        <v>0</v>
      </c>
    </row>
    <row r="41" spans="1:41" ht="13.8" x14ac:dyDescent="0.3">
      <c r="A41">
        <f ca="1">ORÇAMENTO!C41</f>
        <v>2</v>
      </c>
      <c r="B41">
        <f ca="1">ORÇAMENTO!D41</f>
        <v>7</v>
      </c>
      <c r="C41" s="114" t="str">
        <f t="shared" ca="1" si="1"/>
        <v>F</v>
      </c>
      <c r="D41" s="117" t="str">
        <f ca="1">ORÇAMENTO!O41</f>
        <v>1.5.</v>
      </c>
      <c r="E41" s="163" t="str">
        <f t="shared" si="2"/>
        <v xml:space="preserve">FAIXAS ELEVADAS </v>
      </c>
      <c r="F41" s="164" t="str">
        <f ca="1">IF(RegimeExecucao="Global","",ORÇAMENTO.Unidade)</f>
        <v>-</v>
      </c>
      <c r="G41" s="122">
        <f ca="1">IF(RegimeExecucao="Global","",ORÇAMENTO!T41)</f>
        <v>0</v>
      </c>
      <c r="H41" s="122">
        <f ca="1">IF(RegimeExecucao="Global","",ORÇAMENTO!W41)</f>
        <v>0</v>
      </c>
      <c r="I41" s="125">
        <f ca="1">ORÇAMENTO!X41</f>
        <v>18931.04</v>
      </c>
      <c r="J41" s="333" t="e" cm="1">
        <f t="array" aca="1" ref="J41" ca="1">_xlfn.SINGLE(IF($A41="S",IF(CAIXA.Modo,BM.AFAnterior,BM.MEDAnterior),IF(AND(_xlfn.SINGLE(RegimeExecucao)="Global",$I41&gt;0,COUNTIF($AB$13:$AM$13,BM.medicao-1)&gt;0),M41/$I41*100,0)))</f>
        <v>#NAME?</v>
      </c>
      <c r="K41" s="122" t="e">
        <f t="shared" ca="1" si="3"/>
        <v>#NAME?</v>
      </c>
      <c r="L41" s="334" t="e" cm="1">
        <f t="array" aca="1" ref="L41" ca="1">_xlfn.SINGLE(IF($A41="S",IF(CAIXA.Modo,BM.AFAcumulado,BM.MEDAcumulado),IF(AND(_xlfn.SINGLE(RegimeExecucao)="Global",$I41&gt;0,COUNTIF($AB$13:$AM$13,BM.medicao)&gt;0),O41/$I41*100,0)))</f>
        <v>#NAME?</v>
      </c>
      <c r="M41" s="335" t="e">
        <f ca="1">IF($A41="S",VTOTALBM,IF($A41=0,0,ROUND(SomaAgrupBM,15-13*ORÇAMENTO!$AF$11)))</f>
        <v>#NAME?</v>
      </c>
      <c r="N41" s="336" t="e">
        <f t="shared" ca="1" si="4"/>
        <v>#NAME?</v>
      </c>
      <c r="O41" s="125" t="e">
        <f ca="1">IF($A41="S",VTOTALBM,IF($A41=0,0,ROUND(SomaAgrupBM,15-13*ORÇAMENTO!$AF$11)))</f>
        <v>#NAME?</v>
      </c>
      <c r="Q41" s="337"/>
      <c r="R41" s="338"/>
      <c r="T41" s="117" t="e">
        <f t="shared" ca="1" si="5"/>
        <v>#NAME?</v>
      </c>
      <c r="U41" s="163" t="e">
        <f t="shared" ca="1" si="6"/>
        <v>#NAME?</v>
      </c>
      <c r="V41" s="164" t="e">
        <f ca="1">IF(AND($W41&gt;0,RegimeExecucao="Unitário"),$F41,"")</f>
        <v>#NAME?</v>
      </c>
      <c r="W41" s="454" t="e">
        <f ca="1">IF($Y41&gt;0,CHOOSE(MATCH(RegimeExecucao,{"Unitário","Global"},0),IF($A41="S",$Y41/$X41,""),($Y41/$X41)*100),0)</f>
        <v>#NAME?</v>
      </c>
      <c r="X41" s="339" t="e">
        <f ca="1">IF($Y41&gt;0,CHOOSE(MATCH(RegimeExecucao,{"Unitário","Global"},0),IF($A41="S",ROUND($H41,ORÇAMENTO!$AF$10),""),ROUND($I41,ORÇAMENTO!$AF$11)),"")</f>
        <v>#NAME?</v>
      </c>
      <c r="Y41" s="339" t="e">
        <f t="shared" ca="1" si="7"/>
        <v>#NAME?</v>
      </c>
      <c r="Z41" s="473"/>
      <c r="AB41" s="337"/>
      <c r="AC41" s="437"/>
      <c r="AD41" s="437"/>
      <c r="AE41" s="437"/>
      <c r="AF41" s="437"/>
      <c r="AG41" s="437"/>
      <c r="AH41" s="437"/>
      <c r="AI41" s="437"/>
      <c r="AJ41" s="437"/>
      <c r="AK41" s="437"/>
      <c r="AL41" s="437"/>
      <c r="AM41" s="338"/>
      <c r="AO41">
        <f ca="1">IF($A41="S",IF(BM!$I41=0,0,CHOOSE(MATCH(RegimeExecucao,{"Global","Unitário"},0),ROUND(ROUND(BM.MEDAcumulado,15-13*BM!$A$9)/100*BM!$I41,15-13*ORÇAMENTO!$AF$11),ROUND(ROUND(BM.MEDAcumulado,15-13*BM!$A$9)*ROUND(BM!$H41,15-13*ORÇAMENTO!$AF$10),15-13*ORÇAMENTO!$AF$11))),IF($A41=0,0,ROUND(SomaAgrupBM,15-13*ORÇAMENTO!$AF$11)))</f>
        <v>0</v>
      </c>
    </row>
    <row r="42" spans="1:41" ht="13.8" x14ac:dyDescent="0.3">
      <c r="A42" t="str">
        <f ca="1">ORÇAMENTO!C42</f>
        <v>S</v>
      </c>
      <c r="B42">
        <f ca="1">ORÇAMENTO!D42</f>
        <v>0</v>
      </c>
      <c r="C42" s="114" t="str">
        <f t="shared" ca="1" si="1"/>
        <v>F</v>
      </c>
      <c r="D42" s="117" t="str">
        <f ca="1">ORÇAMENTO!O42</f>
        <v>1.5.1.</v>
      </c>
      <c r="E42" s="163" t="str">
        <f t="shared" ca="1" si="2"/>
        <v>Pintura de ligação</v>
      </c>
      <c r="F42" s="164" t="str">
        <f ca="1">IF(RegimeExecucao="Global","",ORÇAMENTO.Unidade)</f>
        <v>m²</v>
      </c>
      <c r="G42" s="122">
        <f ca="1">IF(RegimeExecucao="Global","",ORÇAMENTO!T42)</f>
        <v>104</v>
      </c>
      <c r="H42" s="122">
        <f ca="1">IF(RegimeExecucao="Global","",ORÇAMENTO!W42)</f>
        <v>0.56999999999999995</v>
      </c>
      <c r="I42" s="125">
        <f ca="1">ORÇAMENTO!X42</f>
        <v>59.28</v>
      </c>
      <c r="J42" s="333" t="e" cm="1">
        <f t="array" aca="1" ref="J42" ca="1">_xlfn.SINGLE(IF($A42="S",IF(CAIXA.Modo,BM.AFAnterior,BM.MEDAnterior),IF(AND(_xlfn.SINGLE(RegimeExecucao)="Global",$I42&gt;0,COUNTIF($AB$13:$AM$13,BM.medicao-1)&gt;0),M42/$I42*100,0)))</f>
        <v>#NAME?</v>
      </c>
      <c r="K42" s="122" t="e">
        <f t="shared" ca="1" si="3"/>
        <v>#NAME?</v>
      </c>
      <c r="L42" s="334" t="e" cm="1">
        <f t="array" aca="1" ref="L42" ca="1">_xlfn.SINGLE(IF($A42="S",IF(CAIXA.Modo,BM.AFAcumulado,BM.MEDAcumulado),IF(AND(_xlfn.SINGLE(RegimeExecucao)="Global",$I42&gt;0,COUNTIF($AB$13:$AM$13,BM.medicao)&gt;0),O42/$I42*100,0)))</f>
        <v>#NAME?</v>
      </c>
      <c r="M42" s="335" t="e">
        <f ca="1">IF($A42="S",VTOTALBM,IF($A42=0,0,ROUND(SomaAgrupBM,15-13*ORÇAMENTO!$AF$11)))</f>
        <v>#NAME?</v>
      </c>
      <c r="N42" s="336" t="e">
        <f t="shared" ca="1" si="4"/>
        <v>#NAME?</v>
      </c>
      <c r="O42" s="125" t="e">
        <f ca="1">IF($A42="S",VTOTALBM,IF($A42=0,0,ROUND(SomaAgrupBM,15-13*ORÇAMENTO!$AF$11)))</f>
        <v>#NAME?</v>
      </c>
      <c r="Q42" s="337"/>
      <c r="R42" s="338"/>
      <c r="T42" s="117" t="e">
        <f t="shared" ca="1" si="5"/>
        <v>#NAME?</v>
      </c>
      <c r="U42" s="163" t="e">
        <f t="shared" ca="1" si="6"/>
        <v>#NAME?</v>
      </c>
      <c r="V42" s="164" t="e">
        <f ca="1">IF(AND($W42&gt;0,RegimeExecucao="Unitário"),$F42,"")</f>
        <v>#NAME?</v>
      </c>
      <c r="W42" s="454" t="e">
        <f ca="1">IF($Y42&gt;0,CHOOSE(MATCH(RegimeExecucao,{"Unitário","Global"},0),IF($A42="S",$Y42/$X42,""),($Y42/$X42)*100),0)</f>
        <v>#NAME?</v>
      </c>
      <c r="X42" s="339" t="e">
        <f ca="1">IF($Y42&gt;0,CHOOSE(MATCH(RegimeExecucao,{"Unitário","Global"},0),IF($A42="S",ROUND($H42,ORÇAMENTO!$AF$10),""),ROUND($I42,ORÇAMENTO!$AF$11)),"")</f>
        <v>#NAME?</v>
      </c>
      <c r="Y42" s="339" t="e">
        <f t="shared" ca="1" si="7"/>
        <v>#NAME?</v>
      </c>
      <c r="Z42" s="473"/>
      <c r="AB42" s="337"/>
      <c r="AC42" s="437"/>
      <c r="AD42" s="437"/>
      <c r="AE42" s="437"/>
      <c r="AF42" s="437"/>
      <c r="AG42" s="437"/>
      <c r="AH42" s="437"/>
      <c r="AI42" s="437"/>
      <c r="AJ42" s="437"/>
      <c r="AK42" s="437"/>
      <c r="AL42" s="437"/>
      <c r="AM42" s="338"/>
      <c r="AO42">
        <f ca="1">IF($A42="S",IF(BM!$I42=0,0,CHOOSE(MATCH(RegimeExecucao,{"Global","Unitário"},0),ROUND(ROUND(BM.MEDAcumulado,15-13*BM!$A$9)/100*BM!$I42,15-13*ORÇAMENTO!$AF$11),ROUND(ROUND(BM.MEDAcumulado,15-13*BM!$A$9)*ROUND(BM!$H42,15-13*ORÇAMENTO!$AF$10),15-13*ORÇAMENTO!$AF$11))),IF($A42=0,0,ROUND(SomaAgrupBM,15-13*ORÇAMENTO!$AF$11)))</f>
        <v>0</v>
      </c>
    </row>
    <row r="43" spans="1:41" ht="26.4" x14ac:dyDescent="0.3">
      <c r="A43" t="str">
        <f ca="1">ORÇAMENTO!C43</f>
        <v>S</v>
      </c>
      <c r="B43">
        <f ca="1">ORÇAMENTO!D43</f>
        <v>0</v>
      </c>
      <c r="C43" s="114" t="str">
        <f t="shared" ca="1" si="1"/>
        <v>F</v>
      </c>
      <c r="D43" s="117" t="str">
        <f ca="1">ORÇAMENTO!O43</f>
        <v>1.5.2.</v>
      </c>
      <c r="E43" s="163" t="str">
        <f t="shared" ca="1" si="2"/>
        <v>EMULSÃO ASFÁLTICA RR-1C COLETADO NA ANP, ACRESCIDO DE IMPOSTOS (ICMS, PIS, COFINS)</v>
      </c>
      <c r="F43" s="164" t="str">
        <f ca="1">IF(RegimeExecucao="Global","",ORÇAMENTO.Unidade)</f>
        <v>KG</v>
      </c>
      <c r="G43" s="122">
        <f ca="1">IF(RegimeExecucao="Global","",ORÇAMENTO!T43)</f>
        <v>46.8</v>
      </c>
      <c r="H43" s="122">
        <f ca="1">IF(RegimeExecucao="Global","",ORÇAMENTO!W43)</f>
        <v>4.21</v>
      </c>
      <c r="I43" s="125">
        <f ca="1">ORÇAMENTO!X43</f>
        <v>197.03</v>
      </c>
      <c r="J43" s="333" t="e" cm="1">
        <f t="array" aca="1" ref="J43" ca="1">_xlfn.SINGLE(IF($A43="S",IF(CAIXA.Modo,BM.AFAnterior,BM.MEDAnterior),IF(AND(_xlfn.SINGLE(RegimeExecucao)="Global",$I43&gt;0,COUNTIF($AB$13:$AM$13,BM.medicao-1)&gt;0),M43/$I43*100,0)))</f>
        <v>#NAME?</v>
      </c>
      <c r="K43" s="122" t="e">
        <f t="shared" ca="1" si="3"/>
        <v>#NAME?</v>
      </c>
      <c r="L43" s="334" t="e" cm="1">
        <f t="array" aca="1" ref="L43" ca="1">_xlfn.SINGLE(IF($A43="S",IF(CAIXA.Modo,BM.AFAcumulado,BM.MEDAcumulado),IF(AND(_xlfn.SINGLE(RegimeExecucao)="Global",$I43&gt;0,COUNTIF($AB$13:$AM$13,BM.medicao)&gt;0),O43/$I43*100,0)))</f>
        <v>#NAME?</v>
      </c>
      <c r="M43" s="335" t="e">
        <f ca="1">IF($A43="S",VTOTALBM,IF($A43=0,0,ROUND(SomaAgrupBM,15-13*ORÇAMENTO!$AF$11)))</f>
        <v>#NAME?</v>
      </c>
      <c r="N43" s="336" t="e">
        <f t="shared" ca="1" si="4"/>
        <v>#NAME?</v>
      </c>
      <c r="O43" s="125" t="e">
        <f ca="1">IF($A43="S",VTOTALBM,IF($A43=0,0,ROUND(SomaAgrupBM,15-13*ORÇAMENTO!$AF$11)))</f>
        <v>#NAME?</v>
      </c>
      <c r="Q43" s="337"/>
      <c r="R43" s="338"/>
      <c r="T43" s="117" t="e">
        <f t="shared" ca="1" si="5"/>
        <v>#NAME?</v>
      </c>
      <c r="U43" s="163" t="e">
        <f t="shared" ca="1" si="6"/>
        <v>#NAME?</v>
      </c>
      <c r="V43" s="164" t="e">
        <f ca="1">IF(AND($W43&gt;0,RegimeExecucao="Unitário"),$F43,"")</f>
        <v>#NAME?</v>
      </c>
      <c r="W43" s="454" t="e">
        <f ca="1">IF($Y43&gt;0,CHOOSE(MATCH(RegimeExecucao,{"Unitário","Global"},0),IF($A43="S",$Y43/$X43,""),($Y43/$X43)*100),0)</f>
        <v>#NAME?</v>
      </c>
      <c r="X43" s="339" t="e">
        <f ca="1">IF($Y43&gt;0,CHOOSE(MATCH(RegimeExecucao,{"Unitário","Global"},0),IF($A43="S",ROUND($H43,ORÇAMENTO!$AF$10),""),ROUND($I43,ORÇAMENTO!$AF$11)),"")</f>
        <v>#NAME?</v>
      </c>
      <c r="Y43" s="339" t="e">
        <f t="shared" ca="1" si="7"/>
        <v>#NAME?</v>
      </c>
      <c r="Z43" s="473"/>
      <c r="AB43" s="337"/>
      <c r="AC43" s="437"/>
      <c r="AD43" s="437"/>
      <c r="AE43" s="437"/>
      <c r="AF43" s="437"/>
      <c r="AG43" s="437"/>
      <c r="AH43" s="437"/>
      <c r="AI43" s="437"/>
      <c r="AJ43" s="437"/>
      <c r="AK43" s="437"/>
      <c r="AL43" s="437"/>
      <c r="AM43" s="338"/>
      <c r="AO43">
        <f ca="1">IF($A43="S",IF(BM!$I43=0,0,CHOOSE(MATCH(RegimeExecucao,{"Global","Unitário"},0),ROUND(ROUND(BM.MEDAcumulado,15-13*BM!$A$9)/100*BM!$I43,15-13*ORÇAMENTO!$AF$11),ROUND(ROUND(BM.MEDAcumulado,15-13*BM!$A$9)*ROUND(BM!$H43,15-13*ORÇAMENTO!$AF$10),15-13*ORÇAMENTO!$AF$11))),IF($A43=0,0,ROUND(SomaAgrupBM,15-13*ORÇAMENTO!$AF$11)))</f>
        <v>0</v>
      </c>
    </row>
    <row r="44" spans="1:41" ht="26.4" x14ac:dyDescent="0.3">
      <c r="A44" t="str">
        <f ca="1">ORÇAMENTO!C44</f>
        <v>S</v>
      </c>
      <c r="B44">
        <f ca="1">ORÇAMENTO!D44</f>
        <v>0</v>
      </c>
      <c r="C44" s="114" t="str">
        <f t="shared" ca="1" si="1"/>
        <v>F</v>
      </c>
      <c r="D44" s="117" t="str">
        <f ca="1">ORÇAMENTO!O44</f>
        <v>1.5.3.</v>
      </c>
      <c r="E44" s="163" t="str">
        <f t="shared" ca="1" si="2"/>
        <v>Transporte de material betuminoso com caminhão tanque distribuidor - rodovia pavimentada</v>
      </c>
      <c r="F44" s="164" t="str">
        <f ca="1">IF(RegimeExecucao="Global","",ORÇAMENTO.Unidade)</f>
        <v>tkm</v>
      </c>
      <c r="G44" s="122">
        <f ca="1">IF(RegimeExecucao="Global","",ORÇAMENTO!T44)</f>
        <v>15.77</v>
      </c>
      <c r="H44" s="122">
        <f ca="1">IF(RegimeExecucao="Global","",ORÇAMENTO!W44)</f>
        <v>2.5499999999999998</v>
      </c>
      <c r="I44" s="125">
        <f ca="1">ORÇAMENTO!X44</f>
        <v>40.21</v>
      </c>
      <c r="J44" s="333" t="e" cm="1">
        <f t="array" aca="1" ref="J44" ca="1">_xlfn.SINGLE(IF($A44="S",IF(CAIXA.Modo,BM.AFAnterior,BM.MEDAnterior),IF(AND(_xlfn.SINGLE(RegimeExecucao)="Global",$I44&gt;0,COUNTIF($AB$13:$AM$13,BM.medicao-1)&gt;0),M44/$I44*100,0)))</f>
        <v>#NAME?</v>
      </c>
      <c r="K44" s="122" t="e">
        <f t="shared" ca="1" si="3"/>
        <v>#NAME?</v>
      </c>
      <c r="L44" s="334" t="e" cm="1">
        <f t="array" aca="1" ref="L44" ca="1">_xlfn.SINGLE(IF($A44="S",IF(CAIXA.Modo,BM.AFAcumulado,BM.MEDAcumulado),IF(AND(_xlfn.SINGLE(RegimeExecucao)="Global",$I44&gt;0,COUNTIF($AB$13:$AM$13,BM.medicao)&gt;0),O44/$I44*100,0)))</f>
        <v>#NAME?</v>
      </c>
      <c r="M44" s="335" t="e">
        <f ca="1">IF($A44="S",VTOTALBM,IF($A44=0,0,ROUND(SomaAgrupBM,15-13*ORÇAMENTO!$AF$11)))</f>
        <v>#NAME?</v>
      </c>
      <c r="N44" s="336" t="e">
        <f t="shared" ca="1" si="4"/>
        <v>#NAME?</v>
      </c>
      <c r="O44" s="125" t="e">
        <f ca="1">IF($A44="S",VTOTALBM,IF($A44=0,0,ROUND(SomaAgrupBM,15-13*ORÇAMENTO!$AF$11)))</f>
        <v>#NAME?</v>
      </c>
      <c r="Q44" s="337"/>
      <c r="R44" s="338"/>
      <c r="T44" s="117" t="e">
        <f t="shared" ca="1" si="5"/>
        <v>#NAME?</v>
      </c>
      <c r="U44" s="163" t="e">
        <f t="shared" ca="1" si="6"/>
        <v>#NAME?</v>
      </c>
      <c r="V44" s="164" t="e">
        <f ca="1">IF(AND($W44&gt;0,RegimeExecucao="Unitário"),$F44,"")</f>
        <v>#NAME?</v>
      </c>
      <c r="W44" s="454" t="e">
        <f ca="1">IF($Y44&gt;0,CHOOSE(MATCH(RegimeExecucao,{"Unitário","Global"},0),IF($A44="S",$Y44/$X44,""),($Y44/$X44)*100),0)</f>
        <v>#NAME?</v>
      </c>
      <c r="X44" s="339" t="e">
        <f ca="1">IF($Y44&gt;0,CHOOSE(MATCH(RegimeExecucao,{"Unitário","Global"},0),IF($A44="S",ROUND($H44,ORÇAMENTO!$AF$10),""),ROUND($I44,ORÇAMENTO!$AF$11)),"")</f>
        <v>#NAME?</v>
      </c>
      <c r="Y44" s="339" t="e">
        <f t="shared" ca="1" si="7"/>
        <v>#NAME?</v>
      </c>
      <c r="Z44" s="473"/>
      <c r="AB44" s="337"/>
      <c r="AC44" s="437"/>
      <c r="AD44" s="437"/>
      <c r="AE44" s="437"/>
      <c r="AF44" s="437"/>
      <c r="AG44" s="437"/>
      <c r="AH44" s="437"/>
      <c r="AI44" s="437"/>
      <c r="AJ44" s="437"/>
      <c r="AK44" s="437"/>
      <c r="AL44" s="437"/>
      <c r="AM44" s="338"/>
      <c r="AO44">
        <f ca="1">IF($A44="S",IF(BM!$I44=0,0,CHOOSE(MATCH(RegimeExecucao,{"Global","Unitário"},0),ROUND(ROUND(BM.MEDAcumulado,15-13*BM!$A$9)/100*BM!$I44,15-13*ORÇAMENTO!$AF$11),ROUND(ROUND(BM.MEDAcumulado,15-13*BM!$A$9)*ROUND(BM!$H44,15-13*ORÇAMENTO!$AF$10),15-13*ORÇAMENTO!$AF$11))),IF($A44=0,0,ROUND(SomaAgrupBM,15-13*ORÇAMENTO!$AF$11)))</f>
        <v>0</v>
      </c>
    </row>
    <row r="45" spans="1:41" ht="79.2" x14ac:dyDescent="0.3">
      <c r="A45" t="str">
        <f ca="1">ORÇAMENTO!C45</f>
        <v>S</v>
      </c>
      <c r="B45">
        <f ca="1">ORÇAMENTO!D45</f>
        <v>0</v>
      </c>
      <c r="C45" s="114" t="str">
        <f t="shared" ca="1" si="1"/>
        <v>F</v>
      </c>
      <c r="D45" s="117" t="str">
        <f ca="1">ORÇAMENTO!O45</f>
        <v>1.5.4.</v>
      </c>
      <c r="E45" s="163" t="str">
        <f t="shared" ca="1" si="2"/>
        <v>EXECUÇÃO DE FAIXA ELEVADA PARA TRAVESSIA DE PEDESTRES COM APLICAÇÃO DE CONCRETO ASFÁLTICO, PADRÃO DNIT FAIXA C, APLICADO COM VIBROACABADORA. COM TUBULAÇÃO DE DRENAGEM JUNTO A SARJETA. DIMENSÕES DA PLATAFORMA: LARG.: 6,50 M, COMP.: 5 M, ALT.: 10 CM. DIMENSÕES DA RAMPA: COMP.: 1,5 M. - EXCLUSIVE CAP</v>
      </c>
      <c r="F45" s="164" t="str">
        <f ca="1">IF(RegimeExecucao="Global","",ORÇAMENTO.Unidade)</f>
        <v>UN</v>
      </c>
      <c r="G45" s="122">
        <f ca="1">IF(RegimeExecucao="Global","",ORÇAMENTO!T45)</f>
        <v>2</v>
      </c>
      <c r="H45" s="122">
        <f ca="1">IF(RegimeExecucao="Global","",ORÇAMENTO!W45)</f>
        <v>5446.16</v>
      </c>
      <c r="I45" s="125">
        <f ca="1">ORÇAMENTO!X45</f>
        <v>10892.32</v>
      </c>
      <c r="J45" s="333" t="e" cm="1">
        <f t="array" aca="1" ref="J45" ca="1">_xlfn.SINGLE(IF($A45="S",IF(CAIXA.Modo,BM.AFAnterior,BM.MEDAnterior),IF(AND(_xlfn.SINGLE(RegimeExecucao)="Global",$I45&gt;0,COUNTIF($AB$13:$AM$13,BM.medicao-1)&gt;0),M45/$I45*100,0)))</f>
        <v>#NAME?</v>
      </c>
      <c r="K45" s="122" t="e">
        <f t="shared" ca="1" si="3"/>
        <v>#NAME?</v>
      </c>
      <c r="L45" s="334" t="e" cm="1">
        <f t="array" aca="1" ref="L45" ca="1">_xlfn.SINGLE(IF($A45="S",IF(CAIXA.Modo,BM.AFAcumulado,BM.MEDAcumulado),IF(AND(_xlfn.SINGLE(RegimeExecucao)="Global",$I45&gt;0,COUNTIF($AB$13:$AM$13,BM.medicao)&gt;0),O45/$I45*100,0)))</f>
        <v>#NAME?</v>
      </c>
      <c r="M45" s="335" t="e">
        <f ca="1">IF($A45="S",VTOTALBM,IF($A45=0,0,ROUND(SomaAgrupBM,15-13*ORÇAMENTO!$AF$11)))</f>
        <v>#NAME?</v>
      </c>
      <c r="N45" s="336" t="e">
        <f t="shared" ca="1" si="4"/>
        <v>#NAME?</v>
      </c>
      <c r="O45" s="125" t="e">
        <f ca="1">IF($A45="S",VTOTALBM,IF($A45=0,0,ROUND(SomaAgrupBM,15-13*ORÇAMENTO!$AF$11)))</f>
        <v>#NAME?</v>
      </c>
      <c r="Q45" s="337"/>
      <c r="R45" s="338"/>
      <c r="T45" s="117" t="e">
        <f t="shared" ca="1" si="5"/>
        <v>#NAME?</v>
      </c>
      <c r="U45" s="163" t="e">
        <f t="shared" ca="1" si="6"/>
        <v>#NAME?</v>
      </c>
      <c r="V45" s="164" t="e">
        <f ca="1">IF(AND($W45&gt;0,RegimeExecucao="Unitário"),$F45,"")</f>
        <v>#NAME?</v>
      </c>
      <c r="W45" s="454" t="e">
        <f ca="1">IF($Y45&gt;0,CHOOSE(MATCH(RegimeExecucao,{"Unitário","Global"},0),IF($A45="S",$Y45/$X45,""),($Y45/$X45)*100),0)</f>
        <v>#NAME?</v>
      </c>
      <c r="X45" s="339" t="e">
        <f ca="1">IF($Y45&gt;0,CHOOSE(MATCH(RegimeExecucao,{"Unitário","Global"},0),IF($A45="S",ROUND($H45,ORÇAMENTO!$AF$10),""),ROUND($I45,ORÇAMENTO!$AF$11)),"")</f>
        <v>#NAME?</v>
      </c>
      <c r="Y45" s="339" t="e">
        <f t="shared" ca="1" si="7"/>
        <v>#NAME?</v>
      </c>
      <c r="Z45" s="473"/>
      <c r="AB45" s="337"/>
      <c r="AC45" s="437"/>
      <c r="AD45" s="437"/>
      <c r="AE45" s="437"/>
      <c r="AF45" s="437"/>
      <c r="AG45" s="437"/>
      <c r="AH45" s="437"/>
      <c r="AI45" s="437"/>
      <c r="AJ45" s="437"/>
      <c r="AK45" s="437"/>
      <c r="AL45" s="437"/>
      <c r="AM45" s="338"/>
      <c r="AO45">
        <f ca="1">IF($A45="S",IF(BM!$I45=0,0,CHOOSE(MATCH(RegimeExecucao,{"Global","Unitário"},0),ROUND(ROUND(BM.MEDAcumulado,15-13*BM!$A$9)/100*BM!$I45,15-13*ORÇAMENTO!$AF$11),ROUND(ROUND(BM.MEDAcumulado,15-13*BM!$A$9)*ROUND(BM!$H45,15-13*ORÇAMENTO!$AF$10),15-13*ORÇAMENTO!$AF$11))),IF($A45=0,0,ROUND(SomaAgrupBM,15-13*ORÇAMENTO!$AF$11)))</f>
        <v>0</v>
      </c>
    </row>
    <row r="46" spans="1:41" ht="26.4" x14ac:dyDescent="0.3">
      <c r="A46" t="str">
        <f ca="1">ORÇAMENTO!C46</f>
        <v>S</v>
      </c>
      <c r="B46">
        <f ca="1">ORÇAMENTO!D46</f>
        <v>0</v>
      </c>
      <c r="C46" s="114" t="str">
        <f t="shared" ca="1" si="1"/>
        <v>F</v>
      </c>
      <c r="D46" s="117" t="str">
        <f ca="1">ORÇAMENTO!O46</f>
        <v>1.5.5.</v>
      </c>
      <c r="E46" s="163" t="str">
        <f t="shared" ca="1" si="2"/>
        <v>CIMENTO ASFÁLTICO CAP 50-70, COLETADO NA ANP, ACRESCIDO DE IMPOSTOS (ICMS, PIS, CONFINS)</v>
      </c>
      <c r="F46" s="164" t="str">
        <f ca="1">IF(RegimeExecucao="Global","",ORÇAMENTO.Unidade)</f>
        <v>KG</v>
      </c>
      <c r="G46" s="122">
        <f ca="1">IF(RegimeExecucao="Global","",ORÇAMENTO!T46)</f>
        <v>1200.46</v>
      </c>
      <c r="H46" s="122">
        <f ca="1">IF(RegimeExecucao="Global","",ORÇAMENTO!W46)</f>
        <v>5.59</v>
      </c>
      <c r="I46" s="125">
        <f ca="1">ORÇAMENTO!X46</f>
        <v>6710.57</v>
      </c>
      <c r="J46" s="333" t="e" cm="1">
        <f t="array" aca="1" ref="J46" ca="1">_xlfn.SINGLE(IF($A46="S",IF(CAIXA.Modo,BM.AFAnterior,BM.MEDAnterior),IF(AND(_xlfn.SINGLE(RegimeExecucao)="Global",$I46&gt;0,COUNTIF($AB$13:$AM$13,BM.medicao-1)&gt;0),M46/$I46*100,0)))</f>
        <v>#NAME?</v>
      </c>
      <c r="K46" s="122" t="e">
        <f t="shared" ca="1" si="3"/>
        <v>#NAME?</v>
      </c>
      <c r="L46" s="334" t="e" cm="1">
        <f t="array" aca="1" ref="L46" ca="1">_xlfn.SINGLE(IF($A46="S",IF(CAIXA.Modo,BM.AFAcumulado,BM.MEDAcumulado),IF(AND(_xlfn.SINGLE(RegimeExecucao)="Global",$I46&gt;0,COUNTIF($AB$13:$AM$13,BM.medicao)&gt;0),O46/$I46*100,0)))</f>
        <v>#NAME?</v>
      </c>
      <c r="M46" s="335" t="e">
        <f ca="1">IF($A46="S",VTOTALBM,IF($A46=0,0,ROUND(SomaAgrupBM,15-13*ORÇAMENTO!$AF$11)))</f>
        <v>#NAME?</v>
      </c>
      <c r="N46" s="336" t="e">
        <f t="shared" ca="1" si="4"/>
        <v>#NAME?</v>
      </c>
      <c r="O46" s="125" t="e">
        <f ca="1">IF($A46="S",VTOTALBM,IF($A46=0,0,ROUND(SomaAgrupBM,15-13*ORÇAMENTO!$AF$11)))</f>
        <v>#NAME?</v>
      </c>
      <c r="Q46" s="337"/>
      <c r="R46" s="338"/>
      <c r="T46" s="117" t="e">
        <f t="shared" ca="1" si="5"/>
        <v>#NAME?</v>
      </c>
      <c r="U46" s="163" t="e">
        <f t="shared" ca="1" si="6"/>
        <v>#NAME?</v>
      </c>
      <c r="V46" s="164" t="e">
        <f ca="1">IF(AND($W46&gt;0,RegimeExecucao="Unitário"),$F46,"")</f>
        <v>#NAME?</v>
      </c>
      <c r="W46" s="454" t="e">
        <f ca="1">IF($Y46&gt;0,CHOOSE(MATCH(RegimeExecucao,{"Unitário","Global"},0),IF($A46="S",$Y46/$X46,""),($Y46/$X46)*100),0)</f>
        <v>#NAME?</v>
      </c>
      <c r="X46" s="339" t="e">
        <f ca="1">IF($Y46&gt;0,CHOOSE(MATCH(RegimeExecucao,{"Unitário","Global"},0),IF($A46="S",ROUND($H46,ORÇAMENTO!$AF$10),""),ROUND($I46,ORÇAMENTO!$AF$11)),"")</f>
        <v>#NAME?</v>
      </c>
      <c r="Y46" s="339" t="e">
        <f t="shared" ca="1" si="7"/>
        <v>#NAME?</v>
      </c>
      <c r="Z46" s="473"/>
      <c r="AB46" s="337"/>
      <c r="AC46" s="437"/>
      <c r="AD46" s="437"/>
      <c r="AE46" s="437"/>
      <c r="AF46" s="437"/>
      <c r="AG46" s="437"/>
      <c r="AH46" s="437"/>
      <c r="AI46" s="437"/>
      <c r="AJ46" s="437"/>
      <c r="AK46" s="437"/>
      <c r="AL46" s="437"/>
      <c r="AM46" s="338"/>
      <c r="AO46">
        <f ca="1">IF($A46="S",IF(BM!$I46=0,0,CHOOSE(MATCH(RegimeExecucao,{"Global","Unitário"},0),ROUND(ROUND(BM.MEDAcumulado,15-13*BM!$A$9)/100*BM!$I46,15-13*ORÇAMENTO!$AF$11),ROUND(ROUND(BM.MEDAcumulado,15-13*BM!$A$9)*ROUND(BM!$H46,15-13*ORÇAMENTO!$AF$10),15-13*ORÇAMENTO!$AF$11))),IF($A46=0,0,ROUND(SomaAgrupBM,15-13*ORÇAMENTO!$AF$11)))</f>
        <v>0</v>
      </c>
    </row>
    <row r="47" spans="1:41" ht="26.4" x14ac:dyDescent="0.3">
      <c r="A47" t="str">
        <f ca="1">ORÇAMENTO!C47</f>
        <v>S</v>
      </c>
      <c r="B47">
        <f ca="1">ORÇAMENTO!D47</f>
        <v>0</v>
      </c>
      <c r="C47" s="114" t="str">
        <f t="shared" ca="1" si="1"/>
        <v>F</v>
      </c>
      <c r="D47" s="117" t="str">
        <f ca="1">ORÇAMENTO!O47</f>
        <v>1.5.6.</v>
      </c>
      <c r="E47" s="163" t="str">
        <f t="shared" ca="1" si="2"/>
        <v>Transporte de material betuminoso com caminhão tanque distribuidor - rodovia pavimentada</v>
      </c>
      <c r="F47" s="164" t="str">
        <f ca="1">IF(RegimeExecucao="Global","",ORÇAMENTO.Unidade)</f>
        <v>tkm</v>
      </c>
      <c r="G47" s="122">
        <f ca="1">IF(RegimeExecucao="Global","",ORÇAMENTO!T47)</f>
        <v>404.56</v>
      </c>
      <c r="H47" s="122">
        <f ca="1">IF(RegimeExecucao="Global","",ORÇAMENTO!W47)</f>
        <v>2.5499999999999998</v>
      </c>
      <c r="I47" s="125">
        <f ca="1">ORÇAMENTO!X47</f>
        <v>1031.6300000000001</v>
      </c>
      <c r="J47" s="333" t="e" cm="1">
        <f t="array" aca="1" ref="J47" ca="1">_xlfn.SINGLE(IF($A47="S",IF(CAIXA.Modo,BM.AFAnterior,BM.MEDAnterior),IF(AND(_xlfn.SINGLE(RegimeExecucao)="Global",$I47&gt;0,COUNTIF($AB$13:$AM$13,BM.medicao-1)&gt;0),M47/$I47*100,0)))</f>
        <v>#NAME?</v>
      </c>
      <c r="K47" s="122" t="e">
        <f t="shared" ca="1" si="3"/>
        <v>#NAME?</v>
      </c>
      <c r="L47" s="334" t="e" cm="1">
        <f t="array" aca="1" ref="L47" ca="1">_xlfn.SINGLE(IF($A47="S",IF(CAIXA.Modo,BM.AFAcumulado,BM.MEDAcumulado),IF(AND(_xlfn.SINGLE(RegimeExecucao)="Global",$I47&gt;0,COUNTIF($AB$13:$AM$13,BM.medicao)&gt;0),O47/$I47*100,0)))</f>
        <v>#NAME?</v>
      </c>
      <c r="M47" s="335" t="e">
        <f ca="1">IF($A47="S",VTOTALBM,IF($A47=0,0,ROUND(SomaAgrupBM,15-13*ORÇAMENTO!$AF$11)))</f>
        <v>#NAME?</v>
      </c>
      <c r="N47" s="336" t="e">
        <f t="shared" ca="1" si="4"/>
        <v>#NAME?</v>
      </c>
      <c r="O47" s="125" t="e">
        <f ca="1">IF($A47="S",VTOTALBM,IF($A47=0,0,ROUND(SomaAgrupBM,15-13*ORÇAMENTO!$AF$11)))</f>
        <v>#NAME?</v>
      </c>
      <c r="Q47" s="337"/>
      <c r="R47" s="338"/>
      <c r="T47" s="117" t="e">
        <f t="shared" ca="1" si="5"/>
        <v>#NAME?</v>
      </c>
      <c r="U47" s="163" t="e">
        <f t="shared" ca="1" si="6"/>
        <v>#NAME?</v>
      </c>
      <c r="V47" s="164" t="e">
        <f ca="1">IF(AND($W47&gt;0,RegimeExecucao="Unitário"),$F47,"")</f>
        <v>#NAME?</v>
      </c>
      <c r="W47" s="454" t="e">
        <f ca="1">IF($Y47&gt;0,CHOOSE(MATCH(RegimeExecucao,{"Unitário","Global"},0),IF($A47="S",$Y47/$X47,""),($Y47/$X47)*100),0)</f>
        <v>#NAME?</v>
      </c>
      <c r="X47" s="339" t="e">
        <f ca="1">IF($Y47&gt;0,CHOOSE(MATCH(RegimeExecucao,{"Unitário","Global"},0),IF($A47="S",ROUND($H47,ORÇAMENTO!$AF$10),""),ROUND($I47,ORÇAMENTO!$AF$11)),"")</f>
        <v>#NAME?</v>
      </c>
      <c r="Y47" s="339" t="e">
        <f t="shared" ca="1" si="7"/>
        <v>#NAME?</v>
      </c>
      <c r="Z47" s="473"/>
      <c r="AB47" s="337"/>
      <c r="AC47" s="437"/>
      <c r="AD47" s="437"/>
      <c r="AE47" s="437"/>
      <c r="AF47" s="437"/>
      <c r="AG47" s="437"/>
      <c r="AH47" s="437"/>
      <c r="AI47" s="437"/>
      <c r="AJ47" s="437"/>
      <c r="AK47" s="437"/>
      <c r="AL47" s="437"/>
      <c r="AM47" s="338"/>
      <c r="AO47">
        <f ca="1">IF($A47="S",IF(BM!$I47=0,0,CHOOSE(MATCH(RegimeExecucao,{"Global","Unitário"},0),ROUND(ROUND(BM.MEDAcumulado,15-13*BM!$A$9)/100*BM!$I47,15-13*ORÇAMENTO!$AF$11),ROUND(ROUND(BM.MEDAcumulado,15-13*BM!$A$9)*ROUND(BM!$H47,15-13*ORÇAMENTO!$AF$10),15-13*ORÇAMENTO!$AF$11))),IF($A47=0,0,ROUND(SomaAgrupBM,15-13*ORÇAMENTO!$AF$11)))</f>
        <v>0</v>
      </c>
    </row>
    <row r="48" spans="1:41" ht="13.8" x14ac:dyDescent="0.3">
      <c r="A48">
        <f ca="1">ORÇAMENTO!C48</f>
        <v>2</v>
      </c>
      <c r="B48">
        <f ca="1">ORÇAMENTO!D48</f>
        <v>4</v>
      </c>
      <c r="C48" s="114" t="str">
        <f t="shared" ca="1" si="1"/>
        <v>F</v>
      </c>
      <c r="D48" s="117" t="str">
        <f ca="1">ORÇAMENTO!O48</f>
        <v>1.6.</v>
      </c>
      <c r="E48" s="163" t="str">
        <f t="shared" si="2"/>
        <v>SINALIZAÇÃO</v>
      </c>
      <c r="F48" s="164" t="str">
        <f ca="1">IF(RegimeExecucao="Global","",ORÇAMENTO.Unidade)</f>
        <v>-</v>
      </c>
      <c r="G48" s="122">
        <f ca="1">IF(RegimeExecucao="Global","",ORÇAMENTO!T48)</f>
        <v>0</v>
      </c>
      <c r="H48" s="122">
        <f ca="1">IF(RegimeExecucao="Global","",ORÇAMENTO!W48)</f>
        <v>0</v>
      </c>
      <c r="I48" s="125">
        <f ca="1">ORÇAMENTO!X48</f>
        <v>6828.35</v>
      </c>
      <c r="J48" s="333" t="e" cm="1">
        <f t="array" aca="1" ref="J48" ca="1">_xlfn.SINGLE(IF($A48="S",IF(CAIXA.Modo,BM.AFAnterior,BM.MEDAnterior),IF(AND(_xlfn.SINGLE(RegimeExecucao)="Global",$I48&gt;0,COUNTIF($AB$13:$AM$13,BM.medicao-1)&gt;0),M48/$I48*100,0)))</f>
        <v>#NAME?</v>
      </c>
      <c r="K48" s="122" t="e">
        <f t="shared" ca="1" si="3"/>
        <v>#NAME?</v>
      </c>
      <c r="L48" s="334" t="e" cm="1">
        <f t="array" aca="1" ref="L48" ca="1">_xlfn.SINGLE(IF($A48="S",IF(CAIXA.Modo,BM.AFAcumulado,BM.MEDAcumulado),IF(AND(_xlfn.SINGLE(RegimeExecucao)="Global",$I48&gt;0,COUNTIF($AB$13:$AM$13,BM.medicao)&gt;0),O48/$I48*100,0)))</f>
        <v>#NAME?</v>
      </c>
      <c r="M48" s="335" t="e">
        <f ca="1">IF($A48="S",VTOTALBM,IF($A48=0,0,ROUND(SomaAgrupBM,15-13*ORÇAMENTO!$AF$11)))</f>
        <v>#NAME?</v>
      </c>
      <c r="N48" s="336" t="e">
        <f t="shared" ca="1" si="4"/>
        <v>#NAME?</v>
      </c>
      <c r="O48" s="125" t="e">
        <f ca="1">IF($A48="S",VTOTALBM,IF($A48=0,0,ROUND(SomaAgrupBM,15-13*ORÇAMENTO!$AF$11)))</f>
        <v>#NAME?</v>
      </c>
      <c r="Q48" s="337"/>
      <c r="R48" s="338"/>
      <c r="T48" s="117" t="e">
        <f t="shared" ca="1" si="5"/>
        <v>#NAME?</v>
      </c>
      <c r="U48" s="163" t="e">
        <f t="shared" ca="1" si="6"/>
        <v>#NAME?</v>
      </c>
      <c r="V48" s="164" t="e">
        <f ca="1">IF(AND($W48&gt;0,RegimeExecucao="Unitário"),$F48,"")</f>
        <v>#NAME?</v>
      </c>
      <c r="W48" s="454" t="e">
        <f ca="1">IF($Y48&gt;0,CHOOSE(MATCH(RegimeExecucao,{"Unitário","Global"},0),IF($A48="S",$Y48/$X48,""),($Y48/$X48)*100),0)</f>
        <v>#NAME?</v>
      </c>
      <c r="X48" s="339" t="e">
        <f ca="1">IF($Y48&gt;0,CHOOSE(MATCH(RegimeExecucao,{"Unitário","Global"},0),IF($A48="S",ROUND($H48,ORÇAMENTO!$AF$10),""),ROUND($I48,ORÇAMENTO!$AF$11)),"")</f>
        <v>#NAME?</v>
      </c>
      <c r="Y48" s="339" t="e">
        <f t="shared" ca="1" si="7"/>
        <v>#NAME?</v>
      </c>
      <c r="Z48" s="473"/>
      <c r="AB48" s="337"/>
      <c r="AC48" s="437"/>
      <c r="AD48" s="437"/>
      <c r="AE48" s="437"/>
      <c r="AF48" s="437"/>
      <c r="AG48" s="437"/>
      <c r="AH48" s="437"/>
      <c r="AI48" s="437"/>
      <c r="AJ48" s="437"/>
      <c r="AK48" s="437"/>
      <c r="AL48" s="437"/>
      <c r="AM48" s="338"/>
      <c r="AO48">
        <f ca="1">IF($A48="S",IF(BM!$I48=0,0,CHOOSE(MATCH(RegimeExecucao,{"Global","Unitário"},0),ROUND(ROUND(BM.MEDAcumulado,15-13*BM!$A$9)/100*BM!$I48,15-13*ORÇAMENTO!$AF$11),ROUND(ROUND(BM.MEDAcumulado,15-13*BM!$A$9)*ROUND(BM!$H48,15-13*ORÇAMENTO!$AF$10),15-13*ORÇAMENTO!$AF$11))),IF($A48=0,0,ROUND(SomaAgrupBM,15-13*ORÇAMENTO!$AF$11)))</f>
        <v>0</v>
      </c>
    </row>
    <row r="49" spans="1:41" ht="39.6" x14ac:dyDescent="0.3">
      <c r="A49" t="str">
        <f ca="1">ORÇAMENTO!C49</f>
        <v>S</v>
      </c>
      <c r="B49">
        <f ca="1">ORÇAMENTO!D49</f>
        <v>0</v>
      </c>
      <c r="C49" s="114" t="str">
        <f t="shared" ca="1" si="1"/>
        <v>F</v>
      </c>
      <c r="D49" s="117" t="str">
        <f ca="1">ORÇAMENTO!O49</f>
        <v>1.6.1.</v>
      </c>
      <c r="E49" s="163" t="str">
        <f t="shared" ca="1" si="2"/>
        <v>PINTURA DE FAIXA DE PEDESTRE OU ZEBRADA, TINTA RETROREFLETIVA A BASE DE RESINA ACRÍLICA COMMICROESFERAS DE VIDRO, E= 30CM</v>
      </c>
      <c r="F49" s="164" t="str">
        <f ca="1">IF(RegimeExecucao="Global","",ORÇAMENTO.Unidade)</f>
        <v>M2</v>
      </c>
      <c r="G49" s="122">
        <f ca="1">IF(RegimeExecucao="Global","",ORÇAMENTO!T49)</f>
        <v>72.05</v>
      </c>
      <c r="H49" s="122">
        <f ca="1">IF(RegimeExecucao="Global","",ORÇAMENTO!W49)</f>
        <v>48.53</v>
      </c>
      <c r="I49" s="125">
        <f ca="1">ORÇAMENTO!X49</f>
        <v>3496.59</v>
      </c>
      <c r="J49" s="333" t="e" cm="1">
        <f t="array" aca="1" ref="J49" ca="1">_xlfn.SINGLE(IF($A49="S",IF(CAIXA.Modo,BM.AFAnterior,BM.MEDAnterior),IF(AND(_xlfn.SINGLE(RegimeExecucao)="Global",$I49&gt;0,COUNTIF($AB$13:$AM$13,BM.medicao-1)&gt;0),M49/$I49*100,0)))</f>
        <v>#NAME?</v>
      </c>
      <c r="K49" s="122" t="e">
        <f t="shared" ca="1" si="3"/>
        <v>#NAME?</v>
      </c>
      <c r="L49" s="334" t="e" cm="1">
        <f t="array" aca="1" ref="L49" ca="1">_xlfn.SINGLE(IF($A49="S",IF(CAIXA.Modo,BM.AFAcumulado,BM.MEDAcumulado),IF(AND(_xlfn.SINGLE(RegimeExecucao)="Global",$I49&gt;0,COUNTIF($AB$13:$AM$13,BM.medicao)&gt;0),O49/$I49*100,0)))</f>
        <v>#NAME?</v>
      </c>
      <c r="M49" s="335" t="e">
        <f ca="1">IF($A49="S",VTOTALBM,IF($A49=0,0,ROUND(SomaAgrupBM,15-13*ORÇAMENTO!$AF$11)))</f>
        <v>#NAME?</v>
      </c>
      <c r="N49" s="336" t="e">
        <f t="shared" ca="1" si="4"/>
        <v>#NAME?</v>
      </c>
      <c r="O49" s="125" t="e">
        <f ca="1">IF($A49="S",VTOTALBM,IF($A49=0,0,ROUND(SomaAgrupBM,15-13*ORÇAMENTO!$AF$11)))</f>
        <v>#NAME?</v>
      </c>
      <c r="Q49" s="337"/>
      <c r="R49" s="338"/>
      <c r="T49" s="117" t="e">
        <f t="shared" ca="1" si="5"/>
        <v>#NAME?</v>
      </c>
      <c r="U49" s="163" t="e">
        <f t="shared" ca="1" si="6"/>
        <v>#NAME?</v>
      </c>
      <c r="V49" s="164" t="e">
        <f ca="1">IF(AND($W49&gt;0,RegimeExecucao="Unitário"),$F49,"")</f>
        <v>#NAME?</v>
      </c>
      <c r="W49" s="454" t="e">
        <f ca="1">IF($Y49&gt;0,CHOOSE(MATCH(RegimeExecucao,{"Unitário","Global"},0),IF($A49="S",$Y49/$X49,""),($Y49/$X49)*100),0)</f>
        <v>#NAME?</v>
      </c>
      <c r="X49" s="339" t="e">
        <f ca="1">IF($Y49&gt;0,CHOOSE(MATCH(RegimeExecucao,{"Unitário","Global"},0),IF($A49="S",ROUND($H49,ORÇAMENTO!$AF$10),""),ROUND($I49,ORÇAMENTO!$AF$11)),"")</f>
        <v>#NAME?</v>
      </c>
      <c r="Y49" s="339" t="e">
        <f t="shared" ca="1" si="7"/>
        <v>#NAME?</v>
      </c>
      <c r="Z49" s="473"/>
      <c r="AB49" s="337"/>
      <c r="AC49" s="437"/>
      <c r="AD49" s="437"/>
      <c r="AE49" s="437"/>
      <c r="AF49" s="437"/>
      <c r="AG49" s="437"/>
      <c r="AH49" s="437"/>
      <c r="AI49" s="437"/>
      <c r="AJ49" s="437"/>
      <c r="AK49" s="437"/>
      <c r="AL49" s="437"/>
      <c r="AM49" s="338"/>
      <c r="AO49">
        <f ca="1">IF($A49="S",IF(BM!$I49=0,0,CHOOSE(MATCH(RegimeExecucao,{"Global","Unitário"},0),ROUND(ROUND(BM.MEDAcumulado,15-13*BM!$A$9)/100*BM!$I49,15-13*ORÇAMENTO!$AF$11),ROUND(ROUND(BM.MEDAcumulado,15-13*BM!$A$9)*ROUND(BM!$H49,15-13*ORÇAMENTO!$AF$10),15-13*ORÇAMENTO!$AF$11))),IF($A49=0,0,ROUND(SomaAgrupBM,15-13*ORÇAMENTO!$AF$11)))</f>
        <v>0</v>
      </c>
    </row>
    <row r="50" spans="1:41" ht="13.8" x14ac:dyDescent="0.3">
      <c r="A50" t="str">
        <f ca="1">ORÇAMENTO!C50</f>
        <v>S</v>
      </c>
      <c r="B50">
        <f ca="1">ORÇAMENTO!D50</f>
        <v>0</v>
      </c>
      <c r="C50" s="114" t="str">
        <f t="shared" ca="1" si="1"/>
        <v>F</v>
      </c>
      <c r="D50" s="117" t="str">
        <f ca="1">ORÇAMENTO!O50</f>
        <v>1.6.2.</v>
      </c>
      <c r="E50" s="163" t="str">
        <f t="shared" ca="1" si="2"/>
        <v>PLACA DE REGULAMENTAÇÃO OCTOGONAL LADO 0,25M</v>
      </c>
      <c r="F50" s="164" t="str">
        <f ca="1">IF(RegimeExecucao="Global","",ORÇAMENTO.Unidade)</f>
        <v>UN</v>
      </c>
      <c r="G50" s="122">
        <f ca="1">IF(RegimeExecucao="Global","",ORÇAMENTO!T50)</f>
        <v>1</v>
      </c>
      <c r="H50" s="122">
        <f ca="1">IF(RegimeExecucao="Global","",ORÇAMENTO!W50)</f>
        <v>902.38</v>
      </c>
      <c r="I50" s="125">
        <f ca="1">ORÇAMENTO!X50</f>
        <v>902.38</v>
      </c>
      <c r="J50" s="333" t="e" cm="1">
        <f t="array" aca="1" ref="J50" ca="1">_xlfn.SINGLE(IF($A50="S",IF(CAIXA.Modo,BM.AFAnterior,BM.MEDAnterior),IF(AND(_xlfn.SINGLE(RegimeExecucao)="Global",$I50&gt;0,COUNTIF($AB$13:$AM$13,BM.medicao-1)&gt;0),M50/$I50*100,0)))</f>
        <v>#NAME?</v>
      </c>
      <c r="K50" s="122" t="e">
        <f t="shared" ca="1" si="3"/>
        <v>#NAME?</v>
      </c>
      <c r="L50" s="334" t="e" cm="1">
        <f t="array" aca="1" ref="L50" ca="1">_xlfn.SINGLE(IF($A50="S",IF(CAIXA.Modo,BM.AFAcumulado,BM.MEDAcumulado),IF(AND(_xlfn.SINGLE(RegimeExecucao)="Global",$I50&gt;0,COUNTIF($AB$13:$AM$13,BM.medicao)&gt;0),O50/$I50*100,0)))</f>
        <v>#NAME?</v>
      </c>
      <c r="M50" s="335" t="e">
        <f ca="1">IF($A50="S",VTOTALBM,IF($A50=0,0,ROUND(SomaAgrupBM,15-13*ORÇAMENTO!$AF$11)))</f>
        <v>#NAME?</v>
      </c>
      <c r="N50" s="336" t="e">
        <f t="shared" ca="1" si="4"/>
        <v>#NAME?</v>
      </c>
      <c r="O50" s="125" t="e">
        <f ca="1">IF($A50="S",VTOTALBM,IF($A50=0,0,ROUND(SomaAgrupBM,15-13*ORÇAMENTO!$AF$11)))</f>
        <v>#NAME?</v>
      </c>
      <c r="Q50" s="337"/>
      <c r="R50" s="338"/>
      <c r="T50" s="117" t="e">
        <f t="shared" ca="1" si="5"/>
        <v>#NAME?</v>
      </c>
      <c r="U50" s="163" t="e">
        <f t="shared" ca="1" si="6"/>
        <v>#NAME?</v>
      </c>
      <c r="V50" s="164" t="e">
        <f ca="1">IF(AND($W50&gt;0,RegimeExecucao="Unitário"),$F50,"")</f>
        <v>#NAME?</v>
      </c>
      <c r="W50" s="454" t="e">
        <f ca="1">IF($Y50&gt;0,CHOOSE(MATCH(RegimeExecucao,{"Unitário","Global"},0),IF($A50="S",$Y50/$X50,""),($Y50/$X50)*100),0)</f>
        <v>#NAME?</v>
      </c>
      <c r="X50" s="339" t="e">
        <f ca="1">IF($Y50&gt;0,CHOOSE(MATCH(RegimeExecucao,{"Unitário","Global"},0),IF($A50="S",ROUND($H50,ORÇAMENTO!$AF$10),""),ROUND($I50,ORÇAMENTO!$AF$11)),"")</f>
        <v>#NAME?</v>
      </c>
      <c r="Y50" s="339" t="e">
        <f t="shared" ca="1" si="7"/>
        <v>#NAME?</v>
      </c>
      <c r="Z50" s="473"/>
      <c r="AB50" s="337"/>
      <c r="AC50" s="437"/>
      <c r="AD50" s="437"/>
      <c r="AE50" s="437"/>
      <c r="AF50" s="437"/>
      <c r="AG50" s="437"/>
      <c r="AH50" s="437"/>
      <c r="AI50" s="437"/>
      <c r="AJ50" s="437"/>
      <c r="AK50" s="437"/>
      <c r="AL50" s="437"/>
      <c r="AM50" s="338"/>
      <c r="AO50">
        <f ca="1">IF($A50="S",IF(BM!$I50=0,0,CHOOSE(MATCH(RegimeExecucao,{"Global","Unitário"},0),ROUND(ROUND(BM.MEDAcumulado,15-13*BM!$A$9)/100*BM!$I50,15-13*ORÇAMENTO!$AF$11),ROUND(ROUND(BM.MEDAcumulado,15-13*BM!$A$9)*ROUND(BM!$H50,15-13*ORÇAMENTO!$AF$10),15-13*ORÇAMENTO!$AF$11))),IF($A50=0,0,ROUND(SomaAgrupBM,15-13*ORÇAMENTO!$AF$11)))</f>
        <v>0</v>
      </c>
    </row>
    <row r="51" spans="1:41" ht="13.8" x14ac:dyDescent="0.3">
      <c r="A51" t="str">
        <f ca="1">ORÇAMENTO!C51</f>
        <v>S</v>
      </c>
      <c r="B51">
        <f ca="1">ORÇAMENTO!D51</f>
        <v>0</v>
      </c>
      <c r="C51" s="114" t="str">
        <f t="shared" ca="1" si="1"/>
        <v>F</v>
      </c>
      <c r="D51" s="117" t="str">
        <f ca="1">ORÇAMENTO!O51</f>
        <v>1.6.3.</v>
      </c>
      <c r="E51" s="163" t="str">
        <f t="shared" ca="1" si="2"/>
        <v>PLACA DE ADVERTENCIA RETANGULAR 80X60</v>
      </c>
      <c r="F51" s="164" t="str">
        <f ca="1">IF(RegimeExecucao="Global","",ORÇAMENTO.Unidade)</f>
        <v>UN</v>
      </c>
      <c r="G51" s="122">
        <f ca="1">IF(RegimeExecucao="Global","",ORÇAMENTO!T51)</f>
        <v>2</v>
      </c>
      <c r="H51" s="122">
        <f ca="1">IF(RegimeExecucao="Global","",ORÇAMENTO!W51)</f>
        <v>1214.69</v>
      </c>
      <c r="I51" s="125">
        <f ca="1">ORÇAMENTO!X51</f>
        <v>2429.38</v>
      </c>
      <c r="J51" s="333" t="e" cm="1">
        <f t="array" aca="1" ref="J51" ca="1">_xlfn.SINGLE(IF($A51="S",IF(CAIXA.Modo,BM.AFAnterior,BM.MEDAnterior),IF(AND(_xlfn.SINGLE(RegimeExecucao)="Global",$I51&gt;0,COUNTIF($AB$13:$AM$13,BM.medicao-1)&gt;0),M51/$I51*100,0)))</f>
        <v>#NAME?</v>
      </c>
      <c r="K51" s="122" t="e">
        <f t="shared" ca="1" si="3"/>
        <v>#NAME?</v>
      </c>
      <c r="L51" s="334" t="e" cm="1">
        <f t="array" aca="1" ref="L51" ca="1">_xlfn.SINGLE(IF($A51="S",IF(CAIXA.Modo,BM.AFAcumulado,BM.MEDAcumulado),IF(AND(_xlfn.SINGLE(RegimeExecucao)="Global",$I51&gt;0,COUNTIF($AB$13:$AM$13,BM.medicao)&gt;0),O51/$I51*100,0)))</f>
        <v>#NAME?</v>
      </c>
      <c r="M51" s="335" t="e">
        <f ca="1">IF($A51="S",VTOTALBM,IF($A51=0,0,ROUND(SomaAgrupBM,15-13*ORÇAMENTO!$AF$11)))</f>
        <v>#NAME?</v>
      </c>
      <c r="N51" s="336" t="e">
        <f t="shared" ca="1" si="4"/>
        <v>#NAME?</v>
      </c>
      <c r="O51" s="125" t="e">
        <f ca="1">IF($A51="S",VTOTALBM,IF($A51=0,0,ROUND(SomaAgrupBM,15-13*ORÇAMENTO!$AF$11)))</f>
        <v>#NAME?</v>
      </c>
      <c r="Q51" s="337"/>
      <c r="R51" s="338"/>
      <c r="T51" s="117" t="e">
        <f t="shared" ca="1" si="5"/>
        <v>#NAME?</v>
      </c>
      <c r="U51" s="163" t="e">
        <f t="shared" ca="1" si="6"/>
        <v>#NAME?</v>
      </c>
      <c r="V51" s="164" t="e">
        <f ca="1">IF(AND($W51&gt;0,RegimeExecucao="Unitário"),$F51,"")</f>
        <v>#NAME?</v>
      </c>
      <c r="W51" s="454" t="e">
        <f ca="1">IF($Y51&gt;0,CHOOSE(MATCH(RegimeExecucao,{"Unitário","Global"},0),IF($A51="S",$Y51/$X51,""),($Y51/$X51)*100),0)</f>
        <v>#NAME?</v>
      </c>
      <c r="X51" s="339" t="e">
        <f ca="1">IF($Y51&gt;0,CHOOSE(MATCH(RegimeExecucao,{"Unitário","Global"},0),IF($A51="S",ROUND($H51,ORÇAMENTO!$AF$10),""),ROUND($I51,ORÇAMENTO!$AF$11)),"")</f>
        <v>#NAME?</v>
      </c>
      <c r="Y51" s="339" t="e">
        <f t="shared" ca="1" si="7"/>
        <v>#NAME?</v>
      </c>
      <c r="Z51" s="473"/>
      <c r="AB51" s="337"/>
      <c r="AC51" s="437"/>
      <c r="AD51" s="437"/>
      <c r="AE51" s="437"/>
      <c r="AF51" s="437"/>
      <c r="AG51" s="437"/>
      <c r="AH51" s="437"/>
      <c r="AI51" s="437"/>
      <c r="AJ51" s="437"/>
      <c r="AK51" s="437"/>
      <c r="AL51" s="437"/>
      <c r="AM51" s="338"/>
      <c r="AO51">
        <f ca="1">IF($A51="S",IF(BM!$I51=0,0,CHOOSE(MATCH(RegimeExecucao,{"Global","Unitário"},0),ROUND(ROUND(BM.MEDAcumulado,15-13*BM!$A$9)/100*BM!$I51,15-13*ORÇAMENTO!$AF$11),ROUND(ROUND(BM.MEDAcumulado,15-13*BM!$A$9)*ROUND(BM!$H51,15-13*ORÇAMENTO!$AF$10),15-13*ORÇAMENTO!$AF$11))),IF($A51=0,0,ROUND(SomaAgrupBM,15-13*ORÇAMENTO!$AF$11)))</f>
        <v>0</v>
      </c>
    </row>
    <row r="52" spans="1:41" ht="13.8" x14ac:dyDescent="0.3">
      <c r="A52">
        <f ca="1">ORÇAMENTO!C52</f>
        <v>2</v>
      </c>
      <c r="B52">
        <f ca="1">ORÇAMENTO!D52</f>
        <v>5</v>
      </c>
      <c r="C52" s="114" t="str">
        <f t="shared" ca="1" si="1"/>
        <v>F</v>
      </c>
      <c r="D52" s="117" t="str">
        <f ca="1">ORÇAMENTO!O52</f>
        <v>1.7.</v>
      </c>
      <c r="E52" s="163" t="str">
        <f t="shared" si="2"/>
        <v xml:space="preserve">ENSAIOS </v>
      </c>
      <c r="F52" s="164" t="str">
        <f ca="1">IF(RegimeExecucao="Global","",ORÇAMENTO.Unidade)</f>
        <v>-</v>
      </c>
      <c r="G52" s="122">
        <f ca="1">IF(RegimeExecucao="Global","",ORÇAMENTO!T52)</f>
        <v>0</v>
      </c>
      <c r="H52" s="122">
        <f ca="1">IF(RegimeExecucao="Global","",ORÇAMENTO!W52)</f>
        <v>0</v>
      </c>
      <c r="I52" s="125">
        <f ca="1">ORÇAMENTO!X52</f>
        <v>1131.9100000000001</v>
      </c>
      <c r="J52" s="333" t="e" cm="1">
        <f t="array" aca="1" ref="J52" ca="1">_xlfn.SINGLE(IF($A52="S",IF(CAIXA.Modo,BM.AFAnterior,BM.MEDAnterior),IF(AND(_xlfn.SINGLE(RegimeExecucao)="Global",$I52&gt;0,COUNTIF($AB$13:$AM$13,BM.medicao-1)&gt;0),M52/$I52*100,0)))</f>
        <v>#NAME?</v>
      </c>
      <c r="K52" s="122" t="e">
        <f t="shared" ca="1" si="3"/>
        <v>#NAME?</v>
      </c>
      <c r="L52" s="334" t="e" cm="1">
        <f t="array" aca="1" ref="L52" ca="1">_xlfn.SINGLE(IF($A52="S",IF(CAIXA.Modo,BM.AFAcumulado,BM.MEDAcumulado),IF(AND(_xlfn.SINGLE(RegimeExecucao)="Global",$I52&gt;0,COUNTIF($AB$13:$AM$13,BM.medicao)&gt;0),O52/$I52*100,0)))</f>
        <v>#NAME?</v>
      </c>
      <c r="M52" s="335" t="e">
        <f ca="1">IF($A52="S",VTOTALBM,IF($A52=0,0,ROUND(SomaAgrupBM,15-13*ORÇAMENTO!$AF$11)))</f>
        <v>#NAME?</v>
      </c>
      <c r="N52" s="336" t="e">
        <f t="shared" ca="1" si="4"/>
        <v>#NAME?</v>
      </c>
      <c r="O52" s="125" t="e">
        <f ca="1">IF($A52="S",VTOTALBM,IF($A52=0,0,ROUND(SomaAgrupBM,15-13*ORÇAMENTO!$AF$11)))</f>
        <v>#NAME?</v>
      </c>
      <c r="Q52" s="337"/>
      <c r="R52" s="338"/>
      <c r="T52" s="117" t="e">
        <f t="shared" ca="1" si="5"/>
        <v>#NAME?</v>
      </c>
      <c r="U52" s="163" t="e">
        <f t="shared" ca="1" si="6"/>
        <v>#NAME?</v>
      </c>
      <c r="V52" s="164" t="e">
        <f ca="1">IF(AND($W52&gt;0,RegimeExecucao="Unitário"),$F52,"")</f>
        <v>#NAME?</v>
      </c>
      <c r="W52" s="454" t="e">
        <f ca="1">IF($Y52&gt;0,CHOOSE(MATCH(RegimeExecucao,{"Unitário","Global"},0),IF($A52="S",$Y52/$X52,""),($Y52/$X52)*100),0)</f>
        <v>#NAME?</v>
      </c>
      <c r="X52" s="339" t="e">
        <f ca="1">IF($Y52&gt;0,CHOOSE(MATCH(RegimeExecucao,{"Unitário","Global"},0),IF($A52="S",ROUND($H52,ORÇAMENTO!$AF$10),""),ROUND($I52,ORÇAMENTO!$AF$11)),"")</f>
        <v>#NAME?</v>
      </c>
      <c r="Y52" s="339" t="e">
        <f t="shared" ca="1" si="7"/>
        <v>#NAME?</v>
      </c>
      <c r="Z52" s="473"/>
      <c r="AB52" s="337"/>
      <c r="AC52" s="437"/>
      <c r="AD52" s="437"/>
      <c r="AE52" s="437"/>
      <c r="AF52" s="437"/>
      <c r="AG52" s="437"/>
      <c r="AH52" s="437"/>
      <c r="AI52" s="437"/>
      <c r="AJ52" s="437"/>
      <c r="AK52" s="437"/>
      <c r="AL52" s="437"/>
      <c r="AM52" s="338"/>
      <c r="AO52">
        <f ca="1">IF($A52="S",IF(BM!$I52=0,0,CHOOSE(MATCH(RegimeExecucao,{"Global","Unitário"},0),ROUND(ROUND(BM.MEDAcumulado,15-13*BM!$A$9)/100*BM!$I52,15-13*ORÇAMENTO!$AF$11),ROUND(ROUND(BM.MEDAcumulado,15-13*BM!$A$9)*ROUND(BM!$H52,15-13*ORÇAMENTO!$AF$10),15-13*ORÇAMENTO!$AF$11))),IF($A52=0,0,ROUND(SomaAgrupBM,15-13*ORÇAMENTO!$AF$11)))</f>
        <v>0</v>
      </c>
    </row>
    <row r="53" spans="1:41" ht="26.4" x14ac:dyDescent="0.3">
      <c r="A53" t="str">
        <f ca="1">ORÇAMENTO!C53</f>
        <v>S</v>
      </c>
      <c r="B53">
        <f ca="1">ORÇAMENTO!D53</f>
        <v>0</v>
      </c>
      <c r="C53" s="114" t="str">
        <f t="shared" ca="1" si="1"/>
        <v>F</v>
      </c>
      <c r="D53" s="117" t="str">
        <f ca="1">ORÇAMENTO!O53</f>
        <v>1.7.1.</v>
      </c>
      <c r="E53" s="163" t="str">
        <f t="shared" ca="1" si="2"/>
        <v>ENSAIO DE DETERMINAÇÃO DO TEOR DE BETUME - SOXHLET - CIMENTO ASFALTICO DE PETROLEO</v>
      </c>
      <c r="F53" s="164" t="str">
        <f ca="1">IF(RegimeExecucao="Global","",ORÇAMENTO.Unidade)</f>
        <v>UN</v>
      </c>
      <c r="G53" s="122">
        <f ca="1">IF(RegimeExecucao="Global","",ORÇAMENTO!T53)</f>
        <v>1</v>
      </c>
      <c r="H53" s="122">
        <f ca="1">IF(RegimeExecucao="Global","",ORÇAMENTO!W53)</f>
        <v>260.79000000000002</v>
      </c>
      <c r="I53" s="125">
        <f ca="1">ORÇAMENTO!X53</f>
        <v>260.79000000000002</v>
      </c>
      <c r="J53" s="333" t="e" cm="1">
        <f t="array" aca="1" ref="J53" ca="1">_xlfn.SINGLE(IF($A53="S",IF(CAIXA.Modo,BM.AFAnterior,BM.MEDAnterior),IF(AND(_xlfn.SINGLE(RegimeExecucao)="Global",$I53&gt;0,COUNTIF($AB$13:$AM$13,BM.medicao-1)&gt;0),M53/$I53*100,0)))</f>
        <v>#NAME?</v>
      </c>
      <c r="K53" s="122" t="e">
        <f t="shared" ca="1" si="3"/>
        <v>#NAME?</v>
      </c>
      <c r="L53" s="334" t="e" cm="1">
        <f t="array" aca="1" ref="L53" ca="1">_xlfn.SINGLE(IF($A53="S",IF(CAIXA.Modo,BM.AFAcumulado,BM.MEDAcumulado),IF(AND(_xlfn.SINGLE(RegimeExecucao)="Global",$I53&gt;0,COUNTIF($AB$13:$AM$13,BM.medicao)&gt;0),O53/$I53*100,0)))</f>
        <v>#NAME?</v>
      </c>
      <c r="M53" s="335" t="e">
        <f ca="1">IF($A53="S",VTOTALBM,IF($A53=0,0,ROUND(SomaAgrupBM,15-13*ORÇAMENTO!$AF$11)))</f>
        <v>#NAME?</v>
      </c>
      <c r="N53" s="336" t="e">
        <f t="shared" ca="1" si="4"/>
        <v>#NAME?</v>
      </c>
      <c r="O53" s="125" t="e">
        <f ca="1">IF($A53="S",VTOTALBM,IF($A53=0,0,ROUND(SomaAgrupBM,15-13*ORÇAMENTO!$AF$11)))</f>
        <v>#NAME?</v>
      </c>
      <c r="Q53" s="337"/>
      <c r="R53" s="338"/>
      <c r="T53" s="117" t="e">
        <f t="shared" ca="1" si="5"/>
        <v>#NAME?</v>
      </c>
      <c r="U53" s="163" t="e">
        <f t="shared" ca="1" si="6"/>
        <v>#NAME?</v>
      </c>
      <c r="V53" s="164" t="e">
        <f ca="1">IF(AND($W53&gt;0,RegimeExecucao="Unitário"),$F53,"")</f>
        <v>#NAME?</v>
      </c>
      <c r="W53" s="454" t="e">
        <f ca="1">IF($Y53&gt;0,CHOOSE(MATCH(RegimeExecucao,{"Unitário","Global"},0),IF($A53="S",$Y53/$X53,""),($Y53/$X53)*100),0)</f>
        <v>#NAME?</v>
      </c>
      <c r="X53" s="339" t="e">
        <f ca="1">IF($Y53&gt;0,CHOOSE(MATCH(RegimeExecucao,{"Unitário","Global"},0),IF($A53="S",ROUND($H53,ORÇAMENTO!$AF$10),""),ROUND($I53,ORÇAMENTO!$AF$11)),"")</f>
        <v>#NAME?</v>
      </c>
      <c r="Y53" s="339" t="e">
        <f t="shared" ca="1" si="7"/>
        <v>#NAME?</v>
      </c>
      <c r="Z53" s="473"/>
      <c r="AB53" s="337"/>
      <c r="AC53" s="437"/>
      <c r="AD53" s="437"/>
      <c r="AE53" s="437"/>
      <c r="AF53" s="437"/>
      <c r="AG53" s="437"/>
      <c r="AH53" s="437"/>
      <c r="AI53" s="437"/>
      <c r="AJ53" s="437"/>
      <c r="AK53" s="437"/>
      <c r="AL53" s="437"/>
      <c r="AM53" s="338"/>
      <c r="AO53">
        <f ca="1">IF($A53="S",IF(BM!$I53=0,0,CHOOSE(MATCH(RegimeExecucao,{"Global","Unitário"},0),ROUND(ROUND(BM.MEDAcumulado,15-13*BM!$A$9)/100*BM!$I53,15-13*ORÇAMENTO!$AF$11),ROUND(ROUND(BM.MEDAcumulado,15-13*BM!$A$9)*ROUND(BM!$H53,15-13*ORÇAMENTO!$AF$10),15-13*ORÇAMENTO!$AF$11))),IF($A53=0,0,ROUND(SomaAgrupBM,15-13*ORÇAMENTO!$AF$11)))</f>
        <v>0</v>
      </c>
    </row>
    <row r="54" spans="1:41" ht="13.8" x14ac:dyDescent="0.3">
      <c r="A54" t="str">
        <f ca="1">ORÇAMENTO!C54</f>
        <v>S</v>
      </c>
      <c r="B54">
        <f ca="1">ORÇAMENTO!D54</f>
        <v>0</v>
      </c>
      <c r="C54" s="114" t="str">
        <f t="shared" ca="1" si="1"/>
        <v>F</v>
      </c>
      <c r="D54" s="117" t="str">
        <f ca="1">ORÇAMENTO!O54</f>
        <v>1.7.2.</v>
      </c>
      <c r="E54" s="163" t="str">
        <f t="shared" ca="1" si="2"/>
        <v xml:space="preserve">ENSAIO MARSHALL - MISTURA BETUMINOSA À QUENTE </v>
      </c>
      <c r="F54" s="164" t="str">
        <f ca="1">IF(RegimeExecucao="Global","",ORÇAMENTO.Unidade)</f>
        <v>UN</v>
      </c>
      <c r="G54" s="122">
        <f ca="1">IF(RegimeExecucao="Global","",ORÇAMENTO!T54)</f>
        <v>1</v>
      </c>
      <c r="H54" s="122">
        <f ca="1">IF(RegimeExecucao="Global","",ORÇAMENTO!W54)</f>
        <v>521.61</v>
      </c>
      <c r="I54" s="125">
        <f ca="1">ORÇAMENTO!X54</f>
        <v>521.61</v>
      </c>
      <c r="J54" s="333" t="e" cm="1">
        <f t="array" aca="1" ref="J54" ca="1">_xlfn.SINGLE(IF($A54="S",IF(CAIXA.Modo,BM.AFAnterior,BM.MEDAnterior),IF(AND(_xlfn.SINGLE(RegimeExecucao)="Global",$I54&gt;0,COUNTIF($AB$13:$AM$13,BM.medicao-1)&gt;0),M54/$I54*100,0)))</f>
        <v>#NAME?</v>
      </c>
      <c r="K54" s="122" t="e">
        <f t="shared" ca="1" si="3"/>
        <v>#NAME?</v>
      </c>
      <c r="L54" s="334" t="e" cm="1">
        <f t="array" aca="1" ref="L54" ca="1">_xlfn.SINGLE(IF($A54="S",IF(CAIXA.Modo,BM.AFAcumulado,BM.MEDAcumulado),IF(AND(_xlfn.SINGLE(RegimeExecucao)="Global",$I54&gt;0,COUNTIF($AB$13:$AM$13,BM.medicao)&gt;0),O54/$I54*100,0)))</f>
        <v>#NAME?</v>
      </c>
      <c r="M54" s="335" t="e">
        <f ca="1">IF($A54="S",VTOTALBM,IF($A54=0,0,ROUND(SomaAgrupBM,15-13*ORÇAMENTO!$AF$11)))</f>
        <v>#NAME?</v>
      </c>
      <c r="N54" s="336" t="e">
        <f t="shared" ca="1" si="4"/>
        <v>#NAME?</v>
      </c>
      <c r="O54" s="125" t="e">
        <f ca="1">IF($A54="S",VTOTALBM,IF($A54=0,0,ROUND(SomaAgrupBM,15-13*ORÇAMENTO!$AF$11)))</f>
        <v>#NAME?</v>
      </c>
      <c r="Q54" s="337"/>
      <c r="R54" s="338"/>
      <c r="T54" s="117" t="e">
        <f t="shared" ca="1" si="5"/>
        <v>#NAME?</v>
      </c>
      <c r="U54" s="163" t="e">
        <f t="shared" ca="1" si="6"/>
        <v>#NAME?</v>
      </c>
      <c r="V54" s="164" t="e">
        <f ca="1">IF(AND($W54&gt;0,RegimeExecucao="Unitário"),$F54,"")</f>
        <v>#NAME?</v>
      </c>
      <c r="W54" s="454" t="e">
        <f ca="1">IF($Y54&gt;0,CHOOSE(MATCH(RegimeExecucao,{"Unitário","Global"},0),IF($A54="S",$Y54/$X54,""),($Y54/$X54)*100),0)</f>
        <v>#NAME?</v>
      </c>
      <c r="X54" s="339" t="e">
        <f ca="1">IF($Y54&gt;0,CHOOSE(MATCH(RegimeExecucao,{"Unitário","Global"},0),IF($A54="S",ROUND($H54,ORÇAMENTO!$AF$10),""),ROUND($I54,ORÇAMENTO!$AF$11)),"")</f>
        <v>#NAME?</v>
      </c>
      <c r="Y54" s="339" t="e">
        <f t="shared" ca="1" si="7"/>
        <v>#NAME?</v>
      </c>
      <c r="Z54" s="473"/>
      <c r="AB54" s="337"/>
      <c r="AC54" s="437"/>
      <c r="AD54" s="437"/>
      <c r="AE54" s="437"/>
      <c r="AF54" s="437"/>
      <c r="AG54" s="437"/>
      <c r="AH54" s="437"/>
      <c r="AI54" s="437"/>
      <c r="AJ54" s="437"/>
      <c r="AK54" s="437"/>
      <c r="AL54" s="437"/>
      <c r="AM54" s="338"/>
      <c r="AO54">
        <f ca="1">IF($A54="S",IF(BM!$I54=0,0,CHOOSE(MATCH(RegimeExecucao,{"Global","Unitário"},0),ROUND(ROUND(BM.MEDAcumulado,15-13*BM!$A$9)/100*BM!$I54,15-13*ORÇAMENTO!$AF$11),ROUND(ROUND(BM.MEDAcumulado,15-13*BM!$A$9)*ROUND(BM!$H54,15-13*ORÇAMENTO!$AF$10),15-13*ORÇAMENTO!$AF$11))),IF($A54=0,0,ROUND(SomaAgrupBM,15-13*ORÇAMENTO!$AF$11)))</f>
        <v>0</v>
      </c>
    </row>
    <row r="55" spans="1:41" ht="39.6" x14ac:dyDescent="0.3">
      <c r="A55" t="str">
        <f ca="1">ORÇAMENTO!C55</f>
        <v>S</v>
      </c>
      <c r="B55">
        <f ca="1">ORÇAMENTO!D55</f>
        <v>0</v>
      </c>
      <c r="C55" s="114" t="str">
        <f t="shared" ca="1" si="1"/>
        <v>F</v>
      </c>
      <c r="D55" s="117" t="str">
        <f ca="1">ORÇAMENTO!O55</f>
        <v>1.7.3.</v>
      </c>
      <c r="E55" s="163" t="str">
        <f t="shared" ca="1" si="2"/>
        <v xml:space="preserve">ENSAIO DE CONTROLE DO GRAU DE COMPACTAÇÃO, DENSIDADE E ESPESSURA DA MASSA ASFÁLTICA COM COLETA ATRAVÉS DE SONDA ROTATIVA </v>
      </c>
      <c r="F55" s="164" t="str">
        <f ca="1">IF(RegimeExecucao="Global","",ORÇAMENTO.Unidade)</f>
        <v>UN</v>
      </c>
      <c r="G55" s="122">
        <f ca="1">IF(RegimeExecucao="Global","",ORÇAMENTO!T55)</f>
        <v>1</v>
      </c>
      <c r="H55" s="122">
        <f ca="1">IF(RegimeExecucao="Global","",ORÇAMENTO!W55)</f>
        <v>136.72999999999999</v>
      </c>
      <c r="I55" s="125">
        <f ca="1">ORÇAMENTO!X55</f>
        <v>136.72999999999999</v>
      </c>
      <c r="J55" s="333" t="e" cm="1">
        <f t="array" aca="1" ref="J55" ca="1">_xlfn.SINGLE(IF($A55="S",IF(CAIXA.Modo,BM.AFAnterior,BM.MEDAnterior),IF(AND(_xlfn.SINGLE(RegimeExecucao)="Global",$I55&gt;0,COUNTIF($AB$13:$AM$13,BM.medicao-1)&gt;0),M55/$I55*100,0)))</f>
        <v>#NAME?</v>
      </c>
      <c r="K55" s="122" t="e">
        <f t="shared" ca="1" si="3"/>
        <v>#NAME?</v>
      </c>
      <c r="L55" s="334" t="e" cm="1">
        <f t="array" aca="1" ref="L55" ca="1">_xlfn.SINGLE(IF($A55="S",IF(CAIXA.Modo,BM.AFAcumulado,BM.MEDAcumulado),IF(AND(_xlfn.SINGLE(RegimeExecucao)="Global",$I55&gt;0,COUNTIF($AB$13:$AM$13,BM.medicao)&gt;0),O55/$I55*100,0)))</f>
        <v>#NAME?</v>
      </c>
      <c r="M55" s="335" t="e">
        <f ca="1">IF($A55="S",VTOTALBM,IF($A55=0,0,ROUND(SomaAgrupBM,15-13*ORÇAMENTO!$AF$11)))</f>
        <v>#NAME?</v>
      </c>
      <c r="N55" s="336" t="e">
        <f t="shared" ca="1" si="4"/>
        <v>#NAME?</v>
      </c>
      <c r="O55" s="125" t="e">
        <f ca="1">IF($A55="S",VTOTALBM,IF($A55=0,0,ROUND(SomaAgrupBM,15-13*ORÇAMENTO!$AF$11)))</f>
        <v>#NAME?</v>
      </c>
      <c r="Q55" s="337"/>
      <c r="R55" s="338"/>
      <c r="T55" s="117" t="e">
        <f t="shared" ca="1" si="5"/>
        <v>#NAME?</v>
      </c>
      <c r="U55" s="163" t="e">
        <f t="shared" ca="1" si="6"/>
        <v>#NAME?</v>
      </c>
      <c r="V55" s="164" t="e">
        <f ca="1">IF(AND($W55&gt;0,RegimeExecucao="Unitário"),$F55,"")</f>
        <v>#NAME?</v>
      </c>
      <c r="W55" s="454" t="e">
        <f ca="1">IF($Y55&gt;0,CHOOSE(MATCH(RegimeExecucao,{"Unitário","Global"},0),IF($A55="S",$Y55/$X55,""),($Y55/$X55)*100),0)</f>
        <v>#NAME?</v>
      </c>
      <c r="X55" s="339" t="e">
        <f ca="1">IF($Y55&gt;0,CHOOSE(MATCH(RegimeExecucao,{"Unitário","Global"},0),IF($A55="S",ROUND($H55,ORÇAMENTO!$AF$10),""),ROUND($I55,ORÇAMENTO!$AF$11)),"")</f>
        <v>#NAME?</v>
      </c>
      <c r="Y55" s="339" t="e">
        <f t="shared" ca="1" si="7"/>
        <v>#NAME?</v>
      </c>
      <c r="Z55" s="473"/>
      <c r="AB55" s="337"/>
      <c r="AC55" s="437"/>
      <c r="AD55" s="437"/>
      <c r="AE55" s="437"/>
      <c r="AF55" s="437"/>
      <c r="AG55" s="437"/>
      <c r="AH55" s="437"/>
      <c r="AI55" s="437"/>
      <c r="AJ55" s="437"/>
      <c r="AK55" s="437"/>
      <c r="AL55" s="437"/>
      <c r="AM55" s="338"/>
      <c r="AO55">
        <f ca="1">IF($A55="S",IF(BM!$I55=0,0,CHOOSE(MATCH(RegimeExecucao,{"Global","Unitário"},0),ROUND(ROUND(BM.MEDAcumulado,15-13*BM!$A$9)/100*BM!$I55,15-13*ORÇAMENTO!$AF$11),ROUND(ROUND(BM.MEDAcumulado,15-13*BM!$A$9)*ROUND(BM!$H55,15-13*ORÇAMENTO!$AF$10),15-13*ORÇAMENTO!$AF$11))),IF($A55=0,0,ROUND(SomaAgrupBM,15-13*ORÇAMENTO!$AF$11)))</f>
        <v>0</v>
      </c>
    </row>
    <row r="56" spans="1:41" ht="13.8" x14ac:dyDescent="0.3">
      <c r="A56" t="str">
        <f ca="1">ORÇAMENTO!C56</f>
        <v>S</v>
      </c>
      <c r="B56">
        <f ca="1">ORÇAMENTO!D56</f>
        <v>0</v>
      </c>
      <c r="C56" s="114" t="str">
        <f t="shared" ca="1" si="1"/>
        <v>F</v>
      </c>
      <c r="D56" s="117" t="str">
        <f ca="1">ORÇAMENTO!O56</f>
        <v>1.7.4.</v>
      </c>
      <c r="E56" s="163" t="str">
        <f t="shared" ca="1" si="2"/>
        <v xml:space="preserve">ENSAIO BANDEJA DO LIGANTE DE PINTURA </v>
      </c>
      <c r="F56" s="164" t="str">
        <f ca="1">IF(RegimeExecucao="Global","",ORÇAMENTO.Unidade)</f>
        <v>UN</v>
      </c>
      <c r="G56" s="122">
        <f ca="1">IF(RegimeExecucao="Global","",ORÇAMENTO!T56)</f>
        <v>1</v>
      </c>
      <c r="H56" s="122">
        <f ca="1">IF(RegimeExecucao="Global","",ORÇAMENTO!W56)</f>
        <v>212.78</v>
      </c>
      <c r="I56" s="125">
        <f ca="1">ORÇAMENTO!X56</f>
        <v>212.78</v>
      </c>
      <c r="J56" s="333" t="e" cm="1">
        <f t="array" aca="1" ref="J56" ca="1">_xlfn.SINGLE(IF($A56="S",IF(CAIXA.Modo,BM.AFAnterior,BM.MEDAnterior),IF(AND(_xlfn.SINGLE(RegimeExecucao)="Global",$I56&gt;0,COUNTIF($AB$13:$AM$13,BM.medicao-1)&gt;0),M56/$I56*100,0)))</f>
        <v>#NAME?</v>
      </c>
      <c r="K56" s="122" t="e">
        <f t="shared" ca="1" si="3"/>
        <v>#NAME?</v>
      </c>
      <c r="L56" s="334" t="e" cm="1">
        <f t="array" aca="1" ref="L56" ca="1">_xlfn.SINGLE(IF($A56="S",IF(CAIXA.Modo,BM.AFAcumulado,BM.MEDAcumulado),IF(AND(_xlfn.SINGLE(RegimeExecucao)="Global",$I56&gt;0,COUNTIF($AB$13:$AM$13,BM.medicao)&gt;0),O56/$I56*100,0)))</f>
        <v>#NAME?</v>
      </c>
      <c r="M56" s="335" t="e">
        <f ca="1">IF($A56="S",VTOTALBM,IF($A56=0,0,ROUND(SomaAgrupBM,15-13*ORÇAMENTO!$AF$11)))</f>
        <v>#NAME?</v>
      </c>
      <c r="N56" s="336" t="e">
        <f t="shared" ca="1" si="4"/>
        <v>#NAME?</v>
      </c>
      <c r="O56" s="125" t="e">
        <f ca="1">IF($A56="S",VTOTALBM,IF($A56=0,0,ROUND(SomaAgrupBM,15-13*ORÇAMENTO!$AF$11)))</f>
        <v>#NAME?</v>
      </c>
      <c r="Q56" s="337"/>
      <c r="R56" s="338"/>
      <c r="T56" s="117" t="e">
        <f t="shared" ca="1" si="5"/>
        <v>#NAME?</v>
      </c>
      <c r="U56" s="163" t="e">
        <f t="shared" ca="1" si="6"/>
        <v>#NAME?</v>
      </c>
      <c r="V56" s="164" t="e">
        <f ca="1">IF(AND($W56&gt;0,RegimeExecucao="Unitário"),$F56,"")</f>
        <v>#NAME?</v>
      </c>
      <c r="W56" s="454" t="e">
        <f ca="1">IF($Y56&gt;0,CHOOSE(MATCH(RegimeExecucao,{"Unitário","Global"},0),IF($A56="S",$Y56/$X56,""),($Y56/$X56)*100),0)</f>
        <v>#NAME?</v>
      </c>
      <c r="X56" s="339" t="e">
        <f ca="1">IF($Y56&gt;0,CHOOSE(MATCH(RegimeExecucao,{"Unitário","Global"},0),IF($A56="S",ROUND($H56,ORÇAMENTO!$AF$10),""),ROUND($I56,ORÇAMENTO!$AF$11)),"")</f>
        <v>#NAME?</v>
      </c>
      <c r="Y56" s="339" t="e">
        <f t="shared" ca="1" si="7"/>
        <v>#NAME?</v>
      </c>
      <c r="Z56" s="473"/>
      <c r="AB56" s="337"/>
      <c r="AC56" s="437"/>
      <c r="AD56" s="437"/>
      <c r="AE56" s="437"/>
      <c r="AF56" s="437"/>
      <c r="AG56" s="437"/>
      <c r="AH56" s="437"/>
      <c r="AI56" s="437"/>
      <c r="AJ56" s="437"/>
      <c r="AK56" s="437"/>
      <c r="AL56" s="437"/>
      <c r="AM56" s="338"/>
      <c r="AO56">
        <f ca="1">IF($A56="S",IF(BM!$I56=0,0,CHOOSE(MATCH(RegimeExecucao,{"Global","Unitário"},0),ROUND(ROUND(BM.MEDAcumulado,15-13*BM!$A$9)/100*BM!$I56,15-13*ORÇAMENTO!$AF$11),ROUND(ROUND(BM.MEDAcumulado,15-13*BM!$A$9)*ROUND(BM!$H56,15-13*ORÇAMENTO!$AF$10),15-13*ORÇAMENTO!$AF$11))),IF($A56=0,0,ROUND(SomaAgrupBM,15-13*ORÇAMENTO!$AF$11)))</f>
        <v>0</v>
      </c>
    </row>
    <row r="57" spans="1:41" ht="26.4" x14ac:dyDescent="0.3">
      <c r="A57">
        <f ca="1">ORÇAMENTO!C57</f>
        <v>1</v>
      </c>
      <c r="B57">
        <f ca="1">ORÇAMENTO!D57</f>
        <v>36</v>
      </c>
      <c r="C57" s="114" t="str">
        <f t="shared" ca="1" si="1"/>
        <v>F</v>
      </c>
      <c r="D57" s="117" t="str">
        <f ca="1">ORÇAMENTO!O57</f>
        <v>2.</v>
      </c>
      <c r="E57" s="163" t="str">
        <f t="shared" si="2"/>
        <v>REPERFILAMENTO EM CBUQ SOBRE CALÇAMENTO ESTRADA DE ACESSO À SANGA DO LEÃO (TRECHO 3)</v>
      </c>
      <c r="F57" s="164" t="str">
        <f ca="1">IF(RegimeExecucao="Global","",ORÇAMENTO.Unidade)</f>
        <v>-</v>
      </c>
      <c r="G57" s="122">
        <f ca="1">IF(RegimeExecucao="Global","",ORÇAMENTO!T57)</f>
        <v>0</v>
      </c>
      <c r="H57" s="122">
        <f ca="1">IF(RegimeExecucao="Global","",ORÇAMENTO!W57)</f>
        <v>0</v>
      </c>
      <c r="I57" s="125">
        <f ca="1">ORÇAMENTO!X57</f>
        <v>138878</v>
      </c>
      <c r="J57" s="333" t="e" cm="1">
        <f t="array" aca="1" ref="J57" ca="1">_xlfn.SINGLE(IF($A57="S",IF(CAIXA.Modo,BM.AFAnterior,BM.MEDAnterior),IF(AND(_xlfn.SINGLE(RegimeExecucao)="Global",$I57&gt;0,COUNTIF($AB$13:$AM$13,BM.medicao-1)&gt;0),M57/$I57*100,0)))</f>
        <v>#NAME?</v>
      </c>
      <c r="K57" s="122" t="e">
        <f t="shared" ca="1" si="3"/>
        <v>#NAME?</v>
      </c>
      <c r="L57" s="334" t="e" cm="1">
        <f t="array" aca="1" ref="L57" ca="1">_xlfn.SINGLE(IF($A57="S",IF(CAIXA.Modo,BM.AFAcumulado,BM.MEDAcumulado),IF(AND(_xlfn.SINGLE(RegimeExecucao)="Global",$I57&gt;0,COUNTIF($AB$13:$AM$13,BM.medicao)&gt;0),O57/$I57*100,0)))</f>
        <v>#NAME?</v>
      </c>
      <c r="M57" s="335" t="e">
        <f ca="1">IF($A57="S",VTOTALBM,IF($A57=0,0,ROUND(SomaAgrupBM,15-13*ORÇAMENTO!$AF$11)))</f>
        <v>#NAME?</v>
      </c>
      <c r="N57" s="336" t="e">
        <f t="shared" ca="1" si="4"/>
        <v>#NAME?</v>
      </c>
      <c r="O57" s="125" t="e">
        <f ca="1">IF($A57="S",VTOTALBM,IF($A57=0,0,ROUND(SomaAgrupBM,15-13*ORÇAMENTO!$AF$11)))</f>
        <v>#NAME?</v>
      </c>
      <c r="Q57" s="337"/>
      <c r="R57" s="338"/>
      <c r="T57" s="117" t="e">
        <f t="shared" ca="1" si="5"/>
        <v>#NAME?</v>
      </c>
      <c r="U57" s="163" t="e">
        <f t="shared" ca="1" si="6"/>
        <v>#NAME?</v>
      </c>
      <c r="V57" s="164" t="e">
        <f ca="1">IF(AND($W57&gt;0,RegimeExecucao="Unitário"),$F57,"")</f>
        <v>#NAME?</v>
      </c>
      <c r="W57" s="454" t="e">
        <f ca="1">IF($Y57&gt;0,CHOOSE(MATCH(RegimeExecucao,{"Unitário","Global"},0),IF($A57="S",$Y57/$X57,""),($Y57/$X57)*100),0)</f>
        <v>#NAME?</v>
      </c>
      <c r="X57" s="339" t="e">
        <f ca="1">IF($Y57&gt;0,CHOOSE(MATCH(RegimeExecucao,{"Unitário","Global"},0),IF($A57="S",ROUND($H57,ORÇAMENTO!$AF$10),""),ROUND($I57,ORÇAMENTO!$AF$11)),"")</f>
        <v>#NAME?</v>
      </c>
      <c r="Y57" s="339" t="e">
        <f t="shared" ca="1" si="7"/>
        <v>#NAME?</v>
      </c>
      <c r="Z57" s="473"/>
      <c r="AB57" s="337"/>
      <c r="AC57" s="437"/>
      <c r="AD57" s="437"/>
      <c r="AE57" s="437"/>
      <c r="AF57" s="437"/>
      <c r="AG57" s="437"/>
      <c r="AH57" s="437"/>
      <c r="AI57" s="437"/>
      <c r="AJ57" s="437"/>
      <c r="AK57" s="437"/>
      <c r="AL57" s="437"/>
      <c r="AM57" s="338"/>
      <c r="AO57">
        <f ca="1">IF($A57="S",IF(BM!$I57=0,0,CHOOSE(MATCH(RegimeExecucao,{"Global","Unitário"},0),ROUND(ROUND(BM.MEDAcumulado,15-13*BM!$A$9)/100*BM!$I57,15-13*ORÇAMENTO!$AF$11),ROUND(ROUND(BM.MEDAcumulado,15-13*BM!$A$9)*ROUND(BM!$H57,15-13*ORÇAMENTO!$AF$10),15-13*ORÇAMENTO!$AF$11))),IF($A57=0,0,ROUND(SomaAgrupBM,15-13*ORÇAMENTO!$AF$11)))</f>
        <v>0</v>
      </c>
    </row>
    <row r="58" spans="1:41" ht="13.8" x14ac:dyDescent="0.3">
      <c r="A58">
        <f ca="1">ORÇAMENTO!C58</f>
        <v>2</v>
      </c>
      <c r="B58">
        <f ca="1">ORÇAMENTO!D58</f>
        <v>2</v>
      </c>
      <c r="C58" s="114" t="str">
        <f t="shared" ca="1" si="1"/>
        <v>F</v>
      </c>
      <c r="D58" s="117" t="str">
        <f ca="1">ORÇAMENTO!O58</f>
        <v>2.1.</v>
      </c>
      <c r="E58" s="163" t="str">
        <f t="shared" si="2"/>
        <v>SERVIÇOS INICIAIS</v>
      </c>
      <c r="F58" s="164" t="str">
        <f ca="1">IF(RegimeExecucao="Global","",ORÇAMENTO.Unidade)</f>
        <v>-</v>
      </c>
      <c r="G58" s="122">
        <f ca="1">IF(RegimeExecucao="Global","",ORÇAMENTO!T58)</f>
        <v>0</v>
      </c>
      <c r="H58" s="122">
        <f ca="1">IF(RegimeExecucao="Global","",ORÇAMENTO!W58)</f>
        <v>0</v>
      </c>
      <c r="I58" s="125">
        <f ca="1">ORÇAMENTO!X58</f>
        <v>4693.45</v>
      </c>
      <c r="J58" s="333" t="e" cm="1">
        <f t="array" aca="1" ref="J58" ca="1">_xlfn.SINGLE(IF($A58="S",IF(CAIXA.Modo,BM.AFAnterior,BM.MEDAnterior),IF(AND(_xlfn.SINGLE(RegimeExecucao)="Global",$I58&gt;0,COUNTIF($AB$13:$AM$13,BM.medicao-1)&gt;0),M58/$I58*100,0)))</f>
        <v>#NAME?</v>
      </c>
      <c r="K58" s="122" t="e">
        <f t="shared" ca="1" si="3"/>
        <v>#NAME?</v>
      </c>
      <c r="L58" s="334" t="e" cm="1">
        <f t="array" aca="1" ref="L58" ca="1">_xlfn.SINGLE(IF($A58="S",IF(CAIXA.Modo,BM.AFAcumulado,BM.MEDAcumulado),IF(AND(_xlfn.SINGLE(RegimeExecucao)="Global",$I58&gt;0,COUNTIF($AB$13:$AM$13,BM.medicao)&gt;0),O58/$I58*100,0)))</f>
        <v>#NAME?</v>
      </c>
      <c r="M58" s="335" t="e">
        <f ca="1">IF($A58="S",VTOTALBM,IF($A58=0,0,ROUND(SomaAgrupBM,15-13*ORÇAMENTO!$AF$11)))</f>
        <v>#NAME?</v>
      </c>
      <c r="N58" s="336" t="e">
        <f t="shared" ca="1" si="4"/>
        <v>#NAME?</v>
      </c>
      <c r="O58" s="125" t="e">
        <f ca="1">IF($A58="S",VTOTALBM,IF($A58=0,0,ROUND(SomaAgrupBM,15-13*ORÇAMENTO!$AF$11)))</f>
        <v>#NAME?</v>
      </c>
      <c r="Q58" s="337"/>
      <c r="R58" s="338"/>
      <c r="T58" s="117" t="e">
        <f t="shared" ca="1" si="5"/>
        <v>#NAME?</v>
      </c>
      <c r="U58" s="163" t="e">
        <f t="shared" ca="1" si="6"/>
        <v>#NAME?</v>
      </c>
      <c r="V58" s="164" t="e">
        <f ca="1">IF(AND($W58&gt;0,RegimeExecucao="Unitário"),$F58,"")</f>
        <v>#NAME?</v>
      </c>
      <c r="W58" s="454" t="e">
        <f ca="1">IF($Y58&gt;0,CHOOSE(MATCH(RegimeExecucao,{"Unitário","Global"},0),IF($A58="S",$Y58/$X58,""),($Y58/$X58)*100),0)</f>
        <v>#NAME?</v>
      </c>
      <c r="X58" s="339" t="e">
        <f ca="1">IF($Y58&gt;0,CHOOSE(MATCH(RegimeExecucao,{"Unitário","Global"},0),IF($A58="S",ROUND($H58,ORÇAMENTO!$AF$10),""),ROUND($I58,ORÇAMENTO!$AF$11)),"")</f>
        <v>#NAME?</v>
      </c>
      <c r="Y58" s="339" t="e">
        <f t="shared" ca="1" si="7"/>
        <v>#NAME?</v>
      </c>
      <c r="Z58" s="473"/>
      <c r="AB58" s="337"/>
      <c r="AC58" s="437"/>
      <c r="AD58" s="437"/>
      <c r="AE58" s="437"/>
      <c r="AF58" s="437"/>
      <c r="AG58" s="437"/>
      <c r="AH58" s="437"/>
      <c r="AI58" s="437"/>
      <c r="AJ58" s="437"/>
      <c r="AK58" s="437"/>
      <c r="AL58" s="437"/>
      <c r="AM58" s="338"/>
      <c r="AO58">
        <f ca="1">IF($A58="S",IF(BM!$I58=0,0,CHOOSE(MATCH(RegimeExecucao,{"Global","Unitário"},0),ROUND(ROUND(BM.MEDAcumulado,15-13*BM!$A$9)/100*BM!$I58,15-13*ORÇAMENTO!$AF$11),ROUND(ROUND(BM.MEDAcumulado,15-13*BM!$A$9)*ROUND(BM!$H58,15-13*ORÇAMENTO!$AF$10),15-13*ORÇAMENTO!$AF$11))),IF($A58=0,0,ROUND(SomaAgrupBM,15-13*ORÇAMENTO!$AF$11)))</f>
        <v>0</v>
      </c>
    </row>
    <row r="59" spans="1:41" ht="26.4" x14ac:dyDescent="0.3">
      <c r="A59" t="str">
        <f ca="1">ORÇAMENTO!C59</f>
        <v>S</v>
      </c>
      <c r="B59">
        <f ca="1">ORÇAMENTO!D59</f>
        <v>0</v>
      </c>
      <c r="C59" s="114" t="str">
        <f t="shared" ca="1" si="1"/>
        <v>F</v>
      </c>
      <c r="D59" s="117" t="str">
        <f ca="1">ORÇAMENTO!O59</f>
        <v>2.1.1.</v>
      </c>
      <c r="E59" s="163" t="str">
        <f t="shared" ca="1" si="2"/>
        <v xml:space="preserve">LIMPEZA DE VEGETAÇÃO COM VASSOURA MECANICA E LIMPEZA COM JATO DE ALTA PRESSÃO </v>
      </c>
      <c r="F59" s="164" t="str">
        <f ca="1">IF(RegimeExecucao="Global","",ORÇAMENTO.Unidade)</f>
        <v>M2</v>
      </c>
      <c r="G59" s="122">
        <f ca="1">IF(RegimeExecucao="Global","",ORÇAMENTO!T59)</f>
        <v>1265.08</v>
      </c>
      <c r="H59" s="122">
        <f ca="1">IF(RegimeExecucao="Global","",ORÇAMENTO!W59)</f>
        <v>3.71</v>
      </c>
      <c r="I59" s="125">
        <f ca="1">ORÇAMENTO!X59</f>
        <v>4693.45</v>
      </c>
      <c r="J59" s="333" t="e" cm="1">
        <f t="array" aca="1" ref="J59" ca="1">_xlfn.SINGLE(IF($A59="S",IF(CAIXA.Modo,BM.AFAnterior,BM.MEDAnterior),IF(AND(_xlfn.SINGLE(RegimeExecucao)="Global",$I59&gt;0,COUNTIF($AB$13:$AM$13,BM.medicao-1)&gt;0),M59/$I59*100,0)))</f>
        <v>#NAME?</v>
      </c>
      <c r="K59" s="122" t="e">
        <f t="shared" ca="1" si="3"/>
        <v>#NAME?</v>
      </c>
      <c r="L59" s="334" t="e" cm="1">
        <f t="array" aca="1" ref="L59" ca="1">_xlfn.SINGLE(IF($A59="S",IF(CAIXA.Modo,BM.AFAcumulado,BM.MEDAcumulado),IF(AND(_xlfn.SINGLE(RegimeExecucao)="Global",$I59&gt;0,COUNTIF($AB$13:$AM$13,BM.medicao)&gt;0),O59/$I59*100,0)))</f>
        <v>#NAME?</v>
      </c>
      <c r="M59" s="335" t="e">
        <f ca="1">IF($A59="S",VTOTALBM,IF($A59=0,0,ROUND(SomaAgrupBM,15-13*ORÇAMENTO!$AF$11)))</f>
        <v>#NAME?</v>
      </c>
      <c r="N59" s="336" t="e">
        <f t="shared" ca="1" si="4"/>
        <v>#NAME?</v>
      </c>
      <c r="O59" s="125" t="e">
        <f ca="1">IF($A59="S",VTOTALBM,IF($A59=0,0,ROUND(SomaAgrupBM,15-13*ORÇAMENTO!$AF$11)))</f>
        <v>#NAME?</v>
      </c>
      <c r="Q59" s="337"/>
      <c r="R59" s="338"/>
      <c r="T59" s="117" t="e">
        <f t="shared" ca="1" si="5"/>
        <v>#NAME?</v>
      </c>
      <c r="U59" s="163" t="e">
        <f t="shared" ca="1" si="6"/>
        <v>#NAME?</v>
      </c>
      <c r="V59" s="164" t="e">
        <f ca="1">IF(AND($W59&gt;0,RegimeExecucao="Unitário"),$F59,"")</f>
        <v>#NAME?</v>
      </c>
      <c r="W59" s="454" t="e">
        <f ca="1">IF($Y59&gt;0,CHOOSE(MATCH(RegimeExecucao,{"Unitário","Global"},0),IF($A59="S",$Y59/$X59,""),($Y59/$X59)*100),0)</f>
        <v>#NAME?</v>
      </c>
      <c r="X59" s="339" t="e">
        <f ca="1">IF($Y59&gt;0,CHOOSE(MATCH(RegimeExecucao,{"Unitário","Global"},0),IF($A59="S",ROUND($H59,ORÇAMENTO!$AF$10),""),ROUND($I59,ORÇAMENTO!$AF$11)),"")</f>
        <v>#NAME?</v>
      </c>
      <c r="Y59" s="339" t="e">
        <f t="shared" ca="1" si="7"/>
        <v>#NAME?</v>
      </c>
      <c r="Z59" s="473"/>
      <c r="AB59" s="337"/>
      <c r="AC59" s="437"/>
      <c r="AD59" s="437"/>
      <c r="AE59" s="437"/>
      <c r="AF59" s="437"/>
      <c r="AG59" s="437"/>
      <c r="AH59" s="437"/>
      <c r="AI59" s="437"/>
      <c r="AJ59" s="437"/>
      <c r="AK59" s="437"/>
      <c r="AL59" s="437"/>
      <c r="AM59" s="338"/>
      <c r="AO59">
        <f ca="1">IF($A59="S",IF(BM!$I59=0,0,CHOOSE(MATCH(RegimeExecucao,{"Global","Unitário"},0),ROUND(ROUND(BM.MEDAcumulado,15-13*BM!$A$9)/100*BM!$I59,15-13*ORÇAMENTO!$AF$11),ROUND(ROUND(BM.MEDAcumulado,15-13*BM!$A$9)*ROUND(BM!$H59,15-13*ORÇAMENTO!$AF$10),15-13*ORÇAMENTO!$AF$11))),IF($A59=0,0,ROUND(SomaAgrupBM,15-13*ORÇAMENTO!$AF$11)))</f>
        <v>0</v>
      </c>
    </row>
    <row r="60" spans="1:41" ht="13.8" x14ac:dyDescent="0.3">
      <c r="A60">
        <f ca="1">ORÇAMENTO!C60</f>
        <v>2</v>
      </c>
      <c r="B60">
        <f ca="1">ORÇAMENTO!D60</f>
        <v>6</v>
      </c>
      <c r="C60" s="114" t="str">
        <f t="shared" ca="1" si="1"/>
        <v>F</v>
      </c>
      <c r="D60" s="117" t="str">
        <f ca="1">ORÇAMENTO!O60</f>
        <v>2.2.</v>
      </c>
      <c r="E60" s="163" t="str">
        <f t="shared" si="2"/>
        <v>DRENAGEM</v>
      </c>
      <c r="F60" s="164" t="str">
        <f ca="1">IF(RegimeExecucao="Global","",ORÇAMENTO.Unidade)</f>
        <v>-</v>
      </c>
      <c r="G60" s="122">
        <f ca="1">IF(RegimeExecucao="Global","",ORÇAMENTO!T60)</f>
        <v>0</v>
      </c>
      <c r="H60" s="122">
        <f ca="1">IF(RegimeExecucao="Global","",ORÇAMENTO!W60)</f>
        <v>0</v>
      </c>
      <c r="I60" s="125">
        <f ca="1">ORÇAMENTO!X60</f>
        <v>25925.55</v>
      </c>
      <c r="J60" s="333" t="e" cm="1">
        <f t="array" aca="1" ref="J60" ca="1">_xlfn.SINGLE(IF($A60="S",IF(CAIXA.Modo,BM.AFAnterior,BM.MEDAnterior),IF(AND(_xlfn.SINGLE(RegimeExecucao)="Global",$I60&gt;0,COUNTIF($AB$13:$AM$13,BM.medicao-1)&gt;0),M60/$I60*100,0)))</f>
        <v>#NAME?</v>
      </c>
      <c r="K60" s="122" t="e">
        <f t="shared" ca="1" si="3"/>
        <v>#NAME?</v>
      </c>
      <c r="L60" s="334" t="e" cm="1">
        <f t="array" aca="1" ref="L60" ca="1">_xlfn.SINGLE(IF($A60="S",IF(CAIXA.Modo,BM.AFAcumulado,BM.MEDAcumulado),IF(AND(_xlfn.SINGLE(RegimeExecucao)="Global",$I60&gt;0,COUNTIF($AB$13:$AM$13,BM.medicao)&gt;0),O60/$I60*100,0)))</f>
        <v>#NAME?</v>
      </c>
      <c r="M60" s="335" t="e">
        <f ca="1">IF($A60="S",VTOTALBM,IF($A60=0,0,ROUND(SomaAgrupBM,15-13*ORÇAMENTO!$AF$11)))</f>
        <v>#NAME?</v>
      </c>
      <c r="N60" s="336" t="e">
        <f t="shared" ca="1" si="4"/>
        <v>#NAME?</v>
      </c>
      <c r="O60" s="125" t="e">
        <f ca="1">IF($A60="S",VTOTALBM,IF($A60=0,0,ROUND(SomaAgrupBM,15-13*ORÇAMENTO!$AF$11)))</f>
        <v>#NAME?</v>
      </c>
      <c r="Q60" s="337"/>
      <c r="R60" s="338"/>
      <c r="T60" s="117" t="e">
        <f t="shared" ca="1" si="5"/>
        <v>#NAME?</v>
      </c>
      <c r="U60" s="163" t="e">
        <f t="shared" ca="1" si="6"/>
        <v>#NAME?</v>
      </c>
      <c r="V60" s="164" t="e">
        <f ca="1">IF(AND($W60&gt;0,RegimeExecucao="Unitário"),$F60,"")</f>
        <v>#NAME?</v>
      </c>
      <c r="W60" s="454" t="e">
        <f ca="1">IF($Y60&gt;0,CHOOSE(MATCH(RegimeExecucao,{"Unitário","Global"},0),IF($A60="S",$Y60/$X60,""),($Y60/$X60)*100),0)</f>
        <v>#NAME?</v>
      </c>
      <c r="X60" s="339" t="e">
        <f ca="1">IF($Y60&gt;0,CHOOSE(MATCH(RegimeExecucao,{"Unitário","Global"},0),IF($A60="S",ROUND($H60,ORÇAMENTO!$AF$10),""),ROUND($I60,ORÇAMENTO!$AF$11)),"")</f>
        <v>#NAME?</v>
      </c>
      <c r="Y60" s="339" t="e">
        <f t="shared" ca="1" si="7"/>
        <v>#NAME?</v>
      </c>
      <c r="Z60" s="473"/>
      <c r="AB60" s="337"/>
      <c r="AC60" s="437"/>
      <c r="AD60" s="437"/>
      <c r="AE60" s="437"/>
      <c r="AF60" s="437"/>
      <c r="AG60" s="437"/>
      <c r="AH60" s="437"/>
      <c r="AI60" s="437"/>
      <c r="AJ60" s="437"/>
      <c r="AK60" s="437"/>
      <c r="AL60" s="437"/>
      <c r="AM60" s="338"/>
      <c r="AO60">
        <f ca="1">IF($A60="S",IF(BM!$I60=0,0,CHOOSE(MATCH(RegimeExecucao,{"Global","Unitário"},0),ROUND(ROUND(BM.MEDAcumulado,15-13*BM!$A$9)/100*BM!$I60,15-13*ORÇAMENTO!$AF$11),ROUND(ROUND(BM.MEDAcumulado,15-13*BM!$A$9)*ROUND(BM!$H60,15-13*ORÇAMENTO!$AF$10),15-13*ORÇAMENTO!$AF$11))),IF($A60=0,0,ROUND(SomaAgrupBM,15-13*ORÇAMENTO!$AF$11)))</f>
        <v>0</v>
      </c>
    </row>
    <row r="61" spans="1:41" ht="13.8" x14ac:dyDescent="0.3">
      <c r="A61" t="str">
        <f ca="1">ORÇAMENTO!C61</f>
        <v>S</v>
      </c>
      <c r="B61">
        <f ca="1">ORÇAMENTO!D61</f>
        <v>0</v>
      </c>
      <c r="C61" s="114" t="str">
        <f t="shared" ca="1" si="1"/>
        <v>F</v>
      </c>
      <c r="D61" s="117" t="str">
        <f ca="1">ORÇAMENTO!O61</f>
        <v>2.2.1.</v>
      </c>
      <c r="E61" s="163" t="str">
        <f t="shared" ca="1" si="2"/>
        <v>Escavação mecânica com retroescavadeira em material de 1ª categoria</v>
      </c>
      <c r="F61" s="164" t="str">
        <f ca="1">IF(RegimeExecucao="Global","",ORÇAMENTO.Unidade)</f>
        <v>m³</v>
      </c>
      <c r="G61" s="122">
        <f ca="1">IF(RegimeExecucao="Global","",ORÇAMENTO!T61)</f>
        <v>34.4</v>
      </c>
      <c r="H61" s="122">
        <f ca="1">IF(RegimeExecucao="Global","",ORÇAMENTO!W61)</f>
        <v>9.06</v>
      </c>
      <c r="I61" s="125">
        <f ca="1">ORÇAMENTO!X61</f>
        <v>311.66000000000003</v>
      </c>
      <c r="J61" s="333" t="e" cm="1">
        <f t="array" aca="1" ref="J61" ca="1">_xlfn.SINGLE(IF($A61="S",IF(CAIXA.Modo,BM.AFAnterior,BM.MEDAnterior),IF(AND(_xlfn.SINGLE(RegimeExecucao)="Global",$I61&gt;0,COUNTIF($AB$13:$AM$13,BM.medicao-1)&gt;0),M61/$I61*100,0)))</f>
        <v>#NAME?</v>
      </c>
      <c r="K61" s="122" t="e">
        <f t="shared" ca="1" si="3"/>
        <v>#NAME?</v>
      </c>
      <c r="L61" s="334" t="e" cm="1">
        <f t="array" aca="1" ref="L61" ca="1">_xlfn.SINGLE(IF($A61="S",IF(CAIXA.Modo,BM.AFAcumulado,BM.MEDAcumulado),IF(AND(_xlfn.SINGLE(RegimeExecucao)="Global",$I61&gt;0,COUNTIF($AB$13:$AM$13,BM.medicao)&gt;0),O61/$I61*100,0)))</f>
        <v>#NAME?</v>
      </c>
      <c r="M61" s="335" t="e">
        <f ca="1">IF($A61="S",VTOTALBM,IF($A61=0,0,ROUND(SomaAgrupBM,15-13*ORÇAMENTO!$AF$11)))</f>
        <v>#NAME?</v>
      </c>
      <c r="N61" s="336" t="e">
        <f t="shared" ca="1" si="4"/>
        <v>#NAME?</v>
      </c>
      <c r="O61" s="125" t="e">
        <f ca="1">IF($A61="S",VTOTALBM,IF($A61=0,0,ROUND(SomaAgrupBM,15-13*ORÇAMENTO!$AF$11)))</f>
        <v>#NAME?</v>
      </c>
      <c r="Q61" s="337"/>
      <c r="R61" s="338"/>
      <c r="T61" s="117" t="e">
        <f t="shared" ca="1" si="5"/>
        <v>#NAME?</v>
      </c>
      <c r="U61" s="163" t="e">
        <f t="shared" ca="1" si="6"/>
        <v>#NAME?</v>
      </c>
      <c r="V61" s="164" t="e">
        <f ca="1">IF(AND($W61&gt;0,RegimeExecucao="Unitário"),$F61,"")</f>
        <v>#NAME?</v>
      </c>
      <c r="W61" s="454" t="e">
        <f ca="1">IF($Y61&gt;0,CHOOSE(MATCH(RegimeExecucao,{"Unitário","Global"},0),IF($A61="S",$Y61/$X61,""),($Y61/$X61)*100),0)</f>
        <v>#NAME?</v>
      </c>
      <c r="X61" s="339" t="e">
        <f ca="1">IF($Y61&gt;0,CHOOSE(MATCH(RegimeExecucao,{"Unitário","Global"},0),IF($A61="S",ROUND($H61,ORÇAMENTO!$AF$10),""),ROUND($I61,ORÇAMENTO!$AF$11)),"")</f>
        <v>#NAME?</v>
      </c>
      <c r="Y61" s="339" t="e">
        <f t="shared" ca="1" si="7"/>
        <v>#NAME?</v>
      </c>
      <c r="Z61" s="473"/>
      <c r="AB61" s="337"/>
      <c r="AC61" s="437"/>
      <c r="AD61" s="437"/>
      <c r="AE61" s="437"/>
      <c r="AF61" s="437"/>
      <c r="AG61" s="437"/>
      <c r="AH61" s="437"/>
      <c r="AI61" s="437"/>
      <c r="AJ61" s="437"/>
      <c r="AK61" s="437"/>
      <c r="AL61" s="437"/>
      <c r="AM61" s="338"/>
      <c r="AO61">
        <f ca="1">IF($A61="S",IF(BM!$I61=0,0,CHOOSE(MATCH(RegimeExecucao,{"Global","Unitário"},0),ROUND(ROUND(BM.MEDAcumulado,15-13*BM!$A$9)/100*BM!$I61,15-13*ORÇAMENTO!$AF$11),ROUND(ROUND(BM.MEDAcumulado,15-13*BM!$A$9)*ROUND(BM!$H61,15-13*ORÇAMENTO!$AF$10),15-13*ORÇAMENTO!$AF$11))),IF($A61=0,0,ROUND(SomaAgrupBM,15-13*ORÇAMENTO!$AF$11)))</f>
        <v>0</v>
      </c>
    </row>
    <row r="62" spans="1:41" ht="26.4" x14ac:dyDescent="0.3">
      <c r="A62" t="str">
        <f ca="1">ORÇAMENTO!C62</f>
        <v>S</v>
      </c>
      <c r="B62">
        <f ca="1">ORÇAMENTO!D62</f>
        <v>0</v>
      </c>
      <c r="C62" s="114" t="str">
        <f t="shared" ca="1" si="1"/>
        <v>F</v>
      </c>
      <c r="D62" s="117" t="str">
        <f ca="1">ORÇAMENTO!O62</f>
        <v>2.2.2.</v>
      </c>
      <c r="E62" s="163" t="str">
        <f t="shared" ca="1" si="2"/>
        <v>Tubo de concreto PA1 comercial para drenagem - D = 0,50 m - fornecimento e instalação</v>
      </c>
      <c r="F62" s="164" t="str">
        <f ca="1">IF(RegimeExecucao="Global","",ORÇAMENTO.Unidade)</f>
        <v>m</v>
      </c>
      <c r="G62" s="122">
        <f ca="1">IF(RegimeExecucao="Global","",ORÇAMENTO!T62)</f>
        <v>43</v>
      </c>
      <c r="H62" s="122">
        <f ca="1">IF(RegimeExecucao="Global","",ORÇAMENTO!W62)</f>
        <v>289.63</v>
      </c>
      <c r="I62" s="125">
        <f ca="1">ORÇAMENTO!X62</f>
        <v>12454.09</v>
      </c>
      <c r="J62" s="333" t="e" cm="1">
        <f t="array" aca="1" ref="J62" ca="1">_xlfn.SINGLE(IF($A62="S",IF(CAIXA.Modo,BM.AFAnterior,BM.MEDAnterior),IF(AND(_xlfn.SINGLE(RegimeExecucao)="Global",$I62&gt;0,COUNTIF($AB$13:$AM$13,BM.medicao-1)&gt;0),M62/$I62*100,0)))</f>
        <v>#NAME?</v>
      </c>
      <c r="K62" s="122" t="e">
        <f t="shared" ca="1" si="3"/>
        <v>#NAME?</v>
      </c>
      <c r="L62" s="334" t="e" cm="1">
        <f t="array" aca="1" ref="L62" ca="1">_xlfn.SINGLE(IF($A62="S",IF(CAIXA.Modo,BM.AFAcumulado,BM.MEDAcumulado),IF(AND(_xlfn.SINGLE(RegimeExecucao)="Global",$I62&gt;0,COUNTIF($AB$13:$AM$13,BM.medicao)&gt;0),O62/$I62*100,0)))</f>
        <v>#NAME?</v>
      </c>
      <c r="M62" s="335" t="e">
        <f ca="1">IF($A62="S",VTOTALBM,IF($A62=0,0,ROUND(SomaAgrupBM,15-13*ORÇAMENTO!$AF$11)))</f>
        <v>#NAME?</v>
      </c>
      <c r="N62" s="336" t="e">
        <f t="shared" ca="1" si="4"/>
        <v>#NAME?</v>
      </c>
      <c r="O62" s="125" t="e">
        <f ca="1">IF($A62="S",VTOTALBM,IF($A62=0,0,ROUND(SomaAgrupBM,15-13*ORÇAMENTO!$AF$11)))</f>
        <v>#NAME?</v>
      </c>
      <c r="Q62" s="337"/>
      <c r="R62" s="338"/>
      <c r="T62" s="117" t="e">
        <f t="shared" ca="1" si="5"/>
        <v>#NAME?</v>
      </c>
      <c r="U62" s="163" t="e">
        <f t="shared" ca="1" si="6"/>
        <v>#NAME?</v>
      </c>
      <c r="V62" s="164" t="e">
        <f ca="1">IF(AND($W62&gt;0,RegimeExecucao="Unitário"),$F62,"")</f>
        <v>#NAME?</v>
      </c>
      <c r="W62" s="454" t="e">
        <f ca="1">IF($Y62&gt;0,CHOOSE(MATCH(RegimeExecucao,{"Unitário","Global"},0),IF($A62="S",$Y62/$X62,""),($Y62/$X62)*100),0)</f>
        <v>#NAME?</v>
      </c>
      <c r="X62" s="339" t="e">
        <f ca="1">IF($Y62&gt;0,CHOOSE(MATCH(RegimeExecucao,{"Unitário","Global"},0),IF($A62="S",ROUND($H62,ORÇAMENTO!$AF$10),""),ROUND($I62,ORÇAMENTO!$AF$11)),"")</f>
        <v>#NAME?</v>
      </c>
      <c r="Y62" s="339" t="e">
        <f t="shared" ca="1" si="7"/>
        <v>#NAME?</v>
      </c>
      <c r="Z62" s="473"/>
      <c r="AB62" s="337"/>
      <c r="AC62" s="437"/>
      <c r="AD62" s="437"/>
      <c r="AE62" s="437"/>
      <c r="AF62" s="437"/>
      <c r="AG62" s="437"/>
      <c r="AH62" s="437"/>
      <c r="AI62" s="437"/>
      <c r="AJ62" s="437"/>
      <c r="AK62" s="437"/>
      <c r="AL62" s="437"/>
      <c r="AM62" s="338"/>
      <c r="AO62">
        <f ca="1">IF($A62="S",IF(BM!$I62=0,0,CHOOSE(MATCH(RegimeExecucao,{"Global","Unitário"},0),ROUND(ROUND(BM.MEDAcumulado,15-13*BM!$A$9)/100*BM!$I62,15-13*ORÇAMENTO!$AF$11),ROUND(ROUND(BM.MEDAcumulado,15-13*BM!$A$9)*ROUND(BM!$H62,15-13*ORÇAMENTO!$AF$10),15-13*ORÇAMENTO!$AF$11))),IF($A62=0,0,ROUND(SomaAgrupBM,15-13*ORÇAMENTO!$AF$11)))</f>
        <v>0</v>
      </c>
    </row>
    <row r="63" spans="1:41" ht="26.4" x14ac:dyDescent="0.3">
      <c r="A63" t="str">
        <f ca="1">ORÇAMENTO!C63</f>
        <v>S</v>
      </c>
      <c r="B63">
        <f ca="1">ORÇAMENTO!D63</f>
        <v>0</v>
      </c>
      <c r="C63" s="114" t="str">
        <f t="shared" ca="1" si="1"/>
        <v>F</v>
      </c>
      <c r="D63" s="117" t="str">
        <f ca="1">ORÇAMENTO!O63</f>
        <v>2.2.3.</v>
      </c>
      <c r="E63" s="163" t="str">
        <f t="shared" ca="1" si="2"/>
        <v>Base ou sub-base de brita graduada com brita comercial - 100% Proctor modificado</v>
      </c>
      <c r="F63" s="164" t="str">
        <f ca="1">IF(RegimeExecucao="Global","",ORÇAMENTO.Unidade)</f>
        <v>m³</v>
      </c>
      <c r="G63" s="122">
        <f ca="1">IF(RegimeExecucao="Global","",ORÇAMENTO!T63)</f>
        <v>22.24</v>
      </c>
      <c r="H63" s="122">
        <f ca="1">IF(RegimeExecucao="Global","",ORÇAMENTO!W63)</f>
        <v>291.70999999999998</v>
      </c>
      <c r="I63" s="125">
        <f ca="1">ORÇAMENTO!X63</f>
        <v>6487.63</v>
      </c>
      <c r="J63" s="333" t="e" cm="1">
        <f t="array" aca="1" ref="J63" ca="1">_xlfn.SINGLE(IF($A63="S",IF(CAIXA.Modo,BM.AFAnterior,BM.MEDAnterior),IF(AND(_xlfn.SINGLE(RegimeExecucao)="Global",$I63&gt;0,COUNTIF($AB$13:$AM$13,BM.medicao-1)&gt;0),M63/$I63*100,0)))</f>
        <v>#NAME?</v>
      </c>
      <c r="K63" s="122" t="e">
        <f t="shared" ca="1" si="3"/>
        <v>#NAME?</v>
      </c>
      <c r="L63" s="334" t="e" cm="1">
        <f t="array" aca="1" ref="L63" ca="1">_xlfn.SINGLE(IF($A63="S",IF(CAIXA.Modo,BM.AFAcumulado,BM.MEDAcumulado),IF(AND(_xlfn.SINGLE(RegimeExecucao)="Global",$I63&gt;0,COUNTIF($AB$13:$AM$13,BM.medicao)&gt;0),O63/$I63*100,0)))</f>
        <v>#NAME?</v>
      </c>
      <c r="M63" s="335" t="e">
        <f ca="1">IF($A63="S",VTOTALBM,IF($A63=0,0,ROUND(SomaAgrupBM,15-13*ORÇAMENTO!$AF$11)))</f>
        <v>#NAME?</v>
      </c>
      <c r="N63" s="336" t="e">
        <f t="shared" ca="1" si="4"/>
        <v>#NAME?</v>
      </c>
      <c r="O63" s="125" t="e">
        <f ca="1">IF($A63="S",VTOTALBM,IF($A63=0,0,ROUND(SomaAgrupBM,15-13*ORÇAMENTO!$AF$11)))</f>
        <v>#NAME?</v>
      </c>
      <c r="Q63" s="337"/>
      <c r="R63" s="338"/>
      <c r="T63" s="117" t="e">
        <f t="shared" ca="1" si="5"/>
        <v>#NAME?</v>
      </c>
      <c r="U63" s="163" t="e">
        <f t="shared" ca="1" si="6"/>
        <v>#NAME?</v>
      </c>
      <c r="V63" s="164" t="e">
        <f ca="1">IF(AND($W63&gt;0,RegimeExecucao="Unitário"),$F63,"")</f>
        <v>#NAME?</v>
      </c>
      <c r="W63" s="454" t="e">
        <f ca="1">IF($Y63&gt;0,CHOOSE(MATCH(RegimeExecucao,{"Unitário","Global"},0),IF($A63="S",$Y63/$X63,""),($Y63/$X63)*100),0)</f>
        <v>#NAME?</v>
      </c>
      <c r="X63" s="339" t="e">
        <f ca="1">IF($Y63&gt;0,CHOOSE(MATCH(RegimeExecucao,{"Unitário","Global"},0),IF($A63="S",ROUND($H63,ORÇAMENTO!$AF$10),""),ROUND($I63,ORÇAMENTO!$AF$11)),"")</f>
        <v>#NAME?</v>
      </c>
      <c r="Y63" s="339" t="e">
        <f t="shared" ca="1" si="7"/>
        <v>#NAME?</v>
      </c>
      <c r="Z63" s="473"/>
      <c r="AB63" s="337"/>
      <c r="AC63" s="437"/>
      <c r="AD63" s="437"/>
      <c r="AE63" s="437"/>
      <c r="AF63" s="437"/>
      <c r="AG63" s="437"/>
      <c r="AH63" s="437"/>
      <c r="AI63" s="437"/>
      <c r="AJ63" s="437"/>
      <c r="AK63" s="437"/>
      <c r="AL63" s="437"/>
      <c r="AM63" s="338"/>
      <c r="AO63">
        <f ca="1">IF($A63="S",IF(BM!$I63=0,0,CHOOSE(MATCH(RegimeExecucao,{"Global","Unitário"},0),ROUND(ROUND(BM.MEDAcumulado,15-13*BM!$A$9)/100*BM!$I63,15-13*ORÇAMENTO!$AF$11),ROUND(ROUND(BM.MEDAcumulado,15-13*BM!$A$9)*ROUND(BM!$H63,15-13*ORÇAMENTO!$AF$10),15-13*ORÇAMENTO!$AF$11))),IF($A63=0,0,ROUND(SomaAgrupBM,15-13*ORÇAMENTO!$AF$11)))</f>
        <v>0</v>
      </c>
    </row>
    <row r="64" spans="1:41" ht="13.8" x14ac:dyDescent="0.3">
      <c r="A64" t="str">
        <f ca="1">ORÇAMENTO!C64</f>
        <v>S</v>
      </c>
      <c r="B64">
        <f ca="1">ORÇAMENTO!D64</f>
        <v>0</v>
      </c>
      <c r="C64" s="114" t="str">
        <f t="shared" ca="1" si="1"/>
        <v>F</v>
      </c>
      <c r="D64" s="117" t="str">
        <f ca="1">ORÇAMENTO!O64</f>
        <v>2.2.4.</v>
      </c>
      <c r="E64" s="163" t="str">
        <f t="shared" ca="1" si="2"/>
        <v>Transporte com caminhão basculante de 10 m³ - rodovia pavimentada</v>
      </c>
      <c r="F64" s="164" t="str">
        <f ca="1">IF(RegimeExecucao="Global","",ORÇAMENTO.Unidade)</f>
        <v>tkm</v>
      </c>
      <c r="G64" s="122">
        <f ca="1">IF(RegimeExecucao="Global","",ORÇAMENTO!T64)</f>
        <v>700.56</v>
      </c>
      <c r="H64" s="122">
        <f ca="1">IF(RegimeExecucao="Global","",ORÇAMENTO!W64)</f>
        <v>1.01</v>
      </c>
      <c r="I64" s="125">
        <f ca="1">ORÇAMENTO!X64</f>
        <v>707.57</v>
      </c>
      <c r="J64" s="333" t="e" cm="1">
        <f t="array" aca="1" ref="J64" ca="1">_xlfn.SINGLE(IF($A64="S",IF(CAIXA.Modo,BM.AFAnterior,BM.MEDAnterior),IF(AND(_xlfn.SINGLE(RegimeExecucao)="Global",$I64&gt;0,COUNTIF($AB$13:$AM$13,BM.medicao-1)&gt;0),M64/$I64*100,0)))</f>
        <v>#NAME?</v>
      </c>
      <c r="K64" s="122" t="e">
        <f t="shared" ca="1" si="3"/>
        <v>#NAME?</v>
      </c>
      <c r="L64" s="334" t="e" cm="1">
        <f t="array" aca="1" ref="L64" ca="1">_xlfn.SINGLE(IF($A64="S",IF(CAIXA.Modo,BM.AFAcumulado,BM.MEDAcumulado),IF(AND(_xlfn.SINGLE(RegimeExecucao)="Global",$I64&gt;0,COUNTIF($AB$13:$AM$13,BM.medicao)&gt;0),O64/$I64*100,0)))</f>
        <v>#NAME?</v>
      </c>
      <c r="M64" s="335" t="e">
        <f ca="1">IF($A64="S",VTOTALBM,IF($A64=0,0,ROUND(SomaAgrupBM,15-13*ORÇAMENTO!$AF$11)))</f>
        <v>#NAME?</v>
      </c>
      <c r="N64" s="336" t="e">
        <f t="shared" ca="1" si="4"/>
        <v>#NAME?</v>
      </c>
      <c r="O64" s="125" t="e">
        <f ca="1">IF($A64="S",VTOTALBM,IF($A64=0,0,ROUND(SomaAgrupBM,15-13*ORÇAMENTO!$AF$11)))</f>
        <v>#NAME?</v>
      </c>
      <c r="Q64" s="337"/>
      <c r="R64" s="338"/>
      <c r="T64" s="117" t="e">
        <f t="shared" ca="1" si="5"/>
        <v>#NAME?</v>
      </c>
      <c r="U64" s="163" t="e">
        <f t="shared" ca="1" si="6"/>
        <v>#NAME?</v>
      </c>
      <c r="V64" s="164" t="e">
        <f ca="1">IF(AND($W64&gt;0,RegimeExecucao="Unitário"),$F64,"")</f>
        <v>#NAME?</v>
      </c>
      <c r="W64" s="454" t="e">
        <f ca="1">IF($Y64&gt;0,CHOOSE(MATCH(RegimeExecucao,{"Unitário","Global"},0),IF($A64="S",$Y64/$X64,""),($Y64/$X64)*100),0)</f>
        <v>#NAME?</v>
      </c>
      <c r="X64" s="339" t="e">
        <f ca="1">IF($Y64&gt;0,CHOOSE(MATCH(RegimeExecucao,{"Unitário","Global"},0),IF($A64="S",ROUND($H64,ORÇAMENTO!$AF$10),""),ROUND($I64,ORÇAMENTO!$AF$11)),"")</f>
        <v>#NAME?</v>
      </c>
      <c r="Y64" s="339" t="e">
        <f t="shared" ca="1" si="7"/>
        <v>#NAME?</v>
      </c>
      <c r="Z64" s="473"/>
      <c r="AB64" s="337"/>
      <c r="AC64" s="437"/>
      <c r="AD64" s="437"/>
      <c r="AE64" s="437"/>
      <c r="AF64" s="437"/>
      <c r="AG64" s="437"/>
      <c r="AH64" s="437"/>
      <c r="AI64" s="437"/>
      <c r="AJ64" s="437"/>
      <c r="AK64" s="437"/>
      <c r="AL64" s="437"/>
      <c r="AM64" s="338"/>
      <c r="AO64">
        <f ca="1">IF($A64="S",IF(BM!$I64=0,0,CHOOSE(MATCH(RegimeExecucao,{"Global","Unitário"},0),ROUND(ROUND(BM.MEDAcumulado,15-13*BM!$A$9)/100*BM!$I64,15-13*ORÇAMENTO!$AF$11),ROUND(ROUND(BM.MEDAcumulado,15-13*BM!$A$9)*ROUND(BM!$H64,15-13*ORÇAMENTO!$AF$10),15-13*ORÇAMENTO!$AF$11))),IF($A64=0,0,ROUND(SomaAgrupBM,15-13*ORÇAMENTO!$AF$11)))</f>
        <v>0</v>
      </c>
    </row>
    <row r="65" spans="1:41" ht="26.4" x14ac:dyDescent="0.3">
      <c r="A65" t="str">
        <f ca="1">ORÇAMENTO!C65</f>
        <v>S</v>
      </c>
      <c r="B65">
        <f ca="1">ORÇAMENTO!D65</f>
        <v>0</v>
      </c>
      <c r="C65" s="114" t="str">
        <f t="shared" ca="1" si="1"/>
        <v>F</v>
      </c>
      <c r="D65" s="117" t="str">
        <f ca="1">ORÇAMENTO!O65</f>
        <v>2.2.5.</v>
      </c>
      <c r="E65" s="163" t="str">
        <f t="shared" ca="1" si="2"/>
        <v>Boca de lobo combinada - chapéu e grelha simples - BLC 01 - areia e brita comerciais</v>
      </c>
      <c r="F65" s="164" t="str">
        <f ca="1">IF(RegimeExecucao="Global","",ORÇAMENTO.Unidade)</f>
        <v>un</v>
      </c>
      <c r="G65" s="122">
        <f ca="1">IF(RegimeExecucao="Global","",ORÇAMENTO!T65)</f>
        <v>2</v>
      </c>
      <c r="H65" s="122">
        <f ca="1">IF(RegimeExecucao="Global","",ORÇAMENTO!W65)</f>
        <v>2982.3</v>
      </c>
      <c r="I65" s="125">
        <f ca="1">ORÇAMENTO!X65</f>
        <v>5964.6</v>
      </c>
      <c r="J65" s="333" t="e" cm="1">
        <f t="array" aca="1" ref="J65" ca="1">_xlfn.SINGLE(IF($A65="S",IF(CAIXA.Modo,BM.AFAnterior,BM.MEDAnterior),IF(AND(_xlfn.SINGLE(RegimeExecucao)="Global",$I65&gt;0,COUNTIF($AB$13:$AM$13,BM.medicao-1)&gt;0),M65/$I65*100,0)))</f>
        <v>#NAME?</v>
      </c>
      <c r="K65" s="122" t="e">
        <f t="shared" ca="1" si="3"/>
        <v>#NAME?</v>
      </c>
      <c r="L65" s="334" t="e" cm="1">
        <f t="array" aca="1" ref="L65" ca="1">_xlfn.SINGLE(IF($A65="S",IF(CAIXA.Modo,BM.AFAcumulado,BM.MEDAcumulado),IF(AND(_xlfn.SINGLE(RegimeExecucao)="Global",$I65&gt;0,COUNTIF($AB$13:$AM$13,BM.medicao)&gt;0),O65/$I65*100,0)))</f>
        <v>#NAME?</v>
      </c>
      <c r="M65" s="335" t="e">
        <f ca="1">IF($A65="S",VTOTALBM,IF($A65=0,0,ROUND(SomaAgrupBM,15-13*ORÇAMENTO!$AF$11)))</f>
        <v>#NAME?</v>
      </c>
      <c r="N65" s="336" t="e">
        <f t="shared" ca="1" si="4"/>
        <v>#NAME?</v>
      </c>
      <c r="O65" s="125" t="e">
        <f ca="1">IF($A65="S",VTOTALBM,IF($A65=0,0,ROUND(SomaAgrupBM,15-13*ORÇAMENTO!$AF$11)))</f>
        <v>#NAME?</v>
      </c>
      <c r="Q65" s="337"/>
      <c r="R65" s="338"/>
      <c r="T65" s="117" t="e">
        <f t="shared" ca="1" si="5"/>
        <v>#NAME?</v>
      </c>
      <c r="U65" s="163" t="e">
        <f t="shared" ca="1" si="6"/>
        <v>#NAME?</v>
      </c>
      <c r="V65" s="164" t="e">
        <f ca="1">IF(AND($W65&gt;0,RegimeExecucao="Unitário"),$F65,"")</f>
        <v>#NAME?</v>
      </c>
      <c r="W65" s="454" t="e">
        <f ca="1">IF($Y65&gt;0,CHOOSE(MATCH(RegimeExecucao,{"Unitário","Global"},0),IF($A65="S",$Y65/$X65,""),($Y65/$X65)*100),0)</f>
        <v>#NAME?</v>
      </c>
      <c r="X65" s="339" t="e">
        <f ca="1">IF($Y65&gt;0,CHOOSE(MATCH(RegimeExecucao,{"Unitário","Global"},0),IF($A65="S",ROUND($H65,ORÇAMENTO!$AF$10),""),ROUND($I65,ORÇAMENTO!$AF$11)),"")</f>
        <v>#NAME?</v>
      </c>
      <c r="Y65" s="339" t="e">
        <f t="shared" ca="1" si="7"/>
        <v>#NAME?</v>
      </c>
      <c r="Z65" s="473"/>
      <c r="AB65" s="337"/>
      <c r="AC65" s="437"/>
      <c r="AD65" s="437"/>
      <c r="AE65" s="437"/>
      <c r="AF65" s="437"/>
      <c r="AG65" s="437"/>
      <c r="AH65" s="437"/>
      <c r="AI65" s="437"/>
      <c r="AJ65" s="437"/>
      <c r="AK65" s="437"/>
      <c r="AL65" s="437"/>
      <c r="AM65" s="338"/>
      <c r="AO65">
        <f ca="1">IF($A65="S",IF(BM!$I65=0,0,CHOOSE(MATCH(RegimeExecucao,{"Global","Unitário"},0),ROUND(ROUND(BM.MEDAcumulado,15-13*BM!$A$9)/100*BM!$I65,15-13*ORÇAMENTO!$AF$11),ROUND(ROUND(BM.MEDAcumulado,15-13*BM!$A$9)*ROUND(BM!$H65,15-13*ORÇAMENTO!$AF$10),15-13*ORÇAMENTO!$AF$11))),IF($A65=0,0,ROUND(SomaAgrupBM,15-13*ORÇAMENTO!$AF$11)))</f>
        <v>0</v>
      </c>
    </row>
    <row r="66" spans="1:41" ht="13.8" x14ac:dyDescent="0.3">
      <c r="A66">
        <f ca="1">ORÇAMENTO!C66</f>
        <v>2</v>
      </c>
      <c r="B66">
        <f ca="1">ORÇAMENTO!D66</f>
        <v>8</v>
      </c>
      <c r="C66" s="114" t="str">
        <f t="shared" ca="1" si="1"/>
        <v>F</v>
      </c>
      <c r="D66" s="117" t="str">
        <f ca="1">ORÇAMENTO!O66</f>
        <v>2.3.</v>
      </c>
      <c r="E66" s="163" t="str">
        <f t="shared" si="2"/>
        <v>CAMADA DE REPERFILAMENTO</v>
      </c>
      <c r="F66" s="164" t="str">
        <f ca="1">IF(RegimeExecucao="Global","",ORÇAMENTO.Unidade)</f>
        <v>-</v>
      </c>
      <c r="G66" s="122">
        <f ca="1">IF(RegimeExecucao="Global","",ORÇAMENTO!T66)</f>
        <v>0</v>
      </c>
      <c r="H66" s="122">
        <f ca="1">IF(RegimeExecucao="Global","",ORÇAMENTO!W66)</f>
        <v>0</v>
      </c>
      <c r="I66" s="125">
        <f ca="1">ORÇAMENTO!X66</f>
        <v>92656.89</v>
      </c>
      <c r="J66" s="333" t="e" cm="1">
        <f t="array" aca="1" ref="J66" ca="1">_xlfn.SINGLE(IF($A66="S",IF(CAIXA.Modo,BM.AFAnterior,BM.MEDAnterior),IF(AND(_xlfn.SINGLE(RegimeExecucao)="Global",$I66&gt;0,COUNTIF($AB$13:$AM$13,BM.medicao-1)&gt;0),M66/$I66*100,0)))</f>
        <v>#NAME?</v>
      </c>
      <c r="K66" s="122" t="e">
        <f t="shared" ca="1" si="3"/>
        <v>#NAME?</v>
      </c>
      <c r="L66" s="334" t="e" cm="1">
        <f t="array" aca="1" ref="L66" ca="1">_xlfn.SINGLE(IF($A66="S",IF(CAIXA.Modo,BM.AFAcumulado,BM.MEDAcumulado),IF(AND(_xlfn.SINGLE(RegimeExecucao)="Global",$I66&gt;0,COUNTIF($AB$13:$AM$13,BM.medicao)&gt;0),O66/$I66*100,0)))</f>
        <v>#NAME?</v>
      </c>
      <c r="M66" s="335" t="e">
        <f ca="1">IF($A66="S",VTOTALBM,IF($A66=0,0,ROUND(SomaAgrupBM,15-13*ORÇAMENTO!$AF$11)))</f>
        <v>#NAME?</v>
      </c>
      <c r="N66" s="336" t="e">
        <f t="shared" ca="1" si="4"/>
        <v>#NAME?</v>
      </c>
      <c r="O66" s="125" t="e">
        <f ca="1">IF($A66="S",VTOTALBM,IF($A66=0,0,ROUND(SomaAgrupBM,15-13*ORÇAMENTO!$AF$11)))</f>
        <v>#NAME?</v>
      </c>
      <c r="Q66" s="337"/>
      <c r="R66" s="338"/>
      <c r="T66" s="117" t="e">
        <f t="shared" ca="1" si="5"/>
        <v>#NAME?</v>
      </c>
      <c r="U66" s="163" t="e">
        <f t="shared" ca="1" si="6"/>
        <v>#NAME?</v>
      </c>
      <c r="V66" s="164" t="e">
        <f ca="1">IF(AND($W66&gt;0,RegimeExecucao="Unitário"),$F66,"")</f>
        <v>#NAME?</v>
      </c>
      <c r="W66" s="454" t="e">
        <f ca="1">IF($Y66&gt;0,CHOOSE(MATCH(RegimeExecucao,{"Unitário","Global"},0),IF($A66="S",$Y66/$X66,""),($Y66/$X66)*100),0)</f>
        <v>#NAME?</v>
      </c>
      <c r="X66" s="339" t="e">
        <f ca="1">IF($Y66&gt;0,CHOOSE(MATCH(RegimeExecucao,{"Unitário","Global"},0),IF($A66="S",ROUND($H66,ORÇAMENTO!$AF$10),""),ROUND($I66,ORÇAMENTO!$AF$11)),"")</f>
        <v>#NAME?</v>
      </c>
      <c r="Y66" s="339" t="e">
        <f t="shared" ca="1" si="7"/>
        <v>#NAME?</v>
      </c>
      <c r="Z66" s="473"/>
      <c r="AB66" s="337"/>
      <c r="AC66" s="437"/>
      <c r="AD66" s="437"/>
      <c r="AE66" s="437"/>
      <c r="AF66" s="437"/>
      <c r="AG66" s="437"/>
      <c r="AH66" s="437"/>
      <c r="AI66" s="437"/>
      <c r="AJ66" s="437"/>
      <c r="AK66" s="437"/>
      <c r="AL66" s="437"/>
      <c r="AM66" s="338"/>
      <c r="AO66">
        <f ca="1">IF($A66="S",IF(BM!$I66=0,0,CHOOSE(MATCH(RegimeExecucao,{"Global","Unitário"},0),ROUND(ROUND(BM.MEDAcumulado,15-13*BM!$A$9)/100*BM!$I66,15-13*ORÇAMENTO!$AF$11),ROUND(ROUND(BM.MEDAcumulado,15-13*BM!$A$9)*ROUND(BM!$H66,15-13*ORÇAMENTO!$AF$10),15-13*ORÇAMENTO!$AF$11))),IF($A66=0,0,ROUND(SomaAgrupBM,15-13*ORÇAMENTO!$AF$11)))</f>
        <v>0</v>
      </c>
    </row>
    <row r="67" spans="1:41" ht="13.8" x14ac:dyDescent="0.3">
      <c r="A67" t="str">
        <f ca="1">ORÇAMENTO!C67</f>
        <v>S</v>
      </c>
      <c r="B67">
        <f ca="1">ORÇAMENTO!D67</f>
        <v>0</v>
      </c>
      <c r="C67" s="114" t="str">
        <f t="shared" ca="1" si="1"/>
        <v>F</v>
      </c>
      <c r="D67" s="117" t="str">
        <f ca="1">ORÇAMENTO!O67</f>
        <v>2.3.1.</v>
      </c>
      <c r="E67" s="163" t="str">
        <f t="shared" ca="1" si="2"/>
        <v>Pintura de ligação</v>
      </c>
      <c r="F67" s="164" t="str">
        <f ca="1">IF(RegimeExecucao="Global","",ORÇAMENTO.Unidade)</f>
        <v>m²</v>
      </c>
      <c r="G67" s="122">
        <f ca="1">IF(RegimeExecucao="Global","",ORÇAMENTO!T67)</f>
        <v>1265.08</v>
      </c>
      <c r="H67" s="122">
        <f ca="1">IF(RegimeExecucao="Global","",ORÇAMENTO!W67)</f>
        <v>0.56999999999999995</v>
      </c>
      <c r="I67" s="125">
        <f ca="1">ORÇAMENTO!X67</f>
        <v>721.1</v>
      </c>
      <c r="J67" s="333" t="e" cm="1">
        <f t="array" aca="1" ref="J67" ca="1">_xlfn.SINGLE(IF($A67="S",IF(CAIXA.Modo,BM.AFAnterior,BM.MEDAnterior),IF(AND(_xlfn.SINGLE(RegimeExecucao)="Global",$I67&gt;0,COUNTIF($AB$13:$AM$13,BM.medicao-1)&gt;0),M67/$I67*100,0)))</f>
        <v>#NAME?</v>
      </c>
      <c r="K67" s="122" t="e">
        <f t="shared" ca="1" si="3"/>
        <v>#NAME?</v>
      </c>
      <c r="L67" s="334" t="e" cm="1">
        <f t="array" aca="1" ref="L67" ca="1">_xlfn.SINGLE(IF($A67="S",IF(CAIXA.Modo,BM.AFAcumulado,BM.MEDAcumulado),IF(AND(_xlfn.SINGLE(RegimeExecucao)="Global",$I67&gt;0,COUNTIF($AB$13:$AM$13,BM.medicao)&gt;0),O67/$I67*100,0)))</f>
        <v>#NAME?</v>
      </c>
      <c r="M67" s="335" t="e">
        <f ca="1">IF($A67="S",VTOTALBM,IF($A67=0,0,ROUND(SomaAgrupBM,15-13*ORÇAMENTO!$AF$11)))</f>
        <v>#NAME?</v>
      </c>
      <c r="N67" s="336" t="e">
        <f t="shared" ca="1" si="4"/>
        <v>#NAME?</v>
      </c>
      <c r="O67" s="125" t="e">
        <f ca="1">IF($A67="S",VTOTALBM,IF($A67=0,0,ROUND(SomaAgrupBM,15-13*ORÇAMENTO!$AF$11)))</f>
        <v>#NAME?</v>
      </c>
      <c r="Q67" s="337"/>
      <c r="R67" s="338"/>
      <c r="T67" s="117" t="e">
        <f t="shared" ca="1" si="5"/>
        <v>#NAME?</v>
      </c>
      <c r="U67" s="163" t="e">
        <f t="shared" ca="1" si="6"/>
        <v>#NAME?</v>
      </c>
      <c r="V67" s="164" t="e">
        <f ca="1">IF(AND($W67&gt;0,RegimeExecucao="Unitário"),$F67,"")</f>
        <v>#NAME?</v>
      </c>
      <c r="W67" s="454" t="e">
        <f ca="1">IF($Y67&gt;0,CHOOSE(MATCH(RegimeExecucao,{"Unitário","Global"},0),IF($A67="S",$Y67/$X67,""),($Y67/$X67)*100),0)</f>
        <v>#NAME?</v>
      </c>
      <c r="X67" s="339" t="e">
        <f ca="1">IF($Y67&gt;0,CHOOSE(MATCH(RegimeExecucao,{"Unitário","Global"},0),IF($A67="S",ROUND($H67,ORÇAMENTO!$AF$10),""),ROUND($I67,ORÇAMENTO!$AF$11)),"")</f>
        <v>#NAME?</v>
      </c>
      <c r="Y67" s="339" t="e">
        <f t="shared" ca="1" si="7"/>
        <v>#NAME?</v>
      </c>
      <c r="Z67" s="473"/>
      <c r="AB67" s="337"/>
      <c r="AC67" s="437"/>
      <c r="AD67" s="437"/>
      <c r="AE67" s="437"/>
      <c r="AF67" s="437"/>
      <c r="AG67" s="437"/>
      <c r="AH67" s="437"/>
      <c r="AI67" s="437"/>
      <c r="AJ67" s="437"/>
      <c r="AK67" s="437"/>
      <c r="AL67" s="437"/>
      <c r="AM67" s="338"/>
      <c r="AO67">
        <f ca="1">IF($A67="S",IF(BM!$I67=0,0,CHOOSE(MATCH(RegimeExecucao,{"Global","Unitário"},0),ROUND(ROUND(BM.MEDAcumulado,15-13*BM!$A$9)/100*BM!$I67,15-13*ORÇAMENTO!$AF$11),ROUND(ROUND(BM.MEDAcumulado,15-13*BM!$A$9)*ROUND(BM!$H67,15-13*ORÇAMENTO!$AF$10),15-13*ORÇAMENTO!$AF$11))),IF($A67=0,0,ROUND(SomaAgrupBM,15-13*ORÇAMENTO!$AF$11)))</f>
        <v>0</v>
      </c>
    </row>
    <row r="68" spans="1:41" ht="26.4" x14ac:dyDescent="0.3">
      <c r="A68" t="str">
        <f ca="1">ORÇAMENTO!C68</f>
        <v>S</v>
      </c>
      <c r="B68">
        <f ca="1">ORÇAMENTO!D68</f>
        <v>0</v>
      </c>
      <c r="C68" s="114" t="str">
        <f t="shared" ca="1" si="1"/>
        <v>F</v>
      </c>
      <c r="D68" s="117" t="str">
        <f ca="1">ORÇAMENTO!O68</f>
        <v>2.3.2.</v>
      </c>
      <c r="E68" s="163" t="str">
        <f t="shared" ca="1" si="2"/>
        <v>EMULSÃO ASFÁLTICA RR-1C COLETADO NA ANP, ACRESCIDO DE IMPOSTOS (ICMS, PIS, COFINS)</v>
      </c>
      <c r="F68" s="164" t="str">
        <f ca="1">IF(RegimeExecucao="Global","",ORÇAMENTO.Unidade)</f>
        <v>KG</v>
      </c>
      <c r="G68" s="122">
        <f ca="1">IF(RegimeExecucao="Global","",ORÇAMENTO!T68)</f>
        <v>569.29</v>
      </c>
      <c r="H68" s="122">
        <f ca="1">IF(RegimeExecucao="Global","",ORÇAMENTO!W68)</f>
        <v>4.21</v>
      </c>
      <c r="I68" s="125">
        <f ca="1">ORÇAMENTO!X68</f>
        <v>2396.71</v>
      </c>
      <c r="J68" s="333" t="e" cm="1">
        <f t="array" aca="1" ref="J68" ca="1">_xlfn.SINGLE(IF($A68="S",IF(CAIXA.Modo,BM.AFAnterior,BM.MEDAnterior),IF(AND(_xlfn.SINGLE(RegimeExecucao)="Global",$I68&gt;0,COUNTIF($AB$13:$AM$13,BM.medicao-1)&gt;0),M68/$I68*100,0)))</f>
        <v>#NAME?</v>
      </c>
      <c r="K68" s="122" t="e">
        <f t="shared" ca="1" si="3"/>
        <v>#NAME?</v>
      </c>
      <c r="L68" s="334" t="e" cm="1">
        <f t="array" aca="1" ref="L68" ca="1">_xlfn.SINGLE(IF($A68="S",IF(CAIXA.Modo,BM.AFAcumulado,BM.MEDAcumulado),IF(AND(_xlfn.SINGLE(RegimeExecucao)="Global",$I68&gt;0,COUNTIF($AB$13:$AM$13,BM.medicao)&gt;0),O68/$I68*100,0)))</f>
        <v>#NAME?</v>
      </c>
      <c r="M68" s="335" t="e">
        <f ca="1">IF($A68="S",VTOTALBM,IF($A68=0,0,ROUND(SomaAgrupBM,15-13*ORÇAMENTO!$AF$11)))</f>
        <v>#NAME?</v>
      </c>
      <c r="N68" s="336" t="e">
        <f t="shared" ca="1" si="4"/>
        <v>#NAME?</v>
      </c>
      <c r="O68" s="125" t="e">
        <f ca="1">IF($A68="S",VTOTALBM,IF($A68=0,0,ROUND(SomaAgrupBM,15-13*ORÇAMENTO!$AF$11)))</f>
        <v>#NAME?</v>
      </c>
      <c r="Q68" s="337"/>
      <c r="R68" s="338"/>
      <c r="T68" s="117" t="e">
        <f t="shared" ca="1" si="5"/>
        <v>#NAME?</v>
      </c>
      <c r="U68" s="163" t="e">
        <f t="shared" ca="1" si="6"/>
        <v>#NAME?</v>
      </c>
      <c r="V68" s="164" t="e">
        <f ca="1">IF(AND($W68&gt;0,RegimeExecucao="Unitário"),$F68,"")</f>
        <v>#NAME?</v>
      </c>
      <c r="W68" s="454" t="e">
        <f ca="1">IF($Y68&gt;0,CHOOSE(MATCH(RegimeExecucao,{"Unitário","Global"},0),IF($A68="S",$Y68/$X68,""),($Y68/$X68)*100),0)</f>
        <v>#NAME?</v>
      </c>
      <c r="X68" s="339" t="e">
        <f ca="1">IF($Y68&gt;0,CHOOSE(MATCH(RegimeExecucao,{"Unitário","Global"},0),IF($A68="S",ROUND($H68,ORÇAMENTO!$AF$10),""),ROUND($I68,ORÇAMENTO!$AF$11)),"")</f>
        <v>#NAME?</v>
      </c>
      <c r="Y68" s="339" t="e">
        <f t="shared" ca="1" si="7"/>
        <v>#NAME?</v>
      </c>
      <c r="Z68" s="473"/>
      <c r="AB68" s="337"/>
      <c r="AC68" s="437"/>
      <c r="AD68" s="437"/>
      <c r="AE68" s="437"/>
      <c r="AF68" s="437"/>
      <c r="AG68" s="437"/>
      <c r="AH68" s="437"/>
      <c r="AI68" s="437"/>
      <c r="AJ68" s="437"/>
      <c r="AK68" s="437"/>
      <c r="AL68" s="437"/>
      <c r="AM68" s="338"/>
      <c r="AO68">
        <f ca="1">IF($A68="S",IF(BM!$I68=0,0,CHOOSE(MATCH(RegimeExecucao,{"Global","Unitário"},0),ROUND(ROUND(BM.MEDAcumulado,15-13*BM!$A$9)/100*BM!$I68,15-13*ORÇAMENTO!$AF$11),ROUND(ROUND(BM.MEDAcumulado,15-13*BM!$A$9)*ROUND(BM!$H68,15-13*ORÇAMENTO!$AF$10),15-13*ORÇAMENTO!$AF$11))),IF($A68=0,0,ROUND(SomaAgrupBM,15-13*ORÇAMENTO!$AF$11)))</f>
        <v>0</v>
      </c>
    </row>
    <row r="69" spans="1:41" ht="26.4" x14ac:dyDescent="0.3">
      <c r="A69" t="str">
        <f ca="1">ORÇAMENTO!C69</f>
        <v>S</v>
      </c>
      <c r="B69">
        <f ca="1">ORÇAMENTO!D69</f>
        <v>0</v>
      </c>
      <c r="C69" s="114" t="str">
        <f t="shared" ca="1" si="1"/>
        <v>F</v>
      </c>
      <c r="D69" s="117" t="str">
        <f ca="1">ORÇAMENTO!O69</f>
        <v>2.3.3.</v>
      </c>
      <c r="E69" s="163" t="str">
        <f t="shared" ca="1" si="2"/>
        <v>Transporte de material betuminoso com caminhão tanque distribuidor - rodovia pavimentada</v>
      </c>
      <c r="F69" s="164" t="str">
        <f ca="1">IF(RegimeExecucao="Global","",ORÇAMENTO.Unidade)</f>
        <v>tkm</v>
      </c>
      <c r="G69" s="122">
        <f ca="1">IF(RegimeExecucao="Global","",ORÇAMENTO!T69)</f>
        <v>191.85</v>
      </c>
      <c r="H69" s="122">
        <f ca="1">IF(RegimeExecucao="Global","",ORÇAMENTO!W69)</f>
        <v>2.5499999999999998</v>
      </c>
      <c r="I69" s="125">
        <f ca="1">ORÇAMENTO!X69</f>
        <v>489.22</v>
      </c>
      <c r="J69" s="333" t="e" cm="1">
        <f t="array" aca="1" ref="J69" ca="1">_xlfn.SINGLE(IF($A69="S",IF(CAIXA.Modo,BM.AFAnterior,BM.MEDAnterior),IF(AND(_xlfn.SINGLE(RegimeExecucao)="Global",$I69&gt;0,COUNTIF($AB$13:$AM$13,BM.medicao-1)&gt;0),M69/$I69*100,0)))</f>
        <v>#NAME?</v>
      </c>
      <c r="K69" s="122" t="e">
        <f t="shared" ca="1" si="3"/>
        <v>#NAME?</v>
      </c>
      <c r="L69" s="334" t="e" cm="1">
        <f t="array" aca="1" ref="L69" ca="1">_xlfn.SINGLE(IF($A69="S",IF(CAIXA.Modo,BM.AFAcumulado,BM.MEDAcumulado),IF(AND(_xlfn.SINGLE(RegimeExecucao)="Global",$I69&gt;0,COUNTIF($AB$13:$AM$13,BM.medicao)&gt;0),O69/$I69*100,0)))</f>
        <v>#NAME?</v>
      </c>
      <c r="M69" s="335" t="e">
        <f ca="1">IF($A69="S",VTOTALBM,IF($A69=0,0,ROUND(SomaAgrupBM,15-13*ORÇAMENTO!$AF$11)))</f>
        <v>#NAME?</v>
      </c>
      <c r="N69" s="336" t="e">
        <f t="shared" ca="1" si="4"/>
        <v>#NAME?</v>
      </c>
      <c r="O69" s="125" t="e">
        <f ca="1">IF($A69="S",VTOTALBM,IF($A69=0,0,ROUND(SomaAgrupBM,15-13*ORÇAMENTO!$AF$11)))</f>
        <v>#NAME?</v>
      </c>
      <c r="Q69" s="337"/>
      <c r="R69" s="338"/>
      <c r="T69" s="117" t="e">
        <f t="shared" ca="1" si="5"/>
        <v>#NAME?</v>
      </c>
      <c r="U69" s="163" t="e">
        <f t="shared" ca="1" si="6"/>
        <v>#NAME?</v>
      </c>
      <c r="V69" s="164" t="e">
        <f ca="1">IF(AND($W69&gt;0,RegimeExecucao="Unitário"),$F69,"")</f>
        <v>#NAME?</v>
      </c>
      <c r="W69" s="454" t="e">
        <f ca="1">IF($Y69&gt;0,CHOOSE(MATCH(RegimeExecucao,{"Unitário","Global"},0),IF($A69="S",$Y69/$X69,""),($Y69/$X69)*100),0)</f>
        <v>#NAME?</v>
      </c>
      <c r="X69" s="339" t="e">
        <f ca="1">IF($Y69&gt;0,CHOOSE(MATCH(RegimeExecucao,{"Unitário","Global"},0),IF($A69="S",ROUND($H69,ORÇAMENTO!$AF$10),""),ROUND($I69,ORÇAMENTO!$AF$11)),"")</f>
        <v>#NAME?</v>
      </c>
      <c r="Y69" s="339" t="e">
        <f t="shared" ca="1" si="7"/>
        <v>#NAME?</v>
      </c>
      <c r="Z69" s="473"/>
      <c r="AB69" s="337"/>
      <c r="AC69" s="437"/>
      <c r="AD69" s="437"/>
      <c r="AE69" s="437"/>
      <c r="AF69" s="437"/>
      <c r="AG69" s="437"/>
      <c r="AH69" s="437"/>
      <c r="AI69" s="437"/>
      <c r="AJ69" s="437"/>
      <c r="AK69" s="437"/>
      <c r="AL69" s="437"/>
      <c r="AM69" s="338"/>
      <c r="AO69">
        <f ca="1">IF($A69="S",IF(BM!$I69=0,0,CHOOSE(MATCH(RegimeExecucao,{"Global","Unitário"},0),ROUND(ROUND(BM.MEDAcumulado,15-13*BM!$A$9)/100*BM!$I69,15-13*ORÇAMENTO!$AF$11),ROUND(ROUND(BM.MEDAcumulado,15-13*BM!$A$9)*ROUND(BM!$H69,15-13*ORÇAMENTO!$AF$10),15-13*ORÇAMENTO!$AF$11))),IF($A69=0,0,ROUND(SomaAgrupBM,15-13*ORÇAMENTO!$AF$11)))</f>
        <v>0</v>
      </c>
    </row>
    <row r="70" spans="1:41" ht="13.8" x14ac:dyDescent="0.3">
      <c r="A70" t="str">
        <f ca="1">ORÇAMENTO!C70</f>
        <v>S</v>
      </c>
      <c r="B70">
        <f ca="1">ORÇAMENTO!D70</f>
        <v>0</v>
      </c>
      <c r="C70" s="114" t="str">
        <f t="shared" ca="1" si="1"/>
        <v>F</v>
      </c>
      <c r="D70" s="117" t="str">
        <f ca="1">ORÇAMENTO!O70</f>
        <v>2.3.4.</v>
      </c>
      <c r="E70" s="163" t="str">
        <f t="shared" ca="1" si="2"/>
        <v>Concreto asfáltico - faixa C-12,5 - areia extraída e brita produzida</v>
      </c>
      <c r="F70" s="164" t="str">
        <f ca="1">IF(RegimeExecucao="Global","",ORÇAMENTO.Unidade)</f>
        <v>t</v>
      </c>
      <c r="G70" s="122">
        <f ca="1">IF(RegimeExecucao="Global","",ORÇAMENTO!T70)</f>
        <v>158.76</v>
      </c>
      <c r="H70" s="122">
        <f ca="1">IF(RegimeExecucao="Global","",ORÇAMENTO!W70)</f>
        <v>174.65</v>
      </c>
      <c r="I70" s="125">
        <f ca="1">ORÇAMENTO!X70</f>
        <v>27727.43</v>
      </c>
      <c r="J70" s="333" t="e" cm="1">
        <f t="array" aca="1" ref="J70" ca="1">_xlfn.SINGLE(IF($A70="S",IF(CAIXA.Modo,BM.AFAnterior,BM.MEDAnterior),IF(AND(_xlfn.SINGLE(RegimeExecucao)="Global",$I70&gt;0,COUNTIF($AB$13:$AM$13,BM.medicao-1)&gt;0),M70/$I70*100,0)))</f>
        <v>#NAME?</v>
      </c>
      <c r="K70" s="122" t="e">
        <f t="shared" ca="1" si="3"/>
        <v>#NAME?</v>
      </c>
      <c r="L70" s="334" t="e" cm="1">
        <f t="array" aca="1" ref="L70" ca="1">_xlfn.SINGLE(IF($A70="S",IF(CAIXA.Modo,BM.AFAcumulado,BM.MEDAcumulado),IF(AND(_xlfn.SINGLE(RegimeExecucao)="Global",$I70&gt;0,COUNTIF($AB$13:$AM$13,BM.medicao)&gt;0),O70/$I70*100,0)))</f>
        <v>#NAME?</v>
      </c>
      <c r="M70" s="335" t="e">
        <f ca="1">IF($A70="S",VTOTALBM,IF($A70=0,0,ROUND(SomaAgrupBM,15-13*ORÇAMENTO!$AF$11)))</f>
        <v>#NAME?</v>
      </c>
      <c r="N70" s="336" t="e">
        <f t="shared" ca="1" si="4"/>
        <v>#NAME?</v>
      </c>
      <c r="O70" s="125" t="e">
        <f ca="1">IF($A70="S",VTOTALBM,IF($A70=0,0,ROUND(SomaAgrupBM,15-13*ORÇAMENTO!$AF$11)))</f>
        <v>#NAME?</v>
      </c>
      <c r="Q70" s="337"/>
      <c r="R70" s="338"/>
      <c r="T70" s="117" t="e">
        <f t="shared" ca="1" si="5"/>
        <v>#NAME?</v>
      </c>
      <c r="U70" s="163" t="e">
        <f t="shared" ca="1" si="6"/>
        <v>#NAME?</v>
      </c>
      <c r="V70" s="164" t="e">
        <f ca="1">IF(AND($W70&gt;0,RegimeExecucao="Unitário"),$F70,"")</f>
        <v>#NAME?</v>
      </c>
      <c r="W70" s="454" t="e">
        <f ca="1">IF($Y70&gt;0,CHOOSE(MATCH(RegimeExecucao,{"Unitário","Global"},0),IF($A70="S",$Y70/$X70,""),($Y70/$X70)*100),0)</f>
        <v>#NAME?</v>
      </c>
      <c r="X70" s="339" t="e">
        <f ca="1">IF($Y70&gt;0,CHOOSE(MATCH(RegimeExecucao,{"Unitário","Global"},0),IF($A70="S",ROUND($H70,ORÇAMENTO!$AF$10),""),ROUND($I70,ORÇAMENTO!$AF$11)),"")</f>
        <v>#NAME?</v>
      </c>
      <c r="Y70" s="339" t="e">
        <f t="shared" ca="1" si="7"/>
        <v>#NAME?</v>
      </c>
      <c r="Z70" s="473"/>
      <c r="AB70" s="337"/>
      <c r="AC70" s="437"/>
      <c r="AD70" s="437"/>
      <c r="AE70" s="437"/>
      <c r="AF70" s="437"/>
      <c r="AG70" s="437"/>
      <c r="AH70" s="437"/>
      <c r="AI70" s="437"/>
      <c r="AJ70" s="437"/>
      <c r="AK70" s="437"/>
      <c r="AL70" s="437"/>
      <c r="AM70" s="338"/>
      <c r="AO70">
        <f ca="1">IF($A70="S",IF(BM!$I70=0,0,CHOOSE(MATCH(RegimeExecucao,{"Global","Unitário"},0),ROUND(ROUND(BM.MEDAcumulado,15-13*BM!$A$9)/100*BM!$I70,15-13*ORÇAMENTO!$AF$11),ROUND(ROUND(BM.MEDAcumulado,15-13*BM!$A$9)*ROUND(BM!$H70,15-13*ORÇAMENTO!$AF$10),15-13*ORÇAMENTO!$AF$11))),IF($A70=0,0,ROUND(SomaAgrupBM,15-13*ORÇAMENTO!$AF$11)))</f>
        <v>0</v>
      </c>
    </row>
    <row r="71" spans="1:41" ht="13.8" x14ac:dyDescent="0.3">
      <c r="A71" t="str">
        <f ca="1">ORÇAMENTO!C71</f>
        <v>S</v>
      </c>
      <c r="B71">
        <f ca="1">ORÇAMENTO!D71</f>
        <v>0</v>
      </c>
      <c r="C71" s="114" t="str">
        <f t="shared" ca="1" si="1"/>
        <v>F</v>
      </c>
      <c r="D71" s="117" t="str">
        <f ca="1">ORÇAMENTO!O71</f>
        <v>2.3.5.</v>
      </c>
      <c r="E71" s="163" t="str">
        <f t="shared" ca="1" si="2"/>
        <v>Transporte com caminhão basculante de 10 m³ - rodovia pavimentada</v>
      </c>
      <c r="F71" s="164" t="str">
        <f ca="1">IF(RegimeExecucao="Global","",ORÇAMENTO.Unidade)</f>
        <v>tkm</v>
      </c>
      <c r="G71" s="122">
        <f ca="1">IF(RegimeExecucao="Global","",ORÇAMENTO!T71)</f>
        <v>3333.96</v>
      </c>
      <c r="H71" s="122">
        <f ca="1">IF(RegimeExecucao="Global","",ORÇAMENTO!W71)</f>
        <v>1.01</v>
      </c>
      <c r="I71" s="125">
        <f ca="1">ORÇAMENTO!X71</f>
        <v>3367.3</v>
      </c>
      <c r="J71" s="333" t="e" cm="1">
        <f t="array" aca="1" ref="J71" ca="1">_xlfn.SINGLE(IF($A71="S",IF(CAIXA.Modo,BM.AFAnterior,BM.MEDAnterior),IF(AND(_xlfn.SINGLE(RegimeExecucao)="Global",$I71&gt;0,COUNTIF($AB$13:$AM$13,BM.medicao-1)&gt;0),M71/$I71*100,0)))</f>
        <v>#NAME?</v>
      </c>
      <c r="K71" s="122" t="e">
        <f t="shared" ca="1" si="3"/>
        <v>#NAME?</v>
      </c>
      <c r="L71" s="334" t="e" cm="1">
        <f t="array" aca="1" ref="L71" ca="1">_xlfn.SINGLE(IF($A71="S",IF(CAIXA.Modo,BM.AFAcumulado,BM.MEDAcumulado),IF(AND(_xlfn.SINGLE(RegimeExecucao)="Global",$I71&gt;0,COUNTIF($AB$13:$AM$13,BM.medicao)&gt;0),O71/$I71*100,0)))</f>
        <v>#NAME?</v>
      </c>
      <c r="M71" s="335" t="e">
        <f ca="1">IF($A71="S",VTOTALBM,IF($A71=0,0,ROUND(SomaAgrupBM,15-13*ORÇAMENTO!$AF$11)))</f>
        <v>#NAME?</v>
      </c>
      <c r="N71" s="336" t="e">
        <f t="shared" ca="1" si="4"/>
        <v>#NAME?</v>
      </c>
      <c r="O71" s="125" t="e">
        <f ca="1">IF($A71="S",VTOTALBM,IF($A71=0,0,ROUND(SomaAgrupBM,15-13*ORÇAMENTO!$AF$11)))</f>
        <v>#NAME?</v>
      </c>
      <c r="Q71" s="337"/>
      <c r="R71" s="338"/>
      <c r="T71" s="117" t="e">
        <f t="shared" ca="1" si="5"/>
        <v>#NAME?</v>
      </c>
      <c r="U71" s="163" t="e">
        <f t="shared" ca="1" si="6"/>
        <v>#NAME?</v>
      </c>
      <c r="V71" s="164" t="e">
        <f ca="1">IF(AND($W71&gt;0,RegimeExecucao="Unitário"),$F71,"")</f>
        <v>#NAME?</v>
      </c>
      <c r="W71" s="454" t="e">
        <f ca="1">IF($Y71&gt;0,CHOOSE(MATCH(RegimeExecucao,{"Unitário","Global"},0),IF($A71="S",$Y71/$X71,""),($Y71/$X71)*100),0)</f>
        <v>#NAME?</v>
      </c>
      <c r="X71" s="339" t="e">
        <f ca="1">IF($Y71&gt;0,CHOOSE(MATCH(RegimeExecucao,{"Unitário","Global"},0),IF($A71="S",ROUND($H71,ORÇAMENTO!$AF$10),""),ROUND($I71,ORÇAMENTO!$AF$11)),"")</f>
        <v>#NAME?</v>
      </c>
      <c r="Y71" s="339" t="e">
        <f t="shared" ca="1" si="7"/>
        <v>#NAME?</v>
      </c>
      <c r="Z71" s="473"/>
      <c r="AB71" s="337"/>
      <c r="AC71" s="437"/>
      <c r="AD71" s="437"/>
      <c r="AE71" s="437"/>
      <c r="AF71" s="437"/>
      <c r="AG71" s="437"/>
      <c r="AH71" s="437"/>
      <c r="AI71" s="437"/>
      <c r="AJ71" s="437"/>
      <c r="AK71" s="437"/>
      <c r="AL71" s="437"/>
      <c r="AM71" s="338"/>
      <c r="AO71">
        <f ca="1">IF($A71="S",IF(BM!$I71=0,0,CHOOSE(MATCH(RegimeExecucao,{"Global","Unitário"},0),ROUND(ROUND(BM.MEDAcumulado,15-13*BM!$A$9)/100*BM!$I71,15-13*ORÇAMENTO!$AF$11),ROUND(ROUND(BM.MEDAcumulado,15-13*BM!$A$9)*ROUND(BM!$H71,15-13*ORÇAMENTO!$AF$10),15-13*ORÇAMENTO!$AF$11))),IF($A71=0,0,ROUND(SomaAgrupBM,15-13*ORÇAMENTO!$AF$11)))</f>
        <v>0</v>
      </c>
    </row>
    <row r="72" spans="1:41" ht="26.4" x14ac:dyDescent="0.3">
      <c r="A72" t="str">
        <f ca="1">ORÇAMENTO!C72</f>
        <v>S</v>
      </c>
      <c r="B72">
        <f ca="1">ORÇAMENTO!D72</f>
        <v>0</v>
      </c>
      <c r="C72" s="114" t="str">
        <f t="shared" ca="1" si="1"/>
        <v>F</v>
      </c>
      <c r="D72" s="117" t="str">
        <f ca="1">ORÇAMENTO!O72</f>
        <v>2.3.6.</v>
      </c>
      <c r="E72" s="163" t="str">
        <f t="shared" ca="1" si="2"/>
        <v>CIMENTO ASFÁLTICO CAP 50-70, COLETADO NA ANP, ACRESCIDO DE IMPOSTOS (ICMS, PIS, CONFINS)</v>
      </c>
      <c r="F72" s="164" t="str">
        <f ca="1">IF(RegimeExecucao="Global","",ORÇAMENTO.Unidade)</f>
        <v>KG</v>
      </c>
      <c r="G72" s="122">
        <f ca="1">IF(RegimeExecucao="Global","",ORÇAMENTO!T72)</f>
        <v>8986.2000000000007</v>
      </c>
      <c r="H72" s="122">
        <f ca="1">IF(RegimeExecucao="Global","",ORÇAMENTO!W72)</f>
        <v>5.59</v>
      </c>
      <c r="I72" s="125">
        <f ca="1">ORÇAMENTO!X72</f>
        <v>50232.86</v>
      </c>
      <c r="J72" s="333" t="e" cm="1">
        <f t="array" aca="1" ref="J72" ca="1">_xlfn.SINGLE(IF($A72="S",IF(CAIXA.Modo,BM.AFAnterior,BM.MEDAnterior),IF(AND(_xlfn.SINGLE(RegimeExecucao)="Global",$I72&gt;0,COUNTIF($AB$13:$AM$13,BM.medicao-1)&gt;0),M72/$I72*100,0)))</f>
        <v>#NAME?</v>
      </c>
      <c r="K72" s="122" t="e">
        <f t="shared" ca="1" si="3"/>
        <v>#NAME?</v>
      </c>
      <c r="L72" s="334" t="e" cm="1">
        <f t="array" aca="1" ref="L72" ca="1">_xlfn.SINGLE(IF($A72="S",IF(CAIXA.Modo,BM.AFAcumulado,BM.MEDAcumulado),IF(AND(_xlfn.SINGLE(RegimeExecucao)="Global",$I72&gt;0,COUNTIF($AB$13:$AM$13,BM.medicao)&gt;0),O72/$I72*100,0)))</f>
        <v>#NAME?</v>
      </c>
      <c r="M72" s="335" t="e">
        <f ca="1">IF($A72="S",VTOTALBM,IF($A72=0,0,ROUND(SomaAgrupBM,15-13*ORÇAMENTO!$AF$11)))</f>
        <v>#NAME?</v>
      </c>
      <c r="N72" s="336" t="e">
        <f t="shared" ca="1" si="4"/>
        <v>#NAME?</v>
      </c>
      <c r="O72" s="125" t="e">
        <f ca="1">IF($A72="S",VTOTALBM,IF($A72=0,0,ROUND(SomaAgrupBM,15-13*ORÇAMENTO!$AF$11)))</f>
        <v>#NAME?</v>
      </c>
      <c r="Q72" s="337"/>
      <c r="R72" s="338"/>
      <c r="T72" s="117" t="e">
        <f t="shared" ca="1" si="5"/>
        <v>#NAME?</v>
      </c>
      <c r="U72" s="163" t="e">
        <f t="shared" ca="1" si="6"/>
        <v>#NAME?</v>
      </c>
      <c r="V72" s="164" t="e">
        <f ca="1">IF(AND($W72&gt;0,RegimeExecucao="Unitário"),$F72,"")</f>
        <v>#NAME?</v>
      </c>
      <c r="W72" s="454" t="e">
        <f ca="1">IF($Y72&gt;0,CHOOSE(MATCH(RegimeExecucao,{"Unitário","Global"},0),IF($A72="S",$Y72/$X72,""),($Y72/$X72)*100),0)</f>
        <v>#NAME?</v>
      </c>
      <c r="X72" s="339" t="e">
        <f ca="1">IF($Y72&gt;0,CHOOSE(MATCH(RegimeExecucao,{"Unitário","Global"},0),IF($A72="S",ROUND($H72,ORÇAMENTO!$AF$10),""),ROUND($I72,ORÇAMENTO!$AF$11)),"")</f>
        <v>#NAME?</v>
      </c>
      <c r="Y72" s="339" t="e">
        <f t="shared" ca="1" si="7"/>
        <v>#NAME?</v>
      </c>
      <c r="Z72" s="473"/>
      <c r="AB72" s="337"/>
      <c r="AC72" s="437"/>
      <c r="AD72" s="437"/>
      <c r="AE72" s="437"/>
      <c r="AF72" s="437"/>
      <c r="AG72" s="437"/>
      <c r="AH72" s="437"/>
      <c r="AI72" s="437"/>
      <c r="AJ72" s="437"/>
      <c r="AK72" s="437"/>
      <c r="AL72" s="437"/>
      <c r="AM72" s="338"/>
      <c r="AO72">
        <f ca="1">IF($A72="S",IF(BM!$I72=0,0,CHOOSE(MATCH(RegimeExecucao,{"Global","Unitário"},0),ROUND(ROUND(BM.MEDAcumulado,15-13*BM!$A$9)/100*BM!$I72,15-13*ORÇAMENTO!$AF$11),ROUND(ROUND(BM.MEDAcumulado,15-13*BM!$A$9)*ROUND(BM!$H72,15-13*ORÇAMENTO!$AF$10),15-13*ORÇAMENTO!$AF$11))),IF($A72=0,0,ROUND(SomaAgrupBM,15-13*ORÇAMENTO!$AF$11)))</f>
        <v>0</v>
      </c>
    </row>
    <row r="73" spans="1:41" ht="26.4" x14ac:dyDescent="0.3">
      <c r="A73" t="str">
        <f ca="1">ORÇAMENTO!C73</f>
        <v>S</v>
      </c>
      <c r="B73">
        <f ca="1">ORÇAMENTO!D73</f>
        <v>0</v>
      </c>
      <c r="C73" s="114" t="str">
        <f t="shared" ca="1" si="1"/>
        <v>F</v>
      </c>
      <c r="D73" s="117" t="str">
        <f ca="1">ORÇAMENTO!O73</f>
        <v>2.3.7.</v>
      </c>
      <c r="E73" s="163" t="str">
        <f t="shared" ca="1" si="2"/>
        <v>Transporte de material betuminoso com caminhão tanque distribuidor - rodovia pavimentada</v>
      </c>
      <c r="F73" s="164" t="str">
        <f ca="1">IF(RegimeExecucao="Global","",ORÇAMENTO.Unidade)</f>
        <v>tkm</v>
      </c>
      <c r="G73" s="122">
        <f ca="1">IF(RegimeExecucao="Global","",ORÇAMENTO!T73)</f>
        <v>3028.34</v>
      </c>
      <c r="H73" s="122">
        <f ca="1">IF(RegimeExecucao="Global","",ORÇAMENTO!W73)</f>
        <v>2.5499999999999998</v>
      </c>
      <c r="I73" s="125">
        <f ca="1">ORÇAMENTO!X73</f>
        <v>7722.27</v>
      </c>
      <c r="J73" s="333" t="e" cm="1">
        <f t="array" aca="1" ref="J73" ca="1">_xlfn.SINGLE(IF($A73="S",IF(CAIXA.Modo,BM.AFAnterior,BM.MEDAnterior),IF(AND(_xlfn.SINGLE(RegimeExecucao)="Global",$I73&gt;0,COUNTIF($AB$13:$AM$13,BM.medicao-1)&gt;0),M73/$I73*100,0)))</f>
        <v>#NAME?</v>
      </c>
      <c r="K73" s="122" t="e">
        <f t="shared" ca="1" si="3"/>
        <v>#NAME?</v>
      </c>
      <c r="L73" s="334" t="e" cm="1">
        <f t="array" aca="1" ref="L73" ca="1">_xlfn.SINGLE(IF($A73="S",IF(CAIXA.Modo,BM.AFAcumulado,BM.MEDAcumulado),IF(AND(_xlfn.SINGLE(RegimeExecucao)="Global",$I73&gt;0,COUNTIF($AB$13:$AM$13,BM.medicao)&gt;0),O73/$I73*100,0)))</f>
        <v>#NAME?</v>
      </c>
      <c r="M73" s="335" t="e">
        <f ca="1">IF($A73="S",VTOTALBM,IF($A73=0,0,ROUND(SomaAgrupBM,15-13*ORÇAMENTO!$AF$11)))</f>
        <v>#NAME?</v>
      </c>
      <c r="N73" s="336" t="e">
        <f t="shared" ca="1" si="4"/>
        <v>#NAME?</v>
      </c>
      <c r="O73" s="125" t="e">
        <f ca="1">IF($A73="S",VTOTALBM,IF($A73=0,0,ROUND(SomaAgrupBM,15-13*ORÇAMENTO!$AF$11)))</f>
        <v>#NAME?</v>
      </c>
      <c r="Q73" s="337"/>
      <c r="R73" s="338"/>
      <c r="T73" s="117" t="e">
        <f t="shared" ca="1" si="5"/>
        <v>#NAME?</v>
      </c>
      <c r="U73" s="163" t="e">
        <f t="shared" ca="1" si="6"/>
        <v>#NAME?</v>
      </c>
      <c r="V73" s="164" t="e">
        <f ca="1">IF(AND($W73&gt;0,RegimeExecucao="Unitário"),$F73,"")</f>
        <v>#NAME?</v>
      </c>
      <c r="W73" s="454" t="e">
        <f ca="1">IF($Y73&gt;0,CHOOSE(MATCH(RegimeExecucao,{"Unitário","Global"},0),IF($A73="S",$Y73/$X73,""),($Y73/$X73)*100),0)</f>
        <v>#NAME?</v>
      </c>
      <c r="X73" s="339" t="e">
        <f ca="1">IF($Y73&gt;0,CHOOSE(MATCH(RegimeExecucao,{"Unitário","Global"},0),IF($A73="S",ROUND($H73,ORÇAMENTO!$AF$10),""),ROUND($I73,ORÇAMENTO!$AF$11)),"")</f>
        <v>#NAME?</v>
      </c>
      <c r="Y73" s="339" t="e">
        <f t="shared" ca="1" si="7"/>
        <v>#NAME?</v>
      </c>
      <c r="Z73" s="473"/>
      <c r="AB73" s="337"/>
      <c r="AC73" s="437"/>
      <c r="AD73" s="437"/>
      <c r="AE73" s="437"/>
      <c r="AF73" s="437"/>
      <c r="AG73" s="437"/>
      <c r="AH73" s="437"/>
      <c r="AI73" s="437"/>
      <c r="AJ73" s="437"/>
      <c r="AK73" s="437"/>
      <c r="AL73" s="437"/>
      <c r="AM73" s="338"/>
      <c r="AO73">
        <f ca="1">IF($A73="S",IF(BM!$I73=0,0,CHOOSE(MATCH(RegimeExecucao,{"Global","Unitário"},0),ROUND(ROUND(BM.MEDAcumulado,15-13*BM!$A$9)/100*BM!$I73,15-13*ORÇAMENTO!$AF$11),ROUND(ROUND(BM.MEDAcumulado,15-13*BM!$A$9)*ROUND(BM!$H73,15-13*ORÇAMENTO!$AF$10),15-13*ORÇAMENTO!$AF$11))),IF($A73=0,0,ROUND(SomaAgrupBM,15-13*ORÇAMENTO!$AF$11)))</f>
        <v>0</v>
      </c>
    </row>
    <row r="74" spans="1:41" ht="13.8" x14ac:dyDescent="0.3">
      <c r="A74">
        <f ca="1">ORÇAMENTO!C74</f>
        <v>2</v>
      </c>
      <c r="B74">
        <f ca="1">ORÇAMENTO!D74</f>
        <v>8</v>
      </c>
      <c r="C74" s="114" t="str">
        <f t="shared" ca="1" si="1"/>
        <v>F</v>
      </c>
      <c r="D74" s="117" t="str">
        <f ca="1">ORÇAMENTO!O74</f>
        <v>2.4.</v>
      </c>
      <c r="E74" s="163" t="str">
        <f t="shared" si="2"/>
        <v>LOMBADAS TIPO A (3,70m de comprimento x 0,10m altura)</v>
      </c>
      <c r="F74" s="164" t="str">
        <f ca="1">IF(RegimeExecucao="Global","",ORÇAMENTO.Unidade)</f>
        <v>-</v>
      </c>
      <c r="G74" s="122">
        <f ca="1">IF(RegimeExecucao="Global","",ORÇAMENTO!T74)</f>
        <v>0</v>
      </c>
      <c r="H74" s="122">
        <f ca="1">IF(RegimeExecucao="Global","",ORÇAMENTO!W74)</f>
        <v>0</v>
      </c>
      <c r="I74" s="125">
        <f ca="1">ORÇAMENTO!X74</f>
        <v>5117.83</v>
      </c>
      <c r="J74" s="333" t="e" cm="1">
        <f t="array" aca="1" ref="J74" ca="1">_xlfn.SINGLE(IF($A74="S",IF(CAIXA.Modo,BM.AFAnterior,BM.MEDAnterior),IF(AND(_xlfn.SINGLE(RegimeExecucao)="Global",$I74&gt;0,COUNTIF($AB$13:$AM$13,BM.medicao-1)&gt;0),M74/$I74*100,0)))</f>
        <v>#NAME?</v>
      </c>
      <c r="K74" s="122" t="e">
        <f t="shared" ca="1" si="3"/>
        <v>#NAME?</v>
      </c>
      <c r="L74" s="334" t="e" cm="1">
        <f t="array" aca="1" ref="L74" ca="1">_xlfn.SINGLE(IF($A74="S",IF(CAIXA.Modo,BM.AFAcumulado,BM.MEDAcumulado),IF(AND(_xlfn.SINGLE(RegimeExecucao)="Global",$I74&gt;0,COUNTIF($AB$13:$AM$13,BM.medicao)&gt;0),O74/$I74*100,0)))</f>
        <v>#NAME?</v>
      </c>
      <c r="M74" s="335" t="e">
        <f ca="1">IF($A74="S",VTOTALBM,IF($A74=0,0,ROUND(SomaAgrupBM,15-13*ORÇAMENTO!$AF$11)))</f>
        <v>#NAME?</v>
      </c>
      <c r="N74" s="336" t="e">
        <f t="shared" ca="1" si="4"/>
        <v>#NAME?</v>
      </c>
      <c r="O74" s="125" t="e">
        <f ca="1">IF($A74="S",VTOTALBM,IF($A74=0,0,ROUND(SomaAgrupBM,15-13*ORÇAMENTO!$AF$11)))</f>
        <v>#NAME?</v>
      </c>
      <c r="Q74" s="337"/>
      <c r="R74" s="338"/>
      <c r="T74" s="117" t="e">
        <f t="shared" ca="1" si="5"/>
        <v>#NAME?</v>
      </c>
      <c r="U74" s="163" t="e">
        <f t="shared" ca="1" si="6"/>
        <v>#NAME?</v>
      </c>
      <c r="V74" s="164" t="e">
        <f ca="1">IF(AND($W74&gt;0,RegimeExecucao="Unitário"),$F74,"")</f>
        <v>#NAME?</v>
      </c>
      <c r="W74" s="454" t="e">
        <f ca="1">IF($Y74&gt;0,CHOOSE(MATCH(RegimeExecucao,{"Unitário","Global"},0),IF($A74="S",$Y74/$X74,""),($Y74/$X74)*100),0)</f>
        <v>#NAME?</v>
      </c>
      <c r="X74" s="339" t="e">
        <f ca="1">IF($Y74&gt;0,CHOOSE(MATCH(RegimeExecucao,{"Unitário","Global"},0),IF($A74="S",ROUND($H74,ORÇAMENTO!$AF$10),""),ROUND($I74,ORÇAMENTO!$AF$11)),"")</f>
        <v>#NAME?</v>
      </c>
      <c r="Y74" s="339" t="e">
        <f t="shared" ca="1" si="7"/>
        <v>#NAME?</v>
      </c>
      <c r="Z74" s="473"/>
      <c r="AB74" s="337"/>
      <c r="AC74" s="437"/>
      <c r="AD74" s="437"/>
      <c r="AE74" s="437"/>
      <c r="AF74" s="437"/>
      <c r="AG74" s="437"/>
      <c r="AH74" s="437"/>
      <c r="AI74" s="437"/>
      <c r="AJ74" s="437"/>
      <c r="AK74" s="437"/>
      <c r="AL74" s="437"/>
      <c r="AM74" s="338"/>
      <c r="AO74">
        <f ca="1">IF($A74="S",IF(BM!$I74=0,0,CHOOSE(MATCH(RegimeExecucao,{"Global","Unitário"},0),ROUND(ROUND(BM.MEDAcumulado,15-13*BM!$A$9)/100*BM!$I74,15-13*ORÇAMENTO!$AF$11),ROUND(ROUND(BM.MEDAcumulado,15-13*BM!$A$9)*ROUND(BM!$H74,15-13*ORÇAMENTO!$AF$10),15-13*ORÇAMENTO!$AF$11))),IF($A74=0,0,ROUND(SomaAgrupBM,15-13*ORÇAMENTO!$AF$11)))</f>
        <v>0</v>
      </c>
    </row>
    <row r="75" spans="1:41" ht="13.8" x14ac:dyDescent="0.3">
      <c r="A75" t="str">
        <f ca="1">ORÇAMENTO!C75</f>
        <v>S</v>
      </c>
      <c r="B75">
        <f ca="1">ORÇAMENTO!D75</f>
        <v>0</v>
      </c>
      <c r="C75" s="114" t="str">
        <f t="shared" ca="1" si="1"/>
        <v>F</v>
      </c>
      <c r="D75" s="117" t="str">
        <f ca="1">ORÇAMENTO!O75</f>
        <v>2.4.1.</v>
      </c>
      <c r="E75" s="163" t="str">
        <f t="shared" ca="1" si="2"/>
        <v>Pintura de ligação</v>
      </c>
      <c r="F75" s="164" t="str">
        <f ca="1">IF(RegimeExecucao="Global","",ORÇAMENTO.Unidade)</f>
        <v>m²</v>
      </c>
      <c r="G75" s="122">
        <f ca="1">IF(RegimeExecucao="Global","",ORÇAMENTO!T75)</f>
        <v>52.91</v>
      </c>
      <c r="H75" s="122">
        <f ca="1">IF(RegimeExecucao="Global","",ORÇAMENTO!W75)</f>
        <v>0.56999999999999995</v>
      </c>
      <c r="I75" s="125">
        <f ca="1">ORÇAMENTO!X75</f>
        <v>30.16</v>
      </c>
      <c r="J75" s="333" t="e" cm="1">
        <f t="array" aca="1" ref="J75" ca="1">_xlfn.SINGLE(IF($A75="S",IF(CAIXA.Modo,BM.AFAnterior,BM.MEDAnterior),IF(AND(_xlfn.SINGLE(RegimeExecucao)="Global",$I75&gt;0,COUNTIF($AB$13:$AM$13,BM.medicao-1)&gt;0),M75/$I75*100,0)))</f>
        <v>#NAME?</v>
      </c>
      <c r="K75" s="122" t="e">
        <f t="shared" ca="1" si="3"/>
        <v>#NAME?</v>
      </c>
      <c r="L75" s="334" t="e" cm="1">
        <f t="array" aca="1" ref="L75" ca="1">_xlfn.SINGLE(IF($A75="S",IF(CAIXA.Modo,BM.AFAcumulado,BM.MEDAcumulado),IF(AND(_xlfn.SINGLE(RegimeExecucao)="Global",$I75&gt;0,COUNTIF($AB$13:$AM$13,BM.medicao)&gt;0),O75/$I75*100,0)))</f>
        <v>#NAME?</v>
      </c>
      <c r="M75" s="335" t="e">
        <f ca="1">IF($A75="S",VTOTALBM,IF($A75=0,0,ROUND(SomaAgrupBM,15-13*ORÇAMENTO!$AF$11)))</f>
        <v>#NAME?</v>
      </c>
      <c r="N75" s="336" t="e">
        <f t="shared" ca="1" si="4"/>
        <v>#NAME?</v>
      </c>
      <c r="O75" s="125" t="e">
        <f ca="1">IF($A75="S",VTOTALBM,IF($A75=0,0,ROUND(SomaAgrupBM,15-13*ORÇAMENTO!$AF$11)))</f>
        <v>#NAME?</v>
      </c>
      <c r="Q75" s="337"/>
      <c r="R75" s="338"/>
      <c r="T75" s="117" t="e">
        <f t="shared" ca="1" si="5"/>
        <v>#NAME?</v>
      </c>
      <c r="U75" s="163" t="e">
        <f t="shared" ca="1" si="6"/>
        <v>#NAME?</v>
      </c>
      <c r="V75" s="164" t="e">
        <f ca="1">IF(AND($W75&gt;0,RegimeExecucao="Unitário"),$F75,"")</f>
        <v>#NAME?</v>
      </c>
      <c r="W75" s="454" t="e">
        <f ca="1">IF($Y75&gt;0,CHOOSE(MATCH(RegimeExecucao,{"Unitário","Global"},0),IF($A75="S",$Y75/$X75,""),($Y75/$X75)*100),0)</f>
        <v>#NAME?</v>
      </c>
      <c r="X75" s="339" t="e">
        <f ca="1">IF($Y75&gt;0,CHOOSE(MATCH(RegimeExecucao,{"Unitário","Global"},0),IF($A75="S",ROUND($H75,ORÇAMENTO!$AF$10),""),ROUND($I75,ORÇAMENTO!$AF$11)),"")</f>
        <v>#NAME?</v>
      </c>
      <c r="Y75" s="339" t="e">
        <f t="shared" ca="1" si="7"/>
        <v>#NAME?</v>
      </c>
      <c r="Z75" s="473"/>
      <c r="AB75" s="337"/>
      <c r="AC75" s="437"/>
      <c r="AD75" s="437"/>
      <c r="AE75" s="437"/>
      <c r="AF75" s="437"/>
      <c r="AG75" s="437"/>
      <c r="AH75" s="437"/>
      <c r="AI75" s="437"/>
      <c r="AJ75" s="437"/>
      <c r="AK75" s="437"/>
      <c r="AL75" s="437"/>
      <c r="AM75" s="338"/>
      <c r="AO75">
        <f ca="1">IF($A75="S",IF(BM!$I75=0,0,CHOOSE(MATCH(RegimeExecucao,{"Global","Unitário"},0),ROUND(ROUND(BM.MEDAcumulado,15-13*BM!$A$9)/100*BM!$I75,15-13*ORÇAMENTO!$AF$11),ROUND(ROUND(BM.MEDAcumulado,15-13*BM!$A$9)*ROUND(BM!$H75,15-13*ORÇAMENTO!$AF$10),15-13*ORÇAMENTO!$AF$11))),IF($A75=0,0,ROUND(SomaAgrupBM,15-13*ORÇAMENTO!$AF$11)))</f>
        <v>0</v>
      </c>
    </row>
    <row r="76" spans="1:41" ht="26.4" x14ac:dyDescent="0.3">
      <c r="A76" t="str">
        <f ca="1">ORÇAMENTO!C76</f>
        <v>S</v>
      </c>
      <c r="B76">
        <f ca="1">ORÇAMENTO!D76</f>
        <v>0</v>
      </c>
      <c r="C76" s="114" t="str">
        <f t="shared" ca="1" si="1"/>
        <v>F</v>
      </c>
      <c r="D76" s="117" t="str">
        <f ca="1">ORÇAMENTO!O76</f>
        <v>2.4.2.</v>
      </c>
      <c r="E76" s="163" t="str">
        <f t="shared" ca="1" si="2"/>
        <v>EMULSÃO ASFÁLTICA RR-1C COLETADO NA ANP, ACRESCIDO DE IMPOSTOS (ICMS, PIS, COFINS)</v>
      </c>
      <c r="F76" s="164" t="str">
        <f ca="1">IF(RegimeExecucao="Global","",ORÇAMENTO.Unidade)</f>
        <v>KG</v>
      </c>
      <c r="G76" s="122">
        <f ca="1">IF(RegimeExecucao="Global","",ORÇAMENTO!T76)</f>
        <v>23.81</v>
      </c>
      <c r="H76" s="122">
        <f ca="1">IF(RegimeExecucao="Global","",ORÇAMENTO!W76)</f>
        <v>4.21</v>
      </c>
      <c r="I76" s="125">
        <f ca="1">ORÇAMENTO!X76</f>
        <v>100.24</v>
      </c>
      <c r="J76" s="333" t="e" cm="1">
        <f t="array" aca="1" ref="J76" ca="1">_xlfn.SINGLE(IF($A76="S",IF(CAIXA.Modo,BM.AFAnterior,BM.MEDAnterior),IF(AND(_xlfn.SINGLE(RegimeExecucao)="Global",$I76&gt;0,COUNTIF($AB$13:$AM$13,BM.medicao-1)&gt;0),M76/$I76*100,0)))</f>
        <v>#NAME?</v>
      </c>
      <c r="K76" s="122" t="e">
        <f t="shared" ca="1" si="3"/>
        <v>#NAME?</v>
      </c>
      <c r="L76" s="334" t="e" cm="1">
        <f t="array" aca="1" ref="L76" ca="1">_xlfn.SINGLE(IF($A76="S",IF(CAIXA.Modo,BM.AFAcumulado,BM.MEDAcumulado),IF(AND(_xlfn.SINGLE(RegimeExecucao)="Global",$I76&gt;0,COUNTIF($AB$13:$AM$13,BM.medicao)&gt;0),O76/$I76*100,0)))</f>
        <v>#NAME?</v>
      </c>
      <c r="M76" s="335" t="e">
        <f ca="1">IF($A76="S",VTOTALBM,IF($A76=0,0,ROUND(SomaAgrupBM,15-13*ORÇAMENTO!$AF$11)))</f>
        <v>#NAME?</v>
      </c>
      <c r="N76" s="336" t="e">
        <f t="shared" ca="1" si="4"/>
        <v>#NAME?</v>
      </c>
      <c r="O76" s="125" t="e">
        <f ca="1">IF($A76="S",VTOTALBM,IF($A76=0,0,ROUND(SomaAgrupBM,15-13*ORÇAMENTO!$AF$11)))</f>
        <v>#NAME?</v>
      </c>
      <c r="Q76" s="337"/>
      <c r="R76" s="338"/>
      <c r="T76" s="117" t="e">
        <f t="shared" ca="1" si="5"/>
        <v>#NAME?</v>
      </c>
      <c r="U76" s="163" t="e">
        <f t="shared" ca="1" si="6"/>
        <v>#NAME?</v>
      </c>
      <c r="V76" s="164" t="e">
        <f ca="1">IF(AND($W76&gt;0,RegimeExecucao="Unitário"),$F76,"")</f>
        <v>#NAME?</v>
      </c>
      <c r="W76" s="454" t="e">
        <f ca="1">IF($Y76&gt;0,CHOOSE(MATCH(RegimeExecucao,{"Unitário","Global"},0),IF($A76="S",$Y76/$X76,""),($Y76/$X76)*100),0)</f>
        <v>#NAME?</v>
      </c>
      <c r="X76" s="339" t="e">
        <f ca="1">IF($Y76&gt;0,CHOOSE(MATCH(RegimeExecucao,{"Unitário","Global"},0),IF($A76="S",ROUND($H76,ORÇAMENTO!$AF$10),""),ROUND($I76,ORÇAMENTO!$AF$11)),"")</f>
        <v>#NAME?</v>
      </c>
      <c r="Y76" s="339" t="e">
        <f t="shared" ca="1" si="7"/>
        <v>#NAME?</v>
      </c>
      <c r="Z76" s="473"/>
      <c r="AB76" s="337"/>
      <c r="AC76" s="437"/>
      <c r="AD76" s="437"/>
      <c r="AE76" s="437"/>
      <c r="AF76" s="437"/>
      <c r="AG76" s="437"/>
      <c r="AH76" s="437"/>
      <c r="AI76" s="437"/>
      <c r="AJ76" s="437"/>
      <c r="AK76" s="437"/>
      <c r="AL76" s="437"/>
      <c r="AM76" s="338"/>
      <c r="AO76">
        <f ca="1">IF($A76="S",IF(BM!$I76=0,0,CHOOSE(MATCH(RegimeExecucao,{"Global","Unitário"},0),ROUND(ROUND(BM.MEDAcumulado,15-13*BM!$A$9)/100*BM!$I76,15-13*ORÇAMENTO!$AF$11),ROUND(ROUND(BM.MEDAcumulado,15-13*BM!$A$9)*ROUND(BM!$H76,15-13*ORÇAMENTO!$AF$10),15-13*ORÇAMENTO!$AF$11))),IF($A76=0,0,ROUND(SomaAgrupBM,15-13*ORÇAMENTO!$AF$11)))</f>
        <v>0</v>
      </c>
    </row>
    <row r="77" spans="1:41" ht="26.4" x14ac:dyDescent="0.3">
      <c r="A77" t="str">
        <f ca="1">ORÇAMENTO!C77</f>
        <v>S</v>
      </c>
      <c r="B77">
        <f ca="1">ORÇAMENTO!D77</f>
        <v>0</v>
      </c>
      <c r="C77" s="114" t="str">
        <f t="shared" ca="1" si="1"/>
        <v>F</v>
      </c>
      <c r="D77" s="117" t="str">
        <f ca="1">ORÇAMENTO!O77</f>
        <v>2.4.3.</v>
      </c>
      <c r="E77" s="163" t="str">
        <f t="shared" ca="1" si="2"/>
        <v>Transporte de material betuminoso com caminhão tanque distribuidor - rodovia pavimentada</v>
      </c>
      <c r="F77" s="164" t="str">
        <f ca="1">IF(RegimeExecucao="Global","",ORÇAMENTO.Unidade)</f>
        <v>tkm</v>
      </c>
      <c r="G77" s="122">
        <f ca="1">IF(RegimeExecucao="Global","",ORÇAMENTO!T77)</f>
        <v>8.02</v>
      </c>
      <c r="H77" s="122">
        <f ca="1">IF(RegimeExecucao="Global","",ORÇAMENTO!W77)</f>
        <v>2.5499999999999998</v>
      </c>
      <c r="I77" s="125">
        <f ca="1">ORÇAMENTO!X77</f>
        <v>20.45</v>
      </c>
      <c r="J77" s="333" t="e" cm="1">
        <f t="array" aca="1" ref="J77" ca="1">_xlfn.SINGLE(IF($A77="S",IF(CAIXA.Modo,BM.AFAnterior,BM.MEDAnterior),IF(AND(_xlfn.SINGLE(RegimeExecucao)="Global",$I77&gt;0,COUNTIF($AB$13:$AM$13,BM.medicao-1)&gt;0),M77/$I77*100,0)))</f>
        <v>#NAME?</v>
      </c>
      <c r="K77" s="122" t="e">
        <f t="shared" ca="1" si="3"/>
        <v>#NAME?</v>
      </c>
      <c r="L77" s="334" t="e" cm="1">
        <f t="array" aca="1" ref="L77" ca="1">_xlfn.SINGLE(IF($A77="S",IF(CAIXA.Modo,BM.AFAcumulado,BM.MEDAcumulado),IF(AND(_xlfn.SINGLE(RegimeExecucao)="Global",$I77&gt;0,COUNTIF($AB$13:$AM$13,BM.medicao)&gt;0),O77/$I77*100,0)))</f>
        <v>#NAME?</v>
      </c>
      <c r="M77" s="335" t="e">
        <f ca="1">IF($A77="S",VTOTALBM,IF($A77=0,0,ROUND(SomaAgrupBM,15-13*ORÇAMENTO!$AF$11)))</f>
        <v>#NAME?</v>
      </c>
      <c r="N77" s="336" t="e">
        <f t="shared" ca="1" si="4"/>
        <v>#NAME?</v>
      </c>
      <c r="O77" s="125" t="e">
        <f ca="1">IF($A77="S",VTOTALBM,IF($A77=0,0,ROUND(SomaAgrupBM,15-13*ORÇAMENTO!$AF$11)))</f>
        <v>#NAME?</v>
      </c>
      <c r="Q77" s="337"/>
      <c r="R77" s="338"/>
      <c r="T77" s="117" t="e">
        <f t="shared" ca="1" si="5"/>
        <v>#NAME?</v>
      </c>
      <c r="U77" s="163" t="e">
        <f t="shared" ca="1" si="6"/>
        <v>#NAME?</v>
      </c>
      <c r="V77" s="164" t="e">
        <f ca="1">IF(AND($W77&gt;0,RegimeExecucao="Unitário"),$F77,"")</f>
        <v>#NAME?</v>
      </c>
      <c r="W77" s="454" t="e">
        <f ca="1">IF($Y77&gt;0,CHOOSE(MATCH(RegimeExecucao,{"Unitário","Global"},0),IF($A77="S",$Y77/$X77,""),($Y77/$X77)*100),0)</f>
        <v>#NAME?</v>
      </c>
      <c r="X77" s="339" t="e">
        <f ca="1">IF($Y77&gt;0,CHOOSE(MATCH(RegimeExecucao,{"Unitário","Global"},0),IF($A77="S",ROUND($H77,ORÇAMENTO!$AF$10),""),ROUND($I77,ORÇAMENTO!$AF$11)),"")</f>
        <v>#NAME?</v>
      </c>
      <c r="Y77" s="339" t="e">
        <f t="shared" ca="1" si="7"/>
        <v>#NAME?</v>
      </c>
      <c r="Z77" s="473"/>
      <c r="AB77" s="337"/>
      <c r="AC77" s="437"/>
      <c r="AD77" s="437"/>
      <c r="AE77" s="437"/>
      <c r="AF77" s="437"/>
      <c r="AG77" s="437"/>
      <c r="AH77" s="437"/>
      <c r="AI77" s="437"/>
      <c r="AJ77" s="437"/>
      <c r="AK77" s="437"/>
      <c r="AL77" s="437"/>
      <c r="AM77" s="338"/>
      <c r="AO77">
        <f ca="1">IF($A77="S",IF(BM!$I77=0,0,CHOOSE(MATCH(RegimeExecucao,{"Global","Unitário"},0),ROUND(ROUND(BM.MEDAcumulado,15-13*BM!$A$9)/100*BM!$I77,15-13*ORÇAMENTO!$AF$11),ROUND(ROUND(BM.MEDAcumulado,15-13*BM!$A$9)*ROUND(BM!$H77,15-13*ORÇAMENTO!$AF$10),15-13*ORÇAMENTO!$AF$11))),IF($A77=0,0,ROUND(SomaAgrupBM,15-13*ORÇAMENTO!$AF$11)))</f>
        <v>0</v>
      </c>
    </row>
    <row r="78" spans="1:41" ht="13.8" x14ac:dyDescent="0.3">
      <c r="A78" t="str">
        <f ca="1">ORÇAMENTO!C78</f>
        <v>S</v>
      </c>
      <c r="B78">
        <f ca="1">ORÇAMENTO!D78</f>
        <v>0</v>
      </c>
      <c r="C78" s="114" t="str">
        <f t="shared" ca="1" si="1"/>
        <v>F</v>
      </c>
      <c r="D78" s="117" t="str">
        <f ca="1">ORÇAMENTO!O78</f>
        <v>2.4.4.</v>
      </c>
      <c r="E78" s="163" t="str">
        <f t="shared" ca="1" si="2"/>
        <v>Concreto asfáltico - faixa C-12,5 - areia extraída e brita produzida</v>
      </c>
      <c r="F78" s="164" t="str">
        <f ca="1">IF(RegimeExecucao="Global","",ORÇAMENTO.Unidade)</f>
        <v>t</v>
      </c>
      <c r="G78" s="122">
        <f ca="1">IF(RegimeExecucao="Global","",ORÇAMENTO!T78)</f>
        <v>8.85</v>
      </c>
      <c r="H78" s="122">
        <f ca="1">IF(RegimeExecucao="Global","",ORÇAMENTO!W78)</f>
        <v>174.65</v>
      </c>
      <c r="I78" s="125">
        <f ca="1">ORÇAMENTO!X78</f>
        <v>1545.65</v>
      </c>
      <c r="J78" s="333" t="e" cm="1">
        <f t="array" aca="1" ref="J78" ca="1">_xlfn.SINGLE(IF($A78="S",IF(CAIXA.Modo,BM.AFAnterior,BM.MEDAnterior),IF(AND(_xlfn.SINGLE(RegimeExecucao)="Global",$I78&gt;0,COUNTIF($AB$13:$AM$13,BM.medicao-1)&gt;0),M78/$I78*100,0)))</f>
        <v>#NAME?</v>
      </c>
      <c r="K78" s="122" t="e">
        <f t="shared" ca="1" si="3"/>
        <v>#NAME?</v>
      </c>
      <c r="L78" s="334" t="e" cm="1">
        <f t="array" aca="1" ref="L78" ca="1">_xlfn.SINGLE(IF($A78="S",IF(CAIXA.Modo,BM.AFAcumulado,BM.MEDAcumulado),IF(AND(_xlfn.SINGLE(RegimeExecucao)="Global",$I78&gt;0,COUNTIF($AB$13:$AM$13,BM.medicao)&gt;0),O78/$I78*100,0)))</f>
        <v>#NAME?</v>
      </c>
      <c r="M78" s="335" t="e">
        <f ca="1">IF($A78="S",VTOTALBM,IF($A78=0,0,ROUND(SomaAgrupBM,15-13*ORÇAMENTO!$AF$11)))</f>
        <v>#NAME?</v>
      </c>
      <c r="N78" s="336" t="e">
        <f t="shared" ca="1" si="4"/>
        <v>#NAME?</v>
      </c>
      <c r="O78" s="125" t="e">
        <f ca="1">IF($A78="S",VTOTALBM,IF($A78=0,0,ROUND(SomaAgrupBM,15-13*ORÇAMENTO!$AF$11)))</f>
        <v>#NAME?</v>
      </c>
      <c r="Q78" s="337"/>
      <c r="R78" s="338"/>
      <c r="T78" s="117" t="e">
        <f t="shared" ca="1" si="5"/>
        <v>#NAME?</v>
      </c>
      <c r="U78" s="163" t="e">
        <f t="shared" ca="1" si="6"/>
        <v>#NAME?</v>
      </c>
      <c r="V78" s="164" t="e">
        <f ca="1">IF(AND($W78&gt;0,RegimeExecucao="Unitário"),$F78,"")</f>
        <v>#NAME?</v>
      </c>
      <c r="W78" s="454" t="e">
        <f ca="1">IF($Y78&gt;0,CHOOSE(MATCH(RegimeExecucao,{"Unitário","Global"},0),IF($A78="S",$Y78/$X78,""),($Y78/$X78)*100),0)</f>
        <v>#NAME?</v>
      </c>
      <c r="X78" s="339" t="e">
        <f ca="1">IF($Y78&gt;0,CHOOSE(MATCH(RegimeExecucao,{"Unitário","Global"},0),IF($A78="S",ROUND($H78,ORÇAMENTO!$AF$10),""),ROUND($I78,ORÇAMENTO!$AF$11)),"")</f>
        <v>#NAME?</v>
      </c>
      <c r="Y78" s="339" t="e">
        <f t="shared" ca="1" si="7"/>
        <v>#NAME?</v>
      </c>
      <c r="Z78" s="473"/>
      <c r="AB78" s="337"/>
      <c r="AC78" s="437"/>
      <c r="AD78" s="437"/>
      <c r="AE78" s="437"/>
      <c r="AF78" s="437"/>
      <c r="AG78" s="437"/>
      <c r="AH78" s="437"/>
      <c r="AI78" s="437"/>
      <c r="AJ78" s="437"/>
      <c r="AK78" s="437"/>
      <c r="AL78" s="437"/>
      <c r="AM78" s="338"/>
      <c r="AO78">
        <f ca="1">IF($A78="S",IF(BM!$I78=0,0,CHOOSE(MATCH(RegimeExecucao,{"Global","Unitário"},0),ROUND(ROUND(BM.MEDAcumulado,15-13*BM!$A$9)/100*BM!$I78,15-13*ORÇAMENTO!$AF$11),ROUND(ROUND(BM.MEDAcumulado,15-13*BM!$A$9)*ROUND(BM!$H78,15-13*ORÇAMENTO!$AF$10),15-13*ORÇAMENTO!$AF$11))),IF($A78=0,0,ROUND(SomaAgrupBM,15-13*ORÇAMENTO!$AF$11)))</f>
        <v>0</v>
      </c>
    </row>
    <row r="79" spans="1:41" ht="13.8" x14ac:dyDescent="0.3">
      <c r="A79" t="str">
        <f ca="1">ORÇAMENTO!C79</f>
        <v>S</v>
      </c>
      <c r="B79">
        <f ca="1">ORÇAMENTO!D79</f>
        <v>0</v>
      </c>
      <c r="C79" s="114" t="str">
        <f ca="1">IF(OR($I79&gt;0,$A79=1,$A79=2,$A79=3,$A79=4),"F","")</f>
        <v>F</v>
      </c>
      <c r="D79" s="117" t="str">
        <f ca="1">ORÇAMENTO!O79</f>
        <v>2.4.5.</v>
      </c>
      <c r="E79" s="163" t="str">
        <f ca="1">ORÇAMENTO.Descricao</f>
        <v>Transporte com caminhão basculante de 10 m³ - rodovia pavimentada</v>
      </c>
      <c r="F79" s="164" t="str">
        <f ca="1">IF(RegimeExecucao="Global","",ORÇAMENTO.Unidade)</f>
        <v>tkm</v>
      </c>
      <c r="G79" s="122">
        <f ca="1">IF(RegimeExecucao="Global","",ORÇAMENTO!T79)</f>
        <v>185.85</v>
      </c>
      <c r="H79" s="122">
        <f ca="1">IF(RegimeExecucao="Global","",ORÇAMENTO!W79)</f>
        <v>1.01</v>
      </c>
      <c r="I79" s="125">
        <f ca="1">ORÇAMENTO!X79</f>
        <v>187.71</v>
      </c>
      <c r="J79" s="333" t="e" cm="1">
        <f t="array" aca="1" ref="J79" ca="1">_xlfn.SINGLE(IF($A79="S",IF(CAIXA.Modo,BM.AFAnterior,BM.MEDAnterior),IF(AND(_xlfn.SINGLE(RegimeExecucao)="Global",$I79&gt;0,COUNTIF($AB$13:$AM$13,BM.medicao-1)&gt;0),M79/$I79*100,0)))</f>
        <v>#NAME?</v>
      </c>
      <c r="K79" s="122" t="e">
        <f ca="1">L79-J79</f>
        <v>#NAME?</v>
      </c>
      <c r="L79" s="334" t="e" cm="1">
        <f t="array" aca="1" ref="L79" ca="1">_xlfn.SINGLE(IF($A79="S",IF(CAIXA.Modo,BM.AFAcumulado,BM.MEDAcumulado),IF(AND(_xlfn.SINGLE(RegimeExecucao)="Global",$I79&gt;0,COUNTIF($AB$13:$AM$13,BM.medicao)&gt;0),O79/$I79*100,0)))</f>
        <v>#NAME?</v>
      </c>
      <c r="M79" s="335" t="e">
        <f ca="1">IF($A79="S",VTOTALBM,IF($A79=0,0,ROUND(SomaAgrupBM,15-13*ORÇAMENTO!$AF$11)))</f>
        <v>#NAME?</v>
      </c>
      <c r="N79" s="336" t="e">
        <f ca="1">O79-M79</f>
        <v>#NAME?</v>
      </c>
      <c r="O79" s="125" t="e">
        <f ca="1">IF($A79="S",VTOTALBM,IF($A79=0,0,ROUND(SomaAgrupBM,15-13*ORÇAMENTO!$AF$11)))</f>
        <v>#NAME?</v>
      </c>
      <c r="Q79" s="337"/>
      <c r="R79" s="338"/>
      <c r="T79" s="117" t="e">
        <f ca="1">IF($W79&gt;0,$D79,"")</f>
        <v>#NAME?</v>
      </c>
      <c r="U79" s="163" t="e">
        <f ca="1">IF($W79&gt;0,$E79,"")</f>
        <v>#NAME?</v>
      </c>
      <c r="V79" s="164" t="e">
        <f ca="1">IF(AND($W79&gt;0,RegimeExecucao="Unitário"),$F79,"")</f>
        <v>#NAME?</v>
      </c>
      <c r="W79" s="454" t="e">
        <f ca="1">IF($Y79&gt;0,CHOOSE(MATCH(RegimeExecucao,{"Unitário","Global"},0),IF($A79="S",$Y79/$X79,""),($Y79/$X79)*100),0)</f>
        <v>#NAME?</v>
      </c>
      <c r="X79" s="339" t="e">
        <f ca="1">IF($Y79&gt;0,CHOOSE(MATCH(RegimeExecucao,{"Unitário","Global"},0),IF($A79="S",ROUND($H79,ORÇAMENTO!$AF$10),""),ROUND($I79,ORÇAMENTO!$AF$11)),"")</f>
        <v>#NAME?</v>
      </c>
      <c r="Y79" s="339" t="e">
        <f ca="1">AO79-O79</f>
        <v>#NAME?</v>
      </c>
      <c r="Z79" s="473"/>
      <c r="AB79" s="337"/>
      <c r="AC79" s="437"/>
      <c r="AD79" s="437"/>
      <c r="AE79" s="437"/>
      <c r="AF79" s="437"/>
      <c r="AG79" s="437"/>
      <c r="AH79" s="437"/>
      <c r="AI79" s="437"/>
      <c r="AJ79" s="437"/>
      <c r="AK79" s="437"/>
      <c r="AL79" s="437"/>
      <c r="AM79" s="338"/>
      <c r="AO79">
        <f ca="1">IF($A79="S",IF(BM!$I79=0,0,CHOOSE(MATCH(RegimeExecucao,{"Global","Unitário"},0),ROUND(ROUND(BM.MEDAcumulado,15-13*BM!$A$9)/100*BM!$I79,15-13*ORÇAMENTO!$AF$11),ROUND(ROUND(BM.MEDAcumulado,15-13*BM!$A$9)*ROUND(BM!$H79,15-13*ORÇAMENTO!$AF$10),15-13*ORÇAMENTO!$AF$11))),IF($A79=0,0,ROUND(SomaAgrupBM,15-13*ORÇAMENTO!$AF$11)))</f>
        <v>0</v>
      </c>
    </row>
    <row r="80" spans="1:41" ht="26.4" x14ac:dyDescent="0.3">
      <c r="A80" t="str">
        <f ca="1">ORÇAMENTO!C80</f>
        <v>S</v>
      </c>
      <c r="B80">
        <f ca="1">ORÇAMENTO!D80</f>
        <v>0</v>
      </c>
      <c r="C80" s="114" t="str">
        <f t="shared" ca="1" si="1"/>
        <v>F</v>
      </c>
      <c r="D80" s="117" t="str">
        <f ca="1">ORÇAMENTO!O80</f>
        <v>2.4.6.</v>
      </c>
      <c r="E80" s="163" t="str">
        <f t="shared" ca="1" si="2"/>
        <v>CIMENTO ASFÁLTICO CAP 50-70, COLETADO NA ANP, ACRESCIDO DE IMPOSTOS (ICMS, PIS, CONFINS)</v>
      </c>
      <c r="F80" s="164" t="str">
        <f ca="1">IF(RegimeExecucao="Global","",ORÇAMENTO.Unidade)</f>
        <v>KG</v>
      </c>
      <c r="G80" s="122">
        <f ca="1">IF(RegimeExecucao="Global","",ORÇAMENTO!T80)</f>
        <v>501.39</v>
      </c>
      <c r="H80" s="122">
        <f ca="1">IF(RegimeExecucao="Global","",ORÇAMENTO!W80)</f>
        <v>5.59</v>
      </c>
      <c r="I80" s="125">
        <f ca="1">ORÇAMENTO!X80</f>
        <v>2802.77</v>
      </c>
      <c r="J80" s="333" t="e" cm="1">
        <f t="array" aca="1" ref="J80" ca="1">_xlfn.SINGLE(IF($A80="S",IF(CAIXA.Modo,BM.AFAnterior,BM.MEDAnterior),IF(AND(_xlfn.SINGLE(RegimeExecucao)="Global",$I80&gt;0,COUNTIF($AB$13:$AM$13,BM.medicao-1)&gt;0),M80/$I80*100,0)))</f>
        <v>#NAME?</v>
      </c>
      <c r="K80" s="122" t="e">
        <f t="shared" ca="1" si="3"/>
        <v>#NAME?</v>
      </c>
      <c r="L80" s="334" t="e" cm="1">
        <f t="array" aca="1" ref="L80" ca="1">_xlfn.SINGLE(IF($A80="S",IF(CAIXA.Modo,BM.AFAcumulado,BM.MEDAcumulado),IF(AND(_xlfn.SINGLE(RegimeExecucao)="Global",$I80&gt;0,COUNTIF($AB$13:$AM$13,BM.medicao)&gt;0),O80/$I80*100,0)))</f>
        <v>#NAME?</v>
      </c>
      <c r="M80" s="335" t="e">
        <f ca="1">IF($A80="S",VTOTALBM,IF($A80=0,0,ROUND(SomaAgrupBM,15-13*ORÇAMENTO!$AF$11)))</f>
        <v>#NAME?</v>
      </c>
      <c r="N80" s="336" t="e">
        <f t="shared" ca="1" si="4"/>
        <v>#NAME?</v>
      </c>
      <c r="O80" s="125" t="e">
        <f ca="1">IF($A80="S",VTOTALBM,IF($A80=0,0,ROUND(SomaAgrupBM,15-13*ORÇAMENTO!$AF$11)))</f>
        <v>#NAME?</v>
      </c>
      <c r="Q80" s="337"/>
      <c r="R80" s="338"/>
      <c r="T80" s="117" t="e">
        <f t="shared" ca="1" si="5"/>
        <v>#NAME?</v>
      </c>
      <c r="U80" s="163" t="e">
        <f t="shared" ca="1" si="6"/>
        <v>#NAME?</v>
      </c>
      <c r="V80" s="164" t="e">
        <f ca="1">IF(AND($W80&gt;0,RegimeExecucao="Unitário"),$F80,"")</f>
        <v>#NAME?</v>
      </c>
      <c r="W80" s="454" t="e">
        <f ca="1">IF($Y80&gt;0,CHOOSE(MATCH(RegimeExecucao,{"Unitário","Global"},0),IF($A80="S",$Y80/$X80,""),($Y80/$X80)*100),0)</f>
        <v>#NAME?</v>
      </c>
      <c r="X80" s="339" t="e">
        <f ca="1">IF($Y80&gt;0,CHOOSE(MATCH(RegimeExecucao,{"Unitário","Global"},0),IF($A80="S",ROUND($H80,ORÇAMENTO!$AF$10),""),ROUND($I80,ORÇAMENTO!$AF$11)),"")</f>
        <v>#NAME?</v>
      </c>
      <c r="Y80" s="339" t="e">
        <f t="shared" ca="1" si="7"/>
        <v>#NAME?</v>
      </c>
      <c r="Z80" s="473"/>
      <c r="AB80" s="337"/>
      <c r="AC80" s="437"/>
      <c r="AD80" s="437"/>
      <c r="AE80" s="437"/>
      <c r="AF80" s="437"/>
      <c r="AG80" s="437"/>
      <c r="AH80" s="437"/>
      <c r="AI80" s="437"/>
      <c r="AJ80" s="437"/>
      <c r="AK80" s="437"/>
      <c r="AL80" s="437"/>
      <c r="AM80" s="338"/>
      <c r="AO80">
        <f ca="1">IF($A80="S",IF(BM!$I80=0,0,CHOOSE(MATCH(RegimeExecucao,{"Global","Unitário"},0),ROUND(ROUND(BM.MEDAcumulado,15-13*BM!$A$9)/100*BM!$I80,15-13*ORÇAMENTO!$AF$11),ROUND(ROUND(BM.MEDAcumulado,15-13*BM!$A$9)*ROUND(BM!$H80,15-13*ORÇAMENTO!$AF$10),15-13*ORÇAMENTO!$AF$11))),IF($A80=0,0,ROUND(SomaAgrupBM,15-13*ORÇAMENTO!$AF$11)))</f>
        <v>0</v>
      </c>
    </row>
    <row r="81" spans="1:41" ht="26.4" x14ac:dyDescent="0.3">
      <c r="A81" t="str">
        <f ca="1">ORÇAMENTO!C81</f>
        <v>S</v>
      </c>
      <c r="B81">
        <f ca="1">ORÇAMENTO!D81</f>
        <v>0</v>
      </c>
      <c r="C81" s="114" t="str">
        <f t="shared" ca="1" si="1"/>
        <v>F</v>
      </c>
      <c r="D81" s="117" t="str">
        <f ca="1">ORÇAMENTO!O81</f>
        <v>2.4.7.</v>
      </c>
      <c r="E81" s="163" t="str">
        <f t="shared" ca="1" si="2"/>
        <v>Transporte de material betuminoso com caminhão tanque distribuidor - rodovia pavimentada</v>
      </c>
      <c r="F81" s="164" t="str">
        <f ca="1">IF(RegimeExecucao="Global","",ORÇAMENTO.Unidade)</f>
        <v>tkm</v>
      </c>
      <c r="G81" s="122">
        <f ca="1">IF(RegimeExecucao="Global","",ORÇAMENTO!T81)</f>
        <v>168.96</v>
      </c>
      <c r="H81" s="122">
        <f ca="1">IF(RegimeExecucao="Global","",ORÇAMENTO!W81)</f>
        <v>2.5499999999999998</v>
      </c>
      <c r="I81" s="125">
        <f ca="1">ORÇAMENTO!X81</f>
        <v>430.85</v>
      </c>
      <c r="J81" s="333" t="e" cm="1">
        <f t="array" aca="1" ref="J81" ca="1">_xlfn.SINGLE(IF($A81="S",IF(CAIXA.Modo,BM.AFAnterior,BM.MEDAnterior),IF(AND(_xlfn.SINGLE(RegimeExecucao)="Global",$I81&gt;0,COUNTIF($AB$13:$AM$13,BM.medicao-1)&gt;0),M81/$I81*100,0)))</f>
        <v>#NAME?</v>
      </c>
      <c r="K81" s="122" t="e">
        <f t="shared" ca="1" si="3"/>
        <v>#NAME?</v>
      </c>
      <c r="L81" s="334" t="e" cm="1">
        <f t="array" aca="1" ref="L81" ca="1">_xlfn.SINGLE(IF($A81="S",IF(CAIXA.Modo,BM.AFAcumulado,BM.MEDAcumulado),IF(AND(_xlfn.SINGLE(RegimeExecucao)="Global",$I81&gt;0,COUNTIF($AB$13:$AM$13,BM.medicao)&gt;0),O81/$I81*100,0)))</f>
        <v>#NAME?</v>
      </c>
      <c r="M81" s="335" t="e">
        <f ca="1">IF($A81="S",VTOTALBM,IF($A81=0,0,ROUND(SomaAgrupBM,15-13*ORÇAMENTO!$AF$11)))</f>
        <v>#NAME?</v>
      </c>
      <c r="N81" s="336" t="e">
        <f t="shared" ca="1" si="4"/>
        <v>#NAME?</v>
      </c>
      <c r="O81" s="125" t="e">
        <f ca="1">IF($A81="S",VTOTALBM,IF($A81=0,0,ROUND(SomaAgrupBM,15-13*ORÇAMENTO!$AF$11)))</f>
        <v>#NAME?</v>
      </c>
      <c r="Q81" s="337"/>
      <c r="R81" s="338"/>
      <c r="T81" s="117" t="e">
        <f t="shared" ca="1" si="5"/>
        <v>#NAME?</v>
      </c>
      <c r="U81" s="163" t="e">
        <f t="shared" ca="1" si="6"/>
        <v>#NAME?</v>
      </c>
      <c r="V81" s="164" t="e">
        <f ca="1">IF(AND($W81&gt;0,RegimeExecucao="Unitário"),$F81,"")</f>
        <v>#NAME?</v>
      </c>
      <c r="W81" s="454" t="e">
        <f ca="1">IF($Y81&gt;0,CHOOSE(MATCH(RegimeExecucao,{"Unitário","Global"},0),IF($A81="S",$Y81/$X81,""),($Y81/$X81)*100),0)</f>
        <v>#NAME?</v>
      </c>
      <c r="X81" s="339" t="e">
        <f ca="1">IF($Y81&gt;0,CHOOSE(MATCH(RegimeExecucao,{"Unitário","Global"},0),IF($A81="S",ROUND($H81,ORÇAMENTO!$AF$10),""),ROUND($I81,ORÇAMENTO!$AF$11)),"")</f>
        <v>#NAME?</v>
      </c>
      <c r="Y81" s="339" t="e">
        <f t="shared" ca="1" si="7"/>
        <v>#NAME?</v>
      </c>
      <c r="Z81" s="473"/>
      <c r="AB81" s="337"/>
      <c r="AC81" s="437"/>
      <c r="AD81" s="437"/>
      <c r="AE81" s="437"/>
      <c r="AF81" s="437"/>
      <c r="AG81" s="437"/>
      <c r="AH81" s="437"/>
      <c r="AI81" s="437"/>
      <c r="AJ81" s="437"/>
      <c r="AK81" s="437"/>
      <c r="AL81" s="437"/>
      <c r="AM81" s="338"/>
      <c r="AO81">
        <f ca="1">IF($A81="S",IF(BM!$I81=0,0,CHOOSE(MATCH(RegimeExecucao,{"Global","Unitário"},0),ROUND(ROUND(BM.MEDAcumulado,15-13*BM!$A$9)/100*BM!$I81,15-13*ORÇAMENTO!$AF$11),ROUND(ROUND(BM.MEDAcumulado,15-13*BM!$A$9)*ROUND(BM!$H81,15-13*ORÇAMENTO!$AF$10),15-13*ORÇAMENTO!$AF$11))),IF($A81=0,0,ROUND(SomaAgrupBM,15-13*ORÇAMENTO!$AF$11)))</f>
        <v>0</v>
      </c>
    </row>
    <row r="82" spans="1:41" ht="13.8" x14ac:dyDescent="0.3">
      <c r="A82">
        <f ca="1">ORÇAMENTO!C82</f>
        <v>2</v>
      </c>
      <c r="B82">
        <f ca="1">ORÇAMENTO!D82</f>
        <v>6</v>
      </c>
      <c r="C82" s="114" t="str">
        <f t="shared" ca="1" si="1"/>
        <v>F</v>
      </c>
      <c r="D82" s="117" t="str">
        <f ca="1">ORÇAMENTO!O82</f>
        <v>2.5.</v>
      </c>
      <c r="E82" s="163" t="str">
        <f t="shared" si="2"/>
        <v>SINALIZAÇÃO</v>
      </c>
      <c r="F82" s="164" t="str">
        <f ca="1">IF(RegimeExecucao="Global","",ORÇAMENTO.Unidade)</f>
        <v>-</v>
      </c>
      <c r="G82" s="122">
        <f ca="1">IF(RegimeExecucao="Global","",ORÇAMENTO!T82)</f>
        <v>0</v>
      </c>
      <c r="H82" s="122">
        <f ca="1">IF(RegimeExecucao="Global","",ORÇAMENTO!W82)</f>
        <v>0</v>
      </c>
      <c r="I82" s="125">
        <f ca="1">ORÇAMENTO!X82</f>
        <v>9352.3700000000008</v>
      </c>
      <c r="J82" s="333" t="e" cm="1">
        <f t="array" aca="1" ref="J82" ca="1">_xlfn.SINGLE(IF($A82="S",IF(CAIXA.Modo,BM.AFAnterior,BM.MEDAnterior),IF(AND(_xlfn.SINGLE(RegimeExecucao)="Global",$I82&gt;0,COUNTIF($AB$13:$AM$13,BM.medicao-1)&gt;0),M82/$I82*100,0)))</f>
        <v>#NAME?</v>
      </c>
      <c r="K82" s="122" t="e">
        <f t="shared" ca="1" si="3"/>
        <v>#NAME?</v>
      </c>
      <c r="L82" s="334" t="e" cm="1">
        <f t="array" aca="1" ref="L82" ca="1">_xlfn.SINGLE(IF($A82="S",IF(CAIXA.Modo,BM.AFAcumulado,BM.MEDAcumulado),IF(AND(_xlfn.SINGLE(RegimeExecucao)="Global",$I82&gt;0,COUNTIF($AB$13:$AM$13,BM.medicao)&gt;0),O82/$I82*100,0)))</f>
        <v>#NAME?</v>
      </c>
      <c r="M82" s="335" t="e">
        <f ca="1">IF($A82="S",VTOTALBM,IF($A82=0,0,ROUND(SomaAgrupBM,15-13*ORÇAMENTO!$AF$11)))</f>
        <v>#NAME?</v>
      </c>
      <c r="N82" s="336" t="e">
        <f t="shared" ca="1" si="4"/>
        <v>#NAME?</v>
      </c>
      <c r="O82" s="125" t="e">
        <f ca="1">IF($A82="S",VTOTALBM,IF($A82=0,0,ROUND(SomaAgrupBM,15-13*ORÇAMENTO!$AF$11)))</f>
        <v>#NAME?</v>
      </c>
      <c r="Q82" s="337"/>
      <c r="R82" s="338"/>
      <c r="T82" s="117" t="e">
        <f t="shared" ca="1" si="5"/>
        <v>#NAME?</v>
      </c>
      <c r="U82" s="163" t="e">
        <f t="shared" ca="1" si="6"/>
        <v>#NAME?</v>
      </c>
      <c r="V82" s="164" t="e">
        <f ca="1">IF(AND($W82&gt;0,RegimeExecucao="Unitário"),$F82,"")</f>
        <v>#NAME?</v>
      </c>
      <c r="W82" s="454" t="e">
        <f ca="1">IF($Y82&gt;0,CHOOSE(MATCH(RegimeExecucao,{"Unitário","Global"},0),IF($A82="S",$Y82/$X82,""),($Y82/$X82)*100),0)</f>
        <v>#NAME?</v>
      </c>
      <c r="X82" s="339" t="e">
        <f ca="1">IF($Y82&gt;0,CHOOSE(MATCH(RegimeExecucao,{"Unitário","Global"},0),IF($A82="S",ROUND($H82,ORÇAMENTO!$AF$10),""),ROUND($I82,ORÇAMENTO!$AF$11)),"")</f>
        <v>#NAME?</v>
      </c>
      <c r="Y82" s="339" t="e">
        <f t="shared" ca="1" si="7"/>
        <v>#NAME?</v>
      </c>
      <c r="Z82" s="473"/>
      <c r="AB82" s="337"/>
      <c r="AC82" s="437"/>
      <c r="AD82" s="437"/>
      <c r="AE82" s="437"/>
      <c r="AF82" s="437"/>
      <c r="AG82" s="437"/>
      <c r="AH82" s="437"/>
      <c r="AI82" s="437"/>
      <c r="AJ82" s="437"/>
      <c r="AK82" s="437"/>
      <c r="AL82" s="437"/>
      <c r="AM82" s="338"/>
      <c r="AO82">
        <f ca="1">IF($A82="S",IF(BM!$I82=0,0,CHOOSE(MATCH(RegimeExecucao,{"Global","Unitário"},0),ROUND(ROUND(BM.MEDAcumulado,15-13*BM!$A$9)/100*BM!$I82,15-13*ORÇAMENTO!$AF$11),ROUND(ROUND(BM.MEDAcumulado,15-13*BM!$A$9)*ROUND(BM!$H82,15-13*ORÇAMENTO!$AF$10),15-13*ORÇAMENTO!$AF$11))),IF($A82=0,0,ROUND(SomaAgrupBM,15-13*ORÇAMENTO!$AF$11)))</f>
        <v>0</v>
      </c>
    </row>
    <row r="83" spans="1:41" ht="39.6" x14ac:dyDescent="0.3">
      <c r="A83" t="str">
        <f ca="1">ORÇAMENTO!C83</f>
        <v>S</v>
      </c>
      <c r="B83">
        <f ca="1">ORÇAMENTO!D83</f>
        <v>0</v>
      </c>
      <c r="C83" s="114" t="str">
        <f t="shared" ca="1" si="1"/>
        <v>F</v>
      </c>
      <c r="D83" s="117" t="str">
        <f ca="1">ORÇAMENTO!O83</f>
        <v>2.5.1.</v>
      </c>
      <c r="E83" s="163" t="str">
        <f t="shared" ca="1" si="2"/>
        <v xml:space="preserve">PINTURA DE EIXO VIÁRIO SOBRE ASFLATO COM TINTA RETRORREFLETIVA A BASE DE RESINA ACRÍLICA COM MICROESFERAS DE VIDRO, E= 10CM </v>
      </c>
      <c r="F83" s="164" t="str">
        <f ca="1">IF(RegimeExecucao="Global","",ORÇAMENTO.Unidade)</f>
        <v>M</v>
      </c>
      <c r="G83" s="122">
        <f ca="1">IF(RegimeExecucao="Global","",ORÇAMENTO!T83)</f>
        <v>122.76</v>
      </c>
      <c r="H83" s="122">
        <f ca="1">IF(RegimeExecucao="Global","",ORÇAMENTO!W83)</f>
        <v>6.37</v>
      </c>
      <c r="I83" s="125">
        <f ca="1">ORÇAMENTO!X83</f>
        <v>781.98</v>
      </c>
      <c r="J83" s="333" t="e" cm="1">
        <f t="array" aca="1" ref="J83" ca="1">_xlfn.SINGLE(IF($A83="S",IF(CAIXA.Modo,BM.AFAnterior,BM.MEDAnterior),IF(AND(_xlfn.SINGLE(RegimeExecucao)="Global",$I83&gt;0,COUNTIF($AB$13:$AM$13,BM.medicao-1)&gt;0),M83/$I83*100,0)))</f>
        <v>#NAME?</v>
      </c>
      <c r="K83" s="122" t="e">
        <f t="shared" ca="1" si="3"/>
        <v>#NAME?</v>
      </c>
      <c r="L83" s="334" t="e" cm="1">
        <f t="array" aca="1" ref="L83" ca="1">_xlfn.SINGLE(IF($A83="S",IF(CAIXA.Modo,BM.AFAcumulado,BM.MEDAcumulado),IF(AND(_xlfn.SINGLE(RegimeExecucao)="Global",$I83&gt;0,COUNTIF($AB$13:$AM$13,BM.medicao)&gt;0),O83/$I83*100,0)))</f>
        <v>#NAME?</v>
      </c>
      <c r="M83" s="335" t="e">
        <f ca="1">IF($A83="S",VTOTALBM,IF($A83=0,0,ROUND(SomaAgrupBM,15-13*ORÇAMENTO!$AF$11)))</f>
        <v>#NAME?</v>
      </c>
      <c r="N83" s="336" t="e">
        <f t="shared" ca="1" si="4"/>
        <v>#NAME?</v>
      </c>
      <c r="O83" s="125" t="e">
        <f ca="1">IF($A83="S",VTOTALBM,IF($A83=0,0,ROUND(SomaAgrupBM,15-13*ORÇAMENTO!$AF$11)))</f>
        <v>#NAME?</v>
      </c>
      <c r="Q83" s="337"/>
      <c r="R83" s="338"/>
      <c r="T83" s="117" t="e">
        <f t="shared" ca="1" si="5"/>
        <v>#NAME?</v>
      </c>
      <c r="U83" s="163" t="e">
        <f t="shared" ca="1" si="6"/>
        <v>#NAME?</v>
      </c>
      <c r="V83" s="164" t="e">
        <f ca="1">IF(AND($W83&gt;0,RegimeExecucao="Unitário"),$F83,"")</f>
        <v>#NAME?</v>
      </c>
      <c r="W83" s="454" t="e">
        <f ca="1">IF($Y83&gt;0,CHOOSE(MATCH(RegimeExecucao,{"Unitário","Global"},0),IF($A83="S",$Y83/$X83,""),($Y83/$X83)*100),0)</f>
        <v>#NAME?</v>
      </c>
      <c r="X83" s="339" t="e">
        <f ca="1">IF($Y83&gt;0,CHOOSE(MATCH(RegimeExecucao,{"Unitário","Global"},0),IF($A83="S",ROUND($H83,ORÇAMENTO!$AF$10),""),ROUND($I83,ORÇAMENTO!$AF$11)),"")</f>
        <v>#NAME?</v>
      </c>
      <c r="Y83" s="339" t="e">
        <f t="shared" ca="1" si="7"/>
        <v>#NAME?</v>
      </c>
      <c r="Z83" s="473"/>
      <c r="AB83" s="337"/>
      <c r="AC83" s="437"/>
      <c r="AD83" s="437"/>
      <c r="AE83" s="437"/>
      <c r="AF83" s="437"/>
      <c r="AG83" s="437"/>
      <c r="AH83" s="437"/>
      <c r="AI83" s="437"/>
      <c r="AJ83" s="437"/>
      <c r="AK83" s="437"/>
      <c r="AL83" s="437"/>
      <c r="AM83" s="338"/>
      <c r="AO83">
        <f ca="1">IF($A83="S",IF(BM!$I83=0,0,CHOOSE(MATCH(RegimeExecucao,{"Global","Unitário"},0),ROUND(ROUND(BM.MEDAcumulado,15-13*BM!$A$9)/100*BM!$I83,15-13*ORÇAMENTO!$AF$11),ROUND(ROUND(BM.MEDAcumulado,15-13*BM!$A$9)*ROUND(BM!$H83,15-13*ORÇAMENTO!$AF$10),15-13*ORÇAMENTO!$AF$11))),IF($A83=0,0,ROUND(SomaAgrupBM,15-13*ORÇAMENTO!$AF$11)))</f>
        <v>0</v>
      </c>
    </row>
    <row r="84" spans="1:41" ht="39.6" x14ac:dyDescent="0.3">
      <c r="A84" t="str">
        <f ca="1">ORÇAMENTO!C84</f>
        <v>S</v>
      </c>
      <c r="B84">
        <f ca="1">ORÇAMENTO!D84</f>
        <v>0</v>
      </c>
      <c r="C84" s="114" t="str">
        <f t="shared" ca="1" si="1"/>
        <v>F</v>
      </c>
      <c r="D84" s="117" t="str">
        <f ca="1">ORÇAMENTO!O84</f>
        <v>2.5.2.</v>
      </c>
      <c r="E84" s="163" t="str">
        <f t="shared" ca="1" si="2"/>
        <v>PINTURA DE FAIXA DE PEDESTRE OU ZEBRADA, TINTA RETROREFLETIVA A BASE DE RESINA ACRÍLICA COMMICROESFERAS DE VIDRO, E= 30CM</v>
      </c>
      <c r="F84" s="164" t="str">
        <f ca="1">IF(RegimeExecucao="Global","",ORÇAMENTO.Unidade)</f>
        <v>M2</v>
      </c>
      <c r="G84" s="122">
        <f ca="1">IF(RegimeExecucao="Global","",ORÇAMENTO!T84)</f>
        <v>19</v>
      </c>
      <c r="H84" s="122">
        <f ca="1">IF(RegimeExecucao="Global","",ORÇAMENTO!W84)</f>
        <v>48.53</v>
      </c>
      <c r="I84" s="125">
        <f ca="1">ORÇAMENTO!X84</f>
        <v>922.07</v>
      </c>
      <c r="J84" s="333" t="e" cm="1">
        <f t="array" aca="1" ref="J84" ca="1">_xlfn.SINGLE(IF($A84="S",IF(CAIXA.Modo,BM.AFAnterior,BM.MEDAnterior),IF(AND(_xlfn.SINGLE(RegimeExecucao)="Global",$I84&gt;0,COUNTIF($AB$13:$AM$13,BM.medicao-1)&gt;0),M84/$I84*100,0)))</f>
        <v>#NAME?</v>
      </c>
      <c r="K84" s="122" t="e">
        <f t="shared" ca="1" si="3"/>
        <v>#NAME?</v>
      </c>
      <c r="L84" s="334" t="e" cm="1">
        <f t="array" aca="1" ref="L84" ca="1">_xlfn.SINGLE(IF($A84="S",IF(CAIXA.Modo,BM.AFAcumulado,BM.MEDAcumulado),IF(AND(_xlfn.SINGLE(RegimeExecucao)="Global",$I84&gt;0,COUNTIF($AB$13:$AM$13,BM.medicao)&gt;0),O84/$I84*100,0)))</f>
        <v>#NAME?</v>
      </c>
      <c r="M84" s="335" t="e">
        <f ca="1">IF($A84="S",VTOTALBM,IF($A84=0,0,ROUND(SomaAgrupBM,15-13*ORÇAMENTO!$AF$11)))</f>
        <v>#NAME?</v>
      </c>
      <c r="N84" s="336" t="e">
        <f t="shared" ca="1" si="4"/>
        <v>#NAME?</v>
      </c>
      <c r="O84" s="125" t="e">
        <f ca="1">IF($A84="S",VTOTALBM,IF($A84=0,0,ROUND(SomaAgrupBM,15-13*ORÇAMENTO!$AF$11)))</f>
        <v>#NAME?</v>
      </c>
      <c r="Q84" s="337"/>
      <c r="R84" s="338"/>
      <c r="T84" s="117" t="e">
        <f t="shared" ca="1" si="5"/>
        <v>#NAME?</v>
      </c>
      <c r="U84" s="163" t="e">
        <f t="shared" ca="1" si="6"/>
        <v>#NAME?</v>
      </c>
      <c r="V84" s="164" t="e">
        <f ca="1">IF(AND($W84&gt;0,RegimeExecucao="Unitário"),$F84,"")</f>
        <v>#NAME?</v>
      </c>
      <c r="W84" s="454" t="e">
        <f ca="1">IF($Y84&gt;0,CHOOSE(MATCH(RegimeExecucao,{"Unitário","Global"},0),IF($A84="S",$Y84/$X84,""),($Y84/$X84)*100),0)</f>
        <v>#NAME?</v>
      </c>
      <c r="X84" s="339" t="e">
        <f ca="1">IF($Y84&gt;0,CHOOSE(MATCH(RegimeExecucao,{"Unitário","Global"},0),IF($A84="S",ROUND($H84,ORÇAMENTO!$AF$10),""),ROUND($I84,ORÇAMENTO!$AF$11)),"")</f>
        <v>#NAME?</v>
      </c>
      <c r="Y84" s="339" t="e">
        <f t="shared" ca="1" si="7"/>
        <v>#NAME?</v>
      </c>
      <c r="Z84" s="473"/>
      <c r="AB84" s="337"/>
      <c r="AC84" s="437"/>
      <c r="AD84" s="437"/>
      <c r="AE84" s="437"/>
      <c r="AF84" s="437"/>
      <c r="AG84" s="437"/>
      <c r="AH84" s="437"/>
      <c r="AI84" s="437"/>
      <c r="AJ84" s="437"/>
      <c r="AK84" s="437"/>
      <c r="AL84" s="437"/>
      <c r="AM84" s="338"/>
      <c r="AO84">
        <f ca="1">IF($A84="S",IF(BM!$I84=0,0,CHOOSE(MATCH(RegimeExecucao,{"Global","Unitário"},0),ROUND(ROUND(BM.MEDAcumulado,15-13*BM!$A$9)/100*BM!$I84,15-13*ORÇAMENTO!$AF$11),ROUND(ROUND(BM.MEDAcumulado,15-13*BM!$A$9)*ROUND(BM!$H84,15-13*ORÇAMENTO!$AF$10),15-13*ORÇAMENTO!$AF$11))),IF($A84=0,0,ROUND(SomaAgrupBM,15-13*ORÇAMENTO!$AF$11)))</f>
        <v>0</v>
      </c>
    </row>
    <row r="85" spans="1:41" ht="13.8" x14ac:dyDescent="0.3">
      <c r="A85" t="str">
        <f ca="1">ORÇAMENTO!C85</f>
        <v>S</v>
      </c>
      <c r="B85">
        <f ca="1">ORÇAMENTO!D85</f>
        <v>0</v>
      </c>
      <c r="C85" s="114" t="str">
        <f t="shared" ca="1" si="1"/>
        <v>F</v>
      </c>
      <c r="D85" s="117" t="str">
        <f ca="1">ORÇAMENTO!O85</f>
        <v>2.5.3.</v>
      </c>
      <c r="E85" s="163" t="str">
        <f t="shared" ca="1" si="2"/>
        <v>PLACA DE ADVERTÊNCIA QUADRADA LADO 0,60M</v>
      </c>
      <c r="F85" s="164" t="str">
        <f ca="1">IF(RegimeExecucao="Global","",ORÇAMENTO.Unidade)</f>
        <v>UN</v>
      </c>
      <c r="G85" s="122">
        <f ca="1">IF(RegimeExecucao="Global","",ORÇAMENTO!T85)</f>
        <v>6</v>
      </c>
      <c r="H85" s="122">
        <f ca="1">IF(RegimeExecucao="Global","",ORÇAMENTO!W85)</f>
        <v>963.71</v>
      </c>
      <c r="I85" s="125">
        <f ca="1">ORÇAMENTO!X85</f>
        <v>5782.26</v>
      </c>
      <c r="J85" s="333" t="e" cm="1">
        <f t="array" aca="1" ref="J85" ca="1">_xlfn.SINGLE(IF($A85="S",IF(CAIXA.Modo,BM.AFAnterior,BM.MEDAnterior),IF(AND(_xlfn.SINGLE(RegimeExecucao)="Global",$I85&gt;0,COUNTIF($AB$13:$AM$13,BM.medicao-1)&gt;0),M85/$I85*100,0)))</f>
        <v>#NAME?</v>
      </c>
      <c r="K85" s="122" t="e">
        <f t="shared" ca="1" si="3"/>
        <v>#NAME?</v>
      </c>
      <c r="L85" s="334" t="e" cm="1">
        <f t="array" aca="1" ref="L85" ca="1">_xlfn.SINGLE(IF($A85="S",IF(CAIXA.Modo,BM.AFAcumulado,BM.MEDAcumulado),IF(AND(_xlfn.SINGLE(RegimeExecucao)="Global",$I85&gt;0,COUNTIF($AB$13:$AM$13,BM.medicao)&gt;0),O85/$I85*100,0)))</f>
        <v>#NAME?</v>
      </c>
      <c r="M85" s="335" t="e">
        <f ca="1">IF($A85="S",VTOTALBM,IF($A85=0,0,ROUND(SomaAgrupBM,15-13*ORÇAMENTO!$AF$11)))</f>
        <v>#NAME?</v>
      </c>
      <c r="N85" s="336" t="e">
        <f t="shared" ca="1" si="4"/>
        <v>#NAME?</v>
      </c>
      <c r="O85" s="125" t="e">
        <f ca="1">IF($A85="S",VTOTALBM,IF($A85=0,0,ROUND(SomaAgrupBM,15-13*ORÇAMENTO!$AF$11)))</f>
        <v>#NAME?</v>
      </c>
      <c r="Q85" s="337"/>
      <c r="R85" s="338"/>
      <c r="T85" s="117" t="e">
        <f t="shared" ca="1" si="5"/>
        <v>#NAME?</v>
      </c>
      <c r="U85" s="163" t="e">
        <f t="shared" ca="1" si="6"/>
        <v>#NAME?</v>
      </c>
      <c r="V85" s="164" t="e">
        <f ca="1">IF(AND($W85&gt;0,RegimeExecucao="Unitário"),$F85,"")</f>
        <v>#NAME?</v>
      </c>
      <c r="W85" s="454" t="e">
        <f ca="1">IF($Y85&gt;0,CHOOSE(MATCH(RegimeExecucao,{"Unitário","Global"},0),IF($A85="S",$Y85/$X85,""),($Y85/$X85)*100),0)</f>
        <v>#NAME?</v>
      </c>
      <c r="X85" s="339" t="e">
        <f ca="1">IF($Y85&gt;0,CHOOSE(MATCH(RegimeExecucao,{"Unitário","Global"},0),IF($A85="S",ROUND($H85,ORÇAMENTO!$AF$10),""),ROUND($I85,ORÇAMENTO!$AF$11)),"")</f>
        <v>#NAME?</v>
      </c>
      <c r="Y85" s="339" t="e">
        <f t="shared" ca="1" si="7"/>
        <v>#NAME?</v>
      </c>
      <c r="Z85" s="473"/>
      <c r="AB85" s="337"/>
      <c r="AC85" s="437"/>
      <c r="AD85" s="437"/>
      <c r="AE85" s="437"/>
      <c r="AF85" s="437"/>
      <c r="AG85" s="437"/>
      <c r="AH85" s="437"/>
      <c r="AI85" s="437"/>
      <c r="AJ85" s="437"/>
      <c r="AK85" s="437"/>
      <c r="AL85" s="437"/>
      <c r="AM85" s="338"/>
      <c r="AO85">
        <f ca="1">IF($A85="S",IF(BM!$I85=0,0,CHOOSE(MATCH(RegimeExecucao,{"Global","Unitário"},0),ROUND(ROUND(BM.MEDAcumulado,15-13*BM!$A$9)/100*BM!$I85,15-13*ORÇAMENTO!$AF$11),ROUND(ROUND(BM.MEDAcumulado,15-13*BM!$A$9)*ROUND(BM!$H85,15-13*ORÇAMENTO!$AF$10),15-13*ORÇAMENTO!$AF$11))),IF($A85=0,0,ROUND(SomaAgrupBM,15-13*ORÇAMENTO!$AF$11)))</f>
        <v>0</v>
      </c>
    </row>
    <row r="86" spans="1:41" ht="13.8" x14ac:dyDescent="0.3">
      <c r="A86" t="str">
        <f ca="1">ORÇAMENTO!C86</f>
        <v>S</v>
      </c>
      <c r="B86">
        <f ca="1">ORÇAMENTO!D86</f>
        <v>0</v>
      </c>
      <c r="C86" s="114" t="str">
        <f t="shared" ca="1" si="1"/>
        <v>F</v>
      </c>
      <c r="D86" s="117" t="str">
        <f ca="1">ORÇAMENTO!O86</f>
        <v>2.5.4.</v>
      </c>
      <c r="E86" s="163" t="str">
        <f t="shared" ca="1" si="2"/>
        <v>PLACA DE REGULAMENTAÇÃO REDONDA D=0,60M - R19</v>
      </c>
      <c r="F86" s="164" t="str">
        <f ca="1">IF(RegimeExecucao="Global","",ORÇAMENTO.Unidade)</f>
        <v>UN</v>
      </c>
      <c r="G86" s="122">
        <f ca="1">IF(RegimeExecucao="Global","",ORÇAMENTO!T86)</f>
        <v>1</v>
      </c>
      <c r="H86" s="122">
        <f ca="1">IF(RegimeExecucao="Global","",ORÇAMENTO!W86)</f>
        <v>963.68</v>
      </c>
      <c r="I86" s="125">
        <f ca="1">ORÇAMENTO!X86</f>
        <v>963.68</v>
      </c>
      <c r="J86" s="333" t="e" cm="1">
        <f t="array" aca="1" ref="J86" ca="1">_xlfn.SINGLE(IF($A86="S",IF(CAIXA.Modo,BM.AFAnterior,BM.MEDAnterior),IF(AND(_xlfn.SINGLE(RegimeExecucao)="Global",$I86&gt;0,COUNTIF($AB$13:$AM$13,BM.medicao-1)&gt;0),M86/$I86*100,0)))</f>
        <v>#NAME?</v>
      </c>
      <c r="K86" s="122" t="e">
        <f t="shared" ca="1" si="3"/>
        <v>#NAME?</v>
      </c>
      <c r="L86" s="334" t="e" cm="1">
        <f t="array" aca="1" ref="L86" ca="1">_xlfn.SINGLE(IF($A86="S",IF(CAIXA.Modo,BM.AFAcumulado,BM.MEDAcumulado),IF(AND(_xlfn.SINGLE(RegimeExecucao)="Global",$I86&gt;0,COUNTIF($AB$13:$AM$13,BM.medicao)&gt;0),O86/$I86*100,0)))</f>
        <v>#NAME?</v>
      </c>
      <c r="M86" s="335" t="e">
        <f ca="1">IF($A86="S",VTOTALBM,IF($A86=0,0,ROUND(SomaAgrupBM,15-13*ORÇAMENTO!$AF$11)))</f>
        <v>#NAME?</v>
      </c>
      <c r="N86" s="336" t="e">
        <f t="shared" ca="1" si="4"/>
        <v>#NAME?</v>
      </c>
      <c r="O86" s="125" t="e">
        <f ca="1">IF($A86="S",VTOTALBM,IF($A86=0,0,ROUND(SomaAgrupBM,15-13*ORÇAMENTO!$AF$11)))</f>
        <v>#NAME?</v>
      </c>
      <c r="Q86" s="337"/>
      <c r="R86" s="338"/>
      <c r="T86" s="117" t="e">
        <f t="shared" ca="1" si="5"/>
        <v>#NAME?</v>
      </c>
      <c r="U86" s="163" t="e">
        <f t="shared" ca="1" si="6"/>
        <v>#NAME?</v>
      </c>
      <c r="V86" s="164" t="e">
        <f ca="1">IF(AND($W86&gt;0,RegimeExecucao="Unitário"),$F86,"")</f>
        <v>#NAME?</v>
      </c>
      <c r="W86" s="454" t="e">
        <f ca="1">IF($Y86&gt;0,CHOOSE(MATCH(RegimeExecucao,{"Unitário","Global"},0),IF($A86="S",$Y86/$X86,""),($Y86/$X86)*100),0)</f>
        <v>#NAME?</v>
      </c>
      <c r="X86" s="339" t="e">
        <f ca="1">IF($Y86&gt;0,CHOOSE(MATCH(RegimeExecucao,{"Unitário","Global"},0),IF($A86="S",ROUND($H86,ORÇAMENTO!$AF$10),""),ROUND($I86,ORÇAMENTO!$AF$11)),"")</f>
        <v>#NAME?</v>
      </c>
      <c r="Y86" s="339" t="e">
        <f t="shared" ca="1" si="7"/>
        <v>#NAME?</v>
      </c>
      <c r="Z86" s="473"/>
      <c r="AB86" s="337"/>
      <c r="AC86" s="437"/>
      <c r="AD86" s="437"/>
      <c r="AE86" s="437"/>
      <c r="AF86" s="437"/>
      <c r="AG86" s="437"/>
      <c r="AH86" s="437"/>
      <c r="AI86" s="437"/>
      <c r="AJ86" s="437"/>
      <c r="AK86" s="437"/>
      <c r="AL86" s="437"/>
      <c r="AM86" s="338"/>
      <c r="AO86">
        <f ca="1">IF($A86="S",IF(BM!$I86=0,0,CHOOSE(MATCH(RegimeExecucao,{"Global","Unitário"},0),ROUND(ROUND(BM.MEDAcumulado,15-13*BM!$A$9)/100*BM!$I86,15-13*ORÇAMENTO!$AF$11),ROUND(ROUND(BM.MEDAcumulado,15-13*BM!$A$9)*ROUND(BM!$H86,15-13*ORÇAMENTO!$AF$10),15-13*ORÇAMENTO!$AF$11))),IF($A86=0,0,ROUND(SomaAgrupBM,15-13*ORÇAMENTO!$AF$11)))</f>
        <v>0</v>
      </c>
    </row>
    <row r="87" spans="1:41" ht="13.8" x14ac:dyDescent="0.3">
      <c r="A87" t="str">
        <f ca="1">ORÇAMENTO!C87</f>
        <v>S</v>
      </c>
      <c r="B87">
        <f ca="1">ORÇAMENTO!D87</f>
        <v>0</v>
      </c>
      <c r="C87" s="114" t="str">
        <f t="shared" ca="1" si="1"/>
        <v>F</v>
      </c>
      <c r="D87" s="117" t="str">
        <f ca="1">ORÇAMENTO!O87</f>
        <v>2.5.5.</v>
      </c>
      <c r="E87" s="163" t="str">
        <f t="shared" ca="1" si="2"/>
        <v>PLACA DE REGULAMENTAÇÃO OCTOGONAL LADO 0,25M</v>
      </c>
      <c r="F87" s="164" t="str">
        <f ca="1">IF(RegimeExecucao="Global","",ORÇAMENTO.Unidade)</f>
        <v>UN</v>
      </c>
      <c r="G87" s="122">
        <f ca="1">IF(RegimeExecucao="Global","",ORÇAMENTO!T87)</f>
        <v>1</v>
      </c>
      <c r="H87" s="122">
        <f ca="1">IF(RegimeExecucao="Global","",ORÇAMENTO!W87)</f>
        <v>902.38</v>
      </c>
      <c r="I87" s="125">
        <f ca="1">ORÇAMENTO!X87</f>
        <v>902.38</v>
      </c>
      <c r="J87" s="333" t="e" cm="1">
        <f t="array" aca="1" ref="J87" ca="1">_xlfn.SINGLE(IF($A87="S",IF(CAIXA.Modo,BM.AFAnterior,BM.MEDAnterior),IF(AND(_xlfn.SINGLE(RegimeExecucao)="Global",$I87&gt;0,COUNTIF($AB$13:$AM$13,BM.medicao-1)&gt;0),M87/$I87*100,0)))</f>
        <v>#NAME?</v>
      </c>
      <c r="K87" s="122" t="e">
        <f t="shared" ca="1" si="3"/>
        <v>#NAME?</v>
      </c>
      <c r="L87" s="334" t="e" cm="1">
        <f t="array" aca="1" ref="L87" ca="1">_xlfn.SINGLE(IF($A87="S",IF(CAIXA.Modo,BM.AFAcumulado,BM.MEDAcumulado),IF(AND(_xlfn.SINGLE(RegimeExecucao)="Global",$I87&gt;0,COUNTIF($AB$13:$AM$13,BM.medicao)&gt;0),O87/$I87*100,0)))</f>
        <v>#NAME?</v>
      </c>
      <c r="M87" s="335" t="e">
        <f ca="1">IF($A87="S",VTOTALBM,IF($A87=0,0,ROUND(SomaAgrupBM,15-13*ORÇAMENTO!$AF$11)))</f>
        <v>#NAME?</v>
      </c>
      <c r="N87" s="336" t="e">
        <f t="shared" ca="1" si="4"/>
        <v>#NAME?</v>
      </c>
      <c r="O87" s="125" t="e">
        <f ca="1">IF($A87="S",VTOTALBM,IF($A87=0,0,ROUND(SomaAgrupBM,15-13*ORÇAMENTO!$AF$11)))</f>
        <v>#NAME?</v>
      </c>
      <c r="Q87" s="337"/>
      <c r="R87" s="338"/>
      <c r="T87" s="117" t="e">
        <f t="shared" ca="1" si="5"/>
        <v>#NAME?</v>
      </c>
      <c r="U87" s="163" t="e">
        <f t="shared" ca="1" si="6"/>
        <v>#NAME?</v>
      </c>
      <c r="V87" s="164" t="e">
        <f ca="1">IF(AND($W87&gt;0,RegimeExecucao="Unitário"),$F87,"")</f>
        <v>#NAME?</v>
      </c>
      <c r="W87" s="454" t="e">
        <f ca="1">IF($Y87&gt;0,CHOOSE(MATCH(RegimeExecucao,{"Unitário","Global"},0),IF($A87="S",$Y87/$X87,""),($Y87/$X87)*100),0)</f>
        <v>#NAME?</v>
      </c>
      <c r="X87" s="339" t="e">
        <f ca="1">IF($Y87&gt;0,CHOOSE(MATCH(RegimeExecucao,{"Unitário","Global"},0),IF($A87="S",ROUND($H87,ORÇAMENTO!$AF$10),""),ROUND($I87,ORÇAMENTO!$AF$11)),"")</f>
        <v>#NAME?</v>
      </c>
      <c r="Y87" s="339" t="e">
        <f t="shared" ca="1" si="7"/>
        <v>#NAME?</v>
      </c>
      <c r="Z87" s="473"/>
      <c r="AB87" s="337"/>
      <c r="AC87" s="437"/>
      <c r="AD87" s="437"/>
      <c r="AE87" s="437"/>
      <c r="AF87" s="437"/>
      <c r="AG87" s="437"/>
      <c r="AH87" s="437"/>
      <c r="AI87" s="437"/>
      <c r="AJ87" s="437"/>
      <c r="AK87" s="437"/>
      <c r="AL87" s="437"/>
      <c r="AM87" s="338"/>
      <c r="AO87">
        <f ca="1">IF($A87="S",IF(BM!$I87=0,0,CHOOSE(MATCH(RegimeExecucao,{"Global","Unitário"},0),ROUND(ROUND(BM.MEDAcumulado,15-13*BM!$A$9)/100*BM!$I87,15-13*ORÇAMENTO!$AF$11),ROUND(ROUND(BM.MEDAcumulado,15-13*BM!$A$9)*ROUND(BM!$H87,15-13*ORÇAMENTO!$AF$10),15-13*ORÇAMENTO!$AF$11))),IF($A87=0,0,ROUND(SomaAgrupBM,15-13*ORÇAMENTO!$AF$11)))</f>
        <v>0</v>
      </c>
    </row>
    <row r="88" spans="1:41" ht="13.8" x14ac:dyDescent="0.3">
      <c r="A88">
        <f ca="1">ORÇAMENTO!C88</f>
        <v>2</v>
      </c>
      <c r="B88">
        <f ca="1">ORÇAMENTO!D88</f>
        <v>5</v>
      </c>
      <c r="C88" s="114" t="str">
        <f t="shared" ca="1" si="1"/>
        <v>F</v>
      </c>
      <c r="D88" s="117" t="str">
        <f ca="1">ORÇAMENTO!O88</f>
        <v>2.6.</v>
      </c>
      <c r="E88" s="163" t="str">
        <f t="shared" si="2"/>
        <v>ENSAIOS</v>
      </c>
      <c r="F88" s="164" t="str">
        <f ca="1">IF(RegimeExecucao="Global","",ORÇAMENTO.Unidade)</f>
        <v>-</v>
      </c>
      <c r="G88" s="122">
        <f ca="1">IF(RegimeExecucao="Global","",ORÇAMENTO!T88)</f>
        <v>0</v>
      </c>
      <c r="H88" s="122">
        <f ca="1">IF(RegimeExecucao="Global","",ORÇAMENTO!W88)</f>
        <v>0</v>
      </c>
      <c r="I88" s="125">
        <f ca="1">ORÇAMENTO!X88</f>
        <v>1131.9100000000001</v>
      </c>
      <c r="J88" s="333" t="e" cm="1">
        <f t="array" aca="1" ref="J88" ca="1">_xlfn.SINGLE(IF($A88="S",IF(CAIXA.Modo,BM.AFAnterior,BM.MEDAnterior),IF(AND(_xlfn.SINGLE(RegimeExecucao)="Global",$I88&gt;0,COUNTIF($AB$13:$AM$13,BM.medicao-1)&gt;0),M88/$I88*100,0)))</f>
        <v>#NAME?</v>
      </c>
      <c r="K88" s="122" t="e">
        <f t="shared" ca="1" si="3"/>
        <v>#NAME?</v>
      </c>
      <c r="L88" s="334" t="e" cm="1">
        <f t="array" aca="1" ref="L88" ca="1">_xlfn.SINGLE(IF($A88="S",IF(CAIXA.Modo,BM.AFAcumulado,BM.MEDAcumulado),IF(AND(_xlfn.SINGLE(RegimeExecucao)="Global",$I88&gt;0,COUNTIF($AB$13:$AM$13,BM.medicao)&gt;0),O88/$I88*100,0)))</f>
        <v>#NAME?</v>
      </c>
      <c r="M88" s="335" t="e">
        <f ca="1">IF($A88="S",VTOTALBM,IF($A88=0,0,ROUND(SomaAgrupBM,15-13*ORÇAMENTO!$AF$11)))</f>
        <v>#NAME?</v>
      </c>
      <c r="N88" s="336" t="e">
        <f t="shared" ca="1" si="4"/>
        <v>#NAME?</v>
      </c>
      <c r="O88" s="125" t="e">
        <f ca="1">IF($A88="S",VTOTALBM,IF($A88=0,0,ROUND(SomaAgrupBM,15-13*ORÇAMENTO!$AF$11)))</f>
        <v>#NAME?</v>
      </c>
      <c r="Q88" s="337"/>
      <c r="R88" s="338"/>
      <c r="T88" s="117" t="e">
        <f t="shared" ca="1" si="5"/>
        <v>#NAME?</v>
      </c>
      <c r="U88" s="163" t="e">
        <f t="shared" ca="1" si="6"/>
        <v>#NAME?</v>
      </c>
      <c r="V88" s="164" t="e">
        <f ca="1">IF(AND($W88&gt;0,RegimeExecucao="Unitário"),$F88,"")</f>
        <v>#NAME?</v>
      </c>
      <c r="W88" s="454" t="e">
        <f ca="1">IF($Y88&gt;0,CHOOSE(MATCH(RegimeExecucao,{"Unitário","Global"},0),IF($A88="S",$Y88/$X88,""),($Y88/$X88)*100),0)</f>
        <v>#NAME?</v>
      </c>
      <c r="X88" s="339" t="e">
        <f ca="1">IF($Y88&gt;0,CHOOSE(MATCH(RegimeExecucao,{"Unitário","Global"},0),IF($A88="S",ROUND($H88,ORÇAMENTO!$AF$10),""),ROUND($I88,ORÇAMENTO!$AF$11)),"")</f>
        <v>#NAME?</v>
      </c>
      <c r="Y88" s="339" t="e">
        <f t="shared" ca="1" si="7"/>
        <v>#NAME?</v>
      </c>
      <c r="Z88" s="473"/>
      <c r="AB88" s="337"/>
      <c r="AC88" s="437"/>
      <c r="AD88" s="437"/>
      <c r="AE88" s="437"/>
      <c r="AF88" s="437"/>
      <c r="AG88" s="437"/>
      <c r="AH88" s="437"/>
      <c r="AI88" s="437"/>
      <c r="AJ88" s="437"/>
      <c r="AK88" s="437"/>
      <c r="AL88" s="437"/>
      <c r="AM88" s="338"/>
      <c r="AO88">
        <f ca="1">IF($A88="S",IF(BM!$I88=0,0,CHOOSE(MATCH(RegimeExecucao,{"Global","Unitário"},0),ROUND(ROUND(BM.MEDAcumulado,15-13*BM!$A$9)/100*BM!$I88,15-13*ORÇAMENTO!$AF$11),ROUND(ROUND(BM.MEDAcumulado,15-13*BM!$A$9)*ROUND(BM!$H88,15-13*ORÇAMENTO!$AF$10),15-13*ORÇAMENTO!$AF$11))),IF($A88=0,0,ROUND(SomaAgrupBM,15-13*ORÇAMENTO!$AF$11)))</f>
        <v>0</v>
      </c>
    </row>
    <row r="89" spans="1:41" ht="26.4" x14ac:dyDescent="0.3">
      <c r="A89" t="str">
        <f ca="1">ORÇAMENTO!C89</f>
        <v>S</v>
      </c>
      <c r="B89">
        <f ca="1">ORÇAMENTO!D89</f>
        <v>0</v>
      </c>
      <c r="C89" s="114" t="str">
        <f t="shared" ca="1" si="1"/>
        <v>F</v>
      </c>
      <c r="D89" s="117" t="str">
        <f ca="1">ORÇAMENTO!O89</f>
        <v>2.6.1.</v>
      </c>
      <c r="E89" s="163" t="str">
        <f t="shared" ca="1" si="2"/>
        <v>ENSAIO DE DETERMINAÇÃO DO TEOR DE BETUME - SOXHLET - CIMENTO ASFALTICO DE PETROLEO</v>
      </c>
      <c r="F89" s="164" t="str">
        <f ca="1">IF(RegimeExecucao="Global","",ORÇAMENTO.Unidade)</f>
        <v>UN</v>
      </c>
      <c r="G89" s="122">
        <f ca="1">IF(RegimeExecucao="Global","",ORÇAMENTO!T89)</f>
        <v>1</v>
      </c>
      <c r="H89" s="122">
        <f ca="1">IF(RegimeExecucao="Global","",ORÇAMENTO!W89)</f>
        <v>260.79000000000002</v>
      </c>
      <c r="I89" s="125">
        <f ca="1">ORÇAMENTO!X89</f>
        <v>260.79000000000002</v>
      </c>
      <c r="J89" s="333" t="e" cm="1">
        <f t="array" aca="1" ref="J89" ca="1">_xlfn.SINGLE(IF($A89="S",IF(CAIXA.Modo,BM.AFAnterior,BM.MEDAnterior),IF(AND(_xlfn.SINGLE(RegimeExecucao)="Global",$I89&gt;0,COUNTIF($AB$13:$AM$13,BM.medicao-1)&gt;0),M89/$I89*100,0)))</f>
        <v>#NAME?</v>
      </c>
      <c r="K89" s="122" t="e">
        <f t="shared" ca="1" si="3"/>
        <v>#NAME?</v>
      </c>
      <c r="L89" s="334" t="e" cm="1">
        <f t="array" aca="1" ref="L89" ca="1">_xlfn.SINGLE(IF($A89="S",IF(CAIXA.Modo,BM.AFAcumulado,BM.MEDAcumulado),IF(AND(_xlfn.SINGLE(RegimeExecucao)="Global",$I89&gt;0,COUNTIF($AB$13:$AM$13,BM.medicao)&gt;0),O89/$I89*100,0)))</f>
        <v>#NAME?</v>
      </c>
      <c r="M89" s="335" t="e">
        <f ca="1">IF($A89="S",VTOTALBM,IF($A89=0,0,ROUND(SomaAgrupBM,15-13*ORÇAMENTO!$AF$11)))</f>
        <v>#NAME?</v>
      </c>
      <c r="N89" s="336" t="e">
        <f t="shared" ca="1" si="4"/>
        <v>#NAME?</v>
      </c>
      <c r="O89" s="125" t="e">
        <f ca="1">IF($A89="S",VTOTALBM,IF($A89=0,0,ROUND(SomaAgrupBM,15-13*ORÇAMENTO!$AF$11)))</f>
        <v>#NAME?</v>
      </c>
      <c r="Q89" s="337"/>
      <c r="R89" s="338"/>
      <c r="T89" s="117" t="e">
        <f t="shared" ca="1" si="5"/>
        <v>#NAME?</v>
      </c>
      <c r="U89" s="163" t="e">
        <f t="shared" ca="1" si="6"/>
        <v>#NAME?</v>
      </c>
      <c r="V89" s="164" t="e">
        <f ca="1">IF(AND($W89&gt;0,RegimeExecucao="Unitário"),$F89,"")</f>
        <v>#NAME?</v>
      </c>
      <c r="W89" s="454" t="e">
        <f ca="1">IF($Y89&gt;0,CHOOSE(MATCH(RegimeExecucao,{"Unitário","Global"},0),IF($A89="S",$Y89/$X89,""),($Y89/$X89)*100),0)</f>
        <v>#NAME?</v>
      </c>
      <c r="X89" s="339" t="e">
        <f ca="1">IF($Y89&gt;0,CHOOSE(MATCH(RegimeExecucao,{"Unitário","Global"},0),IF($A89="S",ROUND($H89,ORÇAMENTO!$AF$10),""),ROUND($I89,ORÇAMENTO!$AF$11)),"")</f>
        <v>#NAME?</v>
      </c>
      <c r="Y89" s="339" t="e">
        <f t="shared" ca="1" si="7"/>
        <v>#NAME?</v>
      </c>
      <c r="Z89" s="473"/>
      <c r="AB89" s="337"/>
      <c r="AC89" s="437"/>
      <c r="AD89" s="437"/>
      <c r="AE89" s="437"/>
      <c r="AF89" s="437"/>
      <c r="AG89" s="437"/>
      <c r="AH89" s="437"/>
      <c r="AI89" s="437"/>
      <c r="AJ89" s="437"/>
      <c r="AK89" s="437"/>
      <c r="AL89" s="437"/>
      <c r="AM89" s="338"/>
      <c r="AO89">
        <f ca="1">IF($A89="S",IF(BM!$I89=0,0,CHOOSE(MATCH(RegimeExecucao,{"Global","Unitário"},0),ROUND(ROUND(BM.MEDAcumulado,15-13*BM!$A$9)/100*BM!$I89,15-13*ORÇAMENTO!$AF$11),ROUND(ROUND(BM.MEDAcumulado,15-13*BM!$A$9)*ROUND(BM!$H89,15-13*ORÇAMENTO!$AF$10),15-13*ORÇAMENTO!$AF$11))),IF($A89=0,0,ROUND(SomaAgrupBM,15-13*ORÇAMENTO!$AF$11)))</f>
        <v>0</v>
      </c>
    </row>
    <row r="90" spans="1:41" ht="13.8" x14ac:dyDescent="0.3">
      <c r="A90" t="str">
        <f ca="1">ORÇAMENTO!C90</f>
        <v>S</v>
      </c>
      <c r="B90">
        <f ca="1">ORÇAMENTO!D90</f>
        <v>0</v>
      </c>
      <c r="C90" s="114" t="str">
        <f t="shared" ca="1" si="1"/>
        <v>F</v>
      </c>
      <c r="D90" s="117" t="str">
        <f ca="1">ORÇAMENTO!O90</f>
        <v>2.6.2.</v>
      </c>
      <c r="E90" s="163" t="str">
        <f t="shared" ca="1" si="2"/>
        <v xml:space="preserve">ENSAIO MARSHALL - MISTURA BETUMINOSA À QUENTE </v>
      </c>
      <c r="F90" s="164" t="str">
        <f ca="1">IF(RegimeExecucao="Global","",ORÇAMENTO.Unidade)</f>
        <v>UN</v>
      </c>
      <c r="G90" s="122">
        <f ca="1">IF(RegimeExecucao="Global","",ORÇAMENTO!T90)</f>
        <v>1</v>
      </c>
      <c r="H90" s="122">
        <f ca="1">IF(RegimeExecucao="Global","",ORÇAMENTO!W90)</f>
        <v>521.61</v>
      </c>
      <c r="I90" s="125">
        <f ca="1">ORÇAMENTO!X90</f>
        <v>521.61</v>
      </c>
      <c r="J90" s="333" t="e" cm="1">
        <f t="array" aca="1" ref="J90" ca="1">_xlfn.SINGLE(IF($A90="S",IF(CAIXA.Modo,BM.AFAnterior,BM.MEDAnterior),IF(AND(_xlfn.SINGLE(RegimeExecucao)="Global",$I90&gt;0,COUNTIF($AB$13:$AM$13,BM.medicao-1)&gt;0),M90/$I90*100,0)))</f>
        <v>#NAME?</v>
      </c>
      <c r="K90" s="122" t="e">
        <f t="shared" ca="1" si="3"/>
        <v>#NAME?</v>
      </c>
      <c r="L90" s="334" t="e" cm="1">
        <f t="array" aca="1" ref="L90" ca="1">_xlfn.SINGLE(IF($A90="S",IF(CAIXA.Modo,BM.AFAcumulado,BM.MEDAcumulado),IF(AND(_xlfn.SINGLE(RegimeExecucao)="Global",$I90&gt;0,COUNTIF($AB$13:$AM$13,BM.medicao)&gt;0),O90/$I90*100,0)))</f>
        <v>#NAME?</v>
      </c>
      <c r="M90" s="335" t="e">
        <f ca="1">IF($A90="S",VTOTALBM,IF($A90=0,0,ROUND(SomaAgrupBM,15-13*ORÇAMENTO!$AF$11)))</f>
        <v>#NAME?</v>
      </c>
      <c r="N90" s="336" t="e">
        <f t="shared" ca="1" si="4"/>
        <v>#NAME?</v>
      </c>
      <c r="O90" s="125" t="e">
        <f ca="1">IF($A90="S",VTOTALBM,IF($A90=0,0,ROUND(SomaAgrupBM,15-13*ORÇAMENTO!$AF$11)))</f>
        <v>#NAME?</v>
      </c>
      <c r="Q90" s="337"/>
      <c r="R90" s="338"/>
      <c r="T90" s="117" t="e">
        <f t="shared" ca="1" si="5"/>
        <v>#NAME?</v>
      </c>
      <c r="U90" s="163" t="e">
        <f t="shared" ca="1" si="6"/>
        <v>#NAME?</v>
      </c>
      <c r="V90" s="164" t="e">
        <f ca="1">IF(AND($W90&gt;0,RegimeExecucao="Unitário"),$F90,"")</f>
        <v>#NAME?</v>
      </c>
      <c r="W90" s="454" t="e">
        <f ca="1">IF($Y90&gt;0,CHOOSE(MATCH(RegimeExecucao,{"Unitário","Global"},0),IF($A90="S",$Y90/$X90,""),($Y90/$X90)*100),0)</f>
        <v>#NAME?</v>
      </c>
      <c r="X90" s="339" t="e">
        <f ca="1">IF($Y90&gt;0,CHOOSE(MATCH(RegimeExecucao,{"Unitário","Global"},0),IF($A90="S",ROUND($H90,ORÇAMENTO!$AF$10),""),ROUND($I90,ORÇAMENTO!$AF$11)),"")</f>
        <v>#NAME?</v>
      </c>
      <c r="Y90" s="339" t="e">
        <f t="shared" ca="1" si="7"/>
        <v>#NAME?</v>
      </c>
      <c r="Z90" s="473"/>
      <c r="AB90" s="337"/>
      <c r="AC90" s="437"/>
      <c r="AD90" s="437"/>
      <c r="AE90" s="437"/>
      <c r="AF90" s="437"/>
      <c r="AG90" s="437"/>
      <c r="AH90" s="437"/>
      <c r="AI90" s="437"/>
      <c r="AJ90" s="437"/>
      <c r="AK90" s="437"/>
      <c r="AL90" s="437"/>
      <c r="AM90" s="338"/>
      <c r="AO90">
        <f ca="1">IF($A90="S",IF(BM!$I90=0,0,CHOOSE(MATCH(RegimeExecucao,{"Global","Unitário"},0),ROUND(ROUND(BM.MEDAcumulado,15-13*BM!$A$9)/100*BM!$I90,15-13*ORÇAMENTO!$AF$11),ROUND(ROUND(BM.MEDAcumulado,15-13*BM!$A$9)*ROUND(BM!$H90,15-13*ORÇAMENTO!$AF$10),15-13*ORÇAMENTO!$AF$11))),IF($A90=0,0,ROUND(SomaAgrupBM,15-13*ORÇAMENTO!$AF$11)))</f>
        <v>0</v>
      </c>
    </row>
    <row r="91" spans="1:41" ht="39.6" x14ac:dyDescent="0.3">
      <c r="A91" t="str">
        <f ca="1">ORÇAMENTO!C91</f>
        <v>S</v>
      </c>
      <c r="B91">
        <f ca="1">ORÇAMENTO!D91</f>
        <v>0</v>
      </c>
      <c r="C91" s="114" t="str">
        <f t="shared" ca="1" si="1"/>
        <v>F</v>
      </c>
      <c r="D91" s="117" t="str">
        <f ca="1">ORÇAMENTO!O91</f>
        <v>2.6.3.</v>
      </c>
      <c r="E91" s="163" t="str">
        <f t="shared" ca="1" si="2"/>
        <v xml:space="preserve">ENSAIO DE CONTROLE DO GRAU DE COMPACTAÇÃO, DENSIDADE E ESPESSURA DA MASSA ASFÁLTICA COM COLETA ATRAVÉS DE SONDA ROTATIVA </v>
      </c>
      <c r="F91" s="164" t="str">
        <f ca="1">IF(RegimeExecucao="Global","",ORÇAMENTO.Unidade)</f>
        <v>UN</v>
      </c>
      <c r="G91" s="122">
        <f ca="1">IF(RegimeExecucao="Global","",ORÇAMENTO!T91)</f>
        <v>1</v>
      </c>
      <c r="H91" s="122">
        <f ca="1">IF(RegimeExecucao="Global","",ORÇAMENTO!W91)</f>
        <v>136.72999999999999</v>
      </c>
      <c r="I91" s="125">
        <f ca="1">ORÇAMENTO!X91</f>
        <v>136.72999999999999</v>
      </c>
      <c r="J91" s="333" t="e" cm="1">
        <f t="array" aca="1" ref="J91" ca="1">_xlfn.SINGLE(IF($A91="S",IF(CAIXA.Modo,BM.AFAnterior,BM.MEDAnterior),IF(AND(_xlfn.SINGLE(RegimeExecucao)="Global",$I91&gt;0,COUNTIF($AB$13:$AM$13,BM.medicao-1)&gt;0),M91/$I91*100,0)))</f>
        <v>#NAME?</v>
      </c>
      <c r="K91" s="122" t="e">
        <f t="shared" ca="1" si="3"/>
        <v>#NAME?</v>
      </c>
      <c r="L91" s="334" t="e" cm="1">
        <f t="array" aca="1" ref="L91" ca="1">_xlfn.SINGLE(IF($A91="S",IF(CAIXA.Modo,BM.AFAcumulado,BM.MEDAcumulado),IF(AND(_xlfn.SINGLE(RegimeExecucao)="Global",$I91&gt;0,COUNTIF($AB$13:$AM$13,BM.medicao)&gt;0),O91/$I91*100,0)))</f>
        <v>#NAME?</v>
      </c>
      <c r="M91" s="335" t="e">
        <f ca="1">IF($A91="S",VTOTALBM,IF($A91=0,0,ROUND(SomaAgrupBM,15-13*ORÇAMENTO!$AF$11)))</f>
        <v>#NAME?</v>
      </c>
      <c r="N91" s="336" t="e">
        <f t="shared" ca="1" si="4"/>
        <v>#NAME?</v>
      </c>
      <c r="O91" s="125" t="e">
        <f ca="1">IF($A91="S",VTOTALBM,IF($A91=0,0,ROUND(SomaAgrupBM,15-13*ORÇAMENTO!$AF$11)))</f>
        <v>#NAME?</v>
      </c>
      <c r="Q91" s="337"/>
      <c r="R91" s="338"/>
      <c r="T91" s="117" t="e">
        <f t="shared" ca="1" si="5"/>
        <v>#NAME?</v>
      </c>
      <c r="U91" s="163" t="e">
        <f t="shared" ca="1" si="6"/>
        <v>#NAME?</v>
      </c>
      <c r="V91" s="164" t="e">
        <f ca="1">IF(AND($W91&gt;0,RegimeExecucao="Unitário"),$F91,"")</f>
        <v>#NAME?</v>
      </c>
      <c r="W91" s="454" t="e">
        <f ca="1">IF($Y91&gt;0,CHOOSE(MATCH(RegimeExecucao,{"Unitário","Global"},0),IF($A91="S",$Y91/$X91,""),($Y91/$X91)*100),0)</f>
        <v>#NAME?</v>
      </c>
      <c r="X91" s="339" t="e">
        <f ca="1">IF($Y91&gt;0,CHOOSE(MATCH(RegimeExecucao,{"Unitário","Global"},0),IF($A91="S",ROUND($H91,ORÇAMENTO!$AF$10),""),ROUND($I91,ORÇAMENTO!$AF$11)),"")</f>
        <v>#NAME?</v>
      </c>
      <c r="Y91" s="339" t="e">
        <f t="shared" ca="1" si="7"/>
        <v>#NAME?</v>
      </c>
      <c r="Z91" s="473"/>
      <c r="AB91" s="337"/>
      <c r="AC91" s="437"/>
      <c r="AD91" s="437"/>
      <c r="AE91" s="437"/>
      <c r="AF91" s="437"/>
      <c r="AG91" s="437"/>
      <c r="AH91" s="437"/>
      <c r="AI91" s="437"/>
      <c r="AJ91" s="437"/>
      <c r="AK91" s="437"/>
      <c r="AL91" s="437"/>
      <c r="AM91" s="338"/>
      <c r="AO91">
        <f ca="1">IF($A91="S",IF(BM!$I91=0,0,CHOOSE(MATCH(RegimeExecucao,{"Global","Unitário"},0),ROUND(ROUND(BM.MEDAcumulado,15-13*BM!$A$9)/100*BM!$I91,15-13*ORÇAMENTO!$AF$11),ROUND(ROUND(BM.MEDAcumulado,15-13*BM!$A$9)*ROUND(BM!$H91,15-13*ORÇAMENTO!$AF$10),15-13*ORÇAMENTO!$AF$11))),IF($A91=0,0,ROUND(SomaAgrupBM,15-13*ORÇAMENTO!$AF$11)))</f>
        <v>0</v>
      </c>
    </row>
    <row r="92" spans="1:41" ht="13.8" x14ac:dyDescent="0.3">
      <c r="A92" t="str">
        <f ca="1">ORÇAMENTO!C92</f>
        <v>S</v>
      </c>
      <c r="B92">
        <f ca="1">ORÇAMENTO!D92</f>
        <v>0</v>
      </c>
      <c r="C92" s="114" t="str">
        <f t="shared" ca="1" si="1"/>
        <v>F</v>
      </c>
      <c r="D92" s="117" t="str">
        <f ca="1">ORÇAMENTO!O92</f>
        <v>2.6.4.</v>
      </c>
      <c r="E92" s="163" t="str">
        <f t="shared" ca="1" si="2"/>
        <v xml:space="preserve">ENSAIO BANDEJA DO LIGANTE DE PINTURA </v>
      </c>
      <c r="F92" s="164" t="str">
        <f ca="1">IF(RegimeExecucao="Global","",ORÇAMENTO.Unidade)</f>
        <v>UN</v>
      </c>
      <c r="G92" s="122">
        <f ca="1">IF(RegimeExecucao="Global","",ORÇAMENTO!T92)</f>
        <v>1</v>
      </c>
      <c r="H92" s="122">
        <f ca="1">IF(RegimeExecucao="Global","",ORÇAMENTO!W92)</f>
        <v>212.78</v>
      </c>
      <c r="I92" s="125">
        <f ca="1">ORÇAMENTO!X92</f>
        <v>212.78</v>
      </c>
      <c r="J92" s="333" t="e" cm="1">
        <f t="array" aca="1" ref="J92" ca="1">_xlfn.SINGLE(IF($A92="S",IF(CAIXA.Modo,BM.AFAnterior,BM.MEDAnterior),IF(AND(_xlfn.SINGLE(RegimeExecucao)="Global",$I92&gt;0,COUNTIF($AB$13:$AM$13,BM.medicao-1)&gt;0),M92/$I92*100,0)))</f>
        <v>#NAME?</v>
      </c>
      <c r="K92" s="122" t="e">
        <f t="shared" ca="1" si="3"/>
        <v>#NAME?</v>
      </c>
      <c r="L92" s="334" t="e" cm="1">
        <f t="array" aca="1" ref="L92" ca="1">_xlfn.SINGLE(IF($A92="S",IF(CAIXA.Modo,BM.AFAcumulado,BM.MEDAcumulado),IF(AND(_xlfn.SINGLE(RegimeExecucao)="Global",$I92&gt;0,COUNTIF($AB$13:$AM$13,BM.medicao)&gt;0),O92/$I92*100,0)))</f>
        <v>#NAME?</v>
      </c>
      <c r="M92" s="335" t="e">
        <f ca="1">IF($A92="S",VTOTALBM,IF($A92=0,0,ROUND(SomaAgrupBM,15-13*ORÇAMENTO!$AF$11)))</f>
        <v>#NAME?</v>
      </c>
      <c r="N92" s="336" t="e">
        <f t="shared" ca="1" si="4"/>
        <v>#NAME?</v>
      </c>
      <c r="O92" s="125" t="e">
        <f ca="1">IF($A92="S",VTOTALBM,IF($A92=0,0,ROUND(SomaAgrupBM,15-13*ORÇAMENTO!$AF$11)))</f>
        <v>#NAME?</v>
      </c>
      <c r="Q92" s="337"/>
      <c r="R92" s="338"/>
      <c r="T92" s="117" t="e">
        <f t="shared" ca="1" si="5"/>
        <v>#NAME?</v>
      </c>
      <c r="U92" s="163" t="e">
        <f t="shared" ca="1" si="6"/>
        <v>#NAME?</v>
      </c>
      <c r="V92" s="164" t="e">
        <f ca="1">IF(AND($W92&gt;0,RegimeExecucao="Unitário"),$F92,"")</f>
        <v>#NAME?</v>
      </c>
      <c r="W92" s="454" t="e">
        <f ca="1">IF($Y92&gt;0,CHOOSE(MATCH(RegimeExecucao,{"Unitário","Global"},0),IF($A92="S",$Y92/$X92,""),($Y92/$X92)*100),0)</f>
        <v>#NAME?</v>
      </c>
      <c r="X92" s="339" t="e">
        <f ca="1">IF($Y92&gt;0,CHOOSE(MATCH(RegimeExecucao,{"Unitário","Global"},0),IF($A92="S",ROUND($H92,ORÇAMENTO!$AF$10),""),ROUND($I92,ORÇAMENTO!$AF$11)),"")</f>
        <v>#NAME?</v>
      </c>
      <c r="Y92" s="339" t="e">
        <f t="shared" ca="1" si="7"/>
        <v>#NAME?</v>
      </c>
      <c r="Z92" s="473"/>
      <c r="AB92" s="337"/>
      <c r="AC92" s="437"/>
      <c r="AD92" s="437"/>
      <c r="AE92" s="437"/>
      <c r="AF92" s="437"/>
      <c r="AG92" s="437"/>
      <c r="AH92" s="437"/>
      <c r="AI92" s="437"/>
      <c r="AJ92" s="437"/>
      <c r="AK92" s="437"/>
      <c r="AL92" s="437"/>
      <c r="AM92" s="338"/>
      <c r="AO92">
        <f ca="1">IF($A92="S",IF(BM!$I92=0,0,CHOOSE(MATCH(RegimeExecucao,{"Global","Unitário"},0),ROUND(ROUND(BM.MEDAcumulado,15-13*BM!$A$9)/100*BM!$I92,15-13*ORÇAMENTO!$AF$11),ROUND(ROUND(BM.MEDAcumulado,15-13*BM!$A$9)*ROUND(BM!$H92,15-13*ORÇAMENTO!$AF$10),15-13*ORÇAMENTO!$AF$11))),IF($A92=0,0,ROUND(SomaAgrupBM,15-13*ORÇAMENTO!$AF$11)))</f>
        <v>0</v>
      </c>
    </row>
    <row r="93" spans="1:41" ht="13.8" x14ac:dyDescent="0.3">
      <c r="A93">
        <f ca="1">ORÇAMENTO!C93</f>
        <v>1</v>
      </c>
      <c r="B93">
        <f ca="1">ORÇAMENTO!D93</f>
        <v>40</v>
      </c>
      <c r="C93" s="114" t="str">
        <f t="shared" ca="1" si="1"/>
        <v>F</v>
      </c>
      <c r="D93" s="117" t="str">
        <f ca="1">ORÇAMENTO!O93</f>
        <v>3.</v>
      </c>
      <c r="E93" s="163" t="str">
        <f t="shared" si="2"/>
        <v>IMPLANTAÇÃO DE PAVIMENTAÇÃO RUA 27 DE JUNHO (Trecho 4)</v>
      </c>
      <c r="F93" s="164" t="str">
        <f ca="1">IF(RegimeExecucao="Global","",ORÇAMENTO.Unidade)</f>
        <v>-</v>
      </c>
      <c r="G93" s="122">
        <f ca="1">IF(RegimeExecucao="Global","",ORÇAMENTO!T93)</f>
        <v>0</v>
      </c>
      <c r="H93" s="122">
        <f ca="1">IF(RegimeExecucao="Global","",ORÇAMENTO!W93)</f>
        <v>0</v>
      </c>
      <c r="I93" s="125">
        <f ca="1">ORÇAMENTO!X93</f>
        <v>339932.39</v>
      </c>
      <c r="J93" s="333" t="e" cm="1">
        <f t="array" aca="1" ref="J93" ca="1">_xlfn.SINGLE(IF($A93="S",IF(CAIXA.Modo,BM.AFAnterior,BM.MEDAnterior),IF(AND(_xlfn.SINGLE(RegimeExecucao)="Global",$I93&gt;0,COUNTIF($AB$13:$AM$13,BM.medicao-1)&gt;0),M93/$I93*100,0)))</f>
        <v>#NAME?</v>
      </c>
      <c r="K93" s="122" t="e">
        <f t="shared" ca="1" si="3"/>
        <v>#NAME?</v>
      </c>
      <c r="L93" s="334" t="e" cm="1">
        <f t="array" aca="1" ref="L93" ca="1">_xlfn.SINGLE(IF($A93="S",IF(CAIXA.Modo,BM.AFAcumulado,BM.MEDAcumulado),IF(AND(_xlfn.SINGLE(RegimeExecucao)="Global",$I93&gt;0,COUNTIF($AB$13:$AM$13,BM.medicao)&gt;0),O93/$I93*100,0)))</f>
        <v>#NAME?</v>
      </c>
      <c r="M93" s="335" t="e">
        <f ca="1">IF($A93="S",VTOTALBM,IF($A93=0,0,ROUND(SomaAgrupBM,15-13*ORÇAMENTO!$AF$11)))</f>
        <v>#NAME?</v>
      </c>
      <c r="N93" s="336" t="e">
        <f t="shared" ca="1" si="4"/>
        <v>#NAME?</v>
      </c>
      <c r="O93" s="125" t="e">
        <f ca="1">IF($A93="S",VTOTALBM,IF($A93=0,0,ROUND(SomaAgrupBM,15-13*ORÇAMENTO!$AF$11)))</f>
        <v>#NAME?</v>
      </c>
      <c r="Q93" s="337"/>
      <c r="R93" s="338"/>
      <c r="T93" s="117" t="e">
        <f t="shared" ca="1" si="5"/>
        <v>#NAME?</v>
      </c>
      <c r="U93" s="163" t="e">
        <f t="shared" ca="1" si="6"/>
        <v>#NAME?</v>
      </c>
      <c r="V93" s="164" t="e">
        <f ca="1">IF(AND($W93&gt;0,RegimeExecucao="Unitário"),$F93,"")</f>
        <v>#NAME?</v>
      </c>
      <c r="W93" s="454" t="e">
        <f ca="1">IF($Y93&gt;0,CHOOSE(MATCH(RegimeExecucao,{"Unitário","Global"},0),IF($A93="S",$Y93/$X93,""),($Y93/$X93)*100),0)</f>
        <v>#NAME?</v>
      </c>
      <c r="X93" s="339" t="e">
        <f ca="1">IF($Y93&gt;0,CHOOSE(MATCH(RegimeExecucao,{"Unitário","Global"},0),IF($A93="S",ROUND($H93,ORÇAMENTO!$AF$10),""),ROUND($I93,ORÇAMENTO!$AF$11)),"")</f>
        <v>#NAME?</v>
      </c>
      <c r="Y93" s="339" t="e">
        <f t="shared" ca="1" si="7"/>
        <v>#NAME?</v>
      </c>
      <c r="Z93" s="473"/>
      <c r="AB93" s="337"/>
      <c r="AC93" s="437"/>
      <c r="AD93" s="437"/>
      <c r="AE93" s="437"/>
      <c r="AF93" s="437"/>
      <c r="AG93" s="437"/>
      <c r="AH93" s="437"/>
      <c r="AI93" s="437"/>
      <c r="AJ93" s="437"/>
      <c r="AK93" s="437"/>
      <c r="AL93" s="437"/>
      <c r="AM93" s="338"/>
      <c r="AO93">
        <f ca="1">IF($A93="S",IF(BM!$I93=0,0,CHOOSE(MATCH(RegimeExecucao,{"Global","Unitário"},0),ROUND(ROUND(BM.MEDAcumulado,15-13*BM!$A$9)/100*BM!$I93,15-13*ORÇAMENTO!$AF$11),ROUND(ROUND(BM.MEDAcumulado,15-13*BM!$A$9)*ROUND(BM!$H93,15-13*ORÇAMENTO!$AF$10),15-13*ORÇAMENTO!$AF$11))),IF($A93=0,0,ROUND(SomaAgrupBM,15-13*ORÇAMENTO!$AF$11)))</f>
        <v>0</v>
      </c>
    </row>
    <row r="94" spans="1:41" ht="13.8" x14ac:dyDescent="0.3">
      <c r="A94">
        <f ca="1">ORÇAMENTO!C94</f>
        <v>2</v>
      </c>
      <c r="B94">
        <f ca="1">ORÇAMENTO!D94</f>
        <v>7</v>
      </c>
      <c r="C94" s="114" t="str">
        <f t="shared" ca="1" si="1"/>
        <v>F</v>
      </c>
      <c r="D94" s="117" t="str">
        <f ca="1">ORÇAMENTO!O94</f>
        <v>3.1.</v>
      </c>
      <c r="E94" s="163" t="str">
        <f t="shared" si="2"/>
        <v>DRENAGEM</v>
      </c>
      <c r="F94" s="164" t="str">
        <f ca="1">IF(RegimeExecucao="Global","",ORÇAMENTO.Unidade)</f>
        <v>-</v>
      </c>
      <c r="G94" s="122">
        <f ca="1">IF(RegimeExecucao="Global","",ORÇAMENTO!T94)</f>
        <v>0</v>
      </c>
      <c r="H94" s="122">
        <f ca="1">IF(RegimeExecucao="Global","",ORÇAMENTO!W94)</f>
        <v>0</v>
      </c>
      <c r="I94" s="125">
        <f ca="1">ORÇAMENTO!X94</f>
        <v>82000.13</v>
      </c>
      <c r="J94" s="333" t="e" cm="1">
        <f t="array" aca="1" ref="J94" ca="1">_xlfn.SINGLE(IF($A94="S",IF(CAIXA.Modo,BM.AFAnterior,BM.MEDAnterior),IF(AND(_xlfn.SINGLE(RegimeExecucao)="Global",$I94&gt;0,COUNTIF($AB$13:$AM$13,BM.medicao-1)&gt;0),M94/$I94*100,0)))</f>
        <v>#NAME?</v>
      </c>
      <c r="K94" s="122" t="e">
        <f t="shared" ca="1" si="3"/>
        <v>#NAME?</v>
      </c>
      <c r="L94" s="334" t="e" cm="1">
        <f t="array" aca="1" ref="L94" ca="1">_xlfn.SINGLE(IF($A94="S",IF(CAIXA.Modo,BM.AFAcumulado,BM.MEDAcumulado),IF(AND(_xlfn.SINGLE(RegimeExecucao)="Global",$I94&gt;0,COUNTIF($AB$13:$AM$13,BM.medicao)&gt;0),O94/$I94*100,0)))</f>
        <v>#NAME?</v>
      </c>
      <c r="M94" s="335" t="e">
        <f ca="1">IF($A94="S",VTOTALBM,IF($A94=0,0,ROUND(SomaAgrupBM,15-13*ORÇAMENTO!$AF$11)))</f>
        <v>#NAME?</v>
      </c>
      <c r="N94" s="336" t="e">
        <f t="shared" ca="1" si="4"/>
        <v>#NAME?</v>
      </c>
      <c r="O94" s="125" t="e">
        <f ca="1">IF($A94="S",VTOTALBM,IF($A94=0,0,ROUND(SomaAgrupBM,15-13*ORÇAMENTO!$AF$11)))</f>
        <v>#NAME?</v>
      </c>
      <c r="Q94" s="337"/>
      <c r="R94" s="338"/>
      <c r="T94" s="117" t="e">
        <f t="shared" ca="1" si="5"/>
        <v>#NAME?</v>
      </c>
      <c r="U94" s="163" t="e">
        <f t="shared" ca="1" si="6"/>
        <v>#NAME?</v>
      </c>
      <c r="V94" s="164" t="e">
        <f ca="1">IF(AND($W94&gt;0,RegimeExecucao="Unitário"),$F94,"")</f>
        <v>#NAME?</v>
      </c>
      <c r="W94" s="454" t="e">
        <f ca="1">IF($Y94&gt;0,CHOOSE(MATCH(RegimeExecucao,{"Unitário","Global"},0),IF($A94="S",$Y94/$X94,""),($Y94/$X94)*100),0)</f>
        <v>#NAME?</v>
      </c>
      <c r="X94" s="339" t="e">
        <f ca="1">IF($Y94&gt;0,CHOOSE(MATCH(RegimeExecucao,{"Unitário","Global"},0),IF($A94="S",ROUND($H94,ORÇAMENTO!$AF$10),""),ROUND($I94,ORÇAMENTO!$AF$11)),"")</f>
        <v>#NAME?</v>
      </c>
      <c r="Y94" s="339" t="e">
        <f t="shared" ca="1" si="7"/>
        <v>#NAME?</v>
      </c>
      <c r="Z94" s="473"/>
      <c r="AB94" s="337"/>
      <c r="AC94" s="437"/>
      <c r="AD94" s="437"/>
      <c r="AE94" s="437"/>
      <c r="AF94" s="437"/>
      <c r="AG94" s="437"/>
      <c r="AH94" s="437"/>
      <c r="AI94" s="437"/>
      <c r="AJ94" s="437"/>
      <c r="AK94" s="437"/>
      <c r="AL94" s="437"/>
      <c r="AM94" s="338"/>
      <c r="AO94">
        <f ca="1">IF($A94="S",IF(BM!$I94=0,0,CHOOSE(MATCH(RegimeExecucao,{"Global","Unitário"},0),ROUND(ROUND(BM.MEDAcumulado,15-13*BM!$A$9)/100*BM!$I94,15-13*ORÇAMENTO!$AF$11),ROUND(ROUND(BM.MEDAcumulado,15-13*BM!$A$9)*ROUND(BM!$H94,15-13*ORÇAMENTO!$AF$10),15-13*ORÇAMENTO!$AF$11))),IF($A94=0,0,ROUND(SomaAgrupBM,15-13*ORÇAMENTO!$AF$11)))</f>
        <v>0</v>
      </c>
    </row>
    <row r="95" spans="1:41" ht="13.8" x14ac:dyDescent="0.3">
      <c r="A95" t="str">
        <f ca="1">ORÇAMENTO!C95</f>
        <v>S</v>
      </c>
      <c r="B95">
        <f ca="1">ORÇAMENTO!D95</f>
        <v>0</v>
      </c>
      <c r="C95" s="114" t="str">
        <f t="shared" ca="1" si="1"/>
        <v>F</v>
      </c>
      <c r="D95" s="117" t="str">
        <f ca="1">ORÇAMENTO!O95</f>
        <v>3.1.1.</v>
      </c>
      <c r="E95" s="163" t="str">
        <f t="shared" ca="1" si="2"/>
        <v>Escavação mecânica com retroescavadeira em material de 1ª categoria</v>
      </c>
      <c r="F95" s="164" t="str">
        <f ca="1">IF(RegimeExecucao="Global","",ORÇAMENTO.Unidade)</f>
        <v>m³</v>
      </c>
      <c r="G95" s="122">
        <f ca="1">IF(RegimeExecucao="Global","",ORÇAMENTO!T95)</f>
        <v>125.84</v>
      </c>
      <c r="H95" s="122">
        <f ca="1">IF(RegimeExecucao="Global","",ORÇAMENTO!W95)</f>
        <v>9.06</v>
      </c>
      <c r="I95" s="125">
        <f ca="1">ORÇAMENTO!X95</f>
        <v>1140.1099999999999</v>
      </c>
      <c r="J95" s="333" t="e" cm="1">
        <f t="array" aca="1" ref="J95" ca="1">_xlfn.SINGLE(IF($A95="S",IF(CAIXA.Modo,BM.AFAnterior,BM.MEDAnterior),IF(AND(_xlfn.SINGLE(RegimeExecucao)="Global",$I95&gt;0,COUNTIF($AB$13:$AM$13,BM.medicao-1)&gt;0),M95/$I95*100,0)))</f>
        <v>#NAME?</v>
      </c>
      <c r="K95" s="122" t="e">
        <f t="shared" ca="1" si="3"/>
        <v>#NAME?</v>
      </c>
      <c r="L95" s="334" t="e" cm="1">
        <f t="array" aca="1" ref="L95" ca="1">_xlfn.SINGLE(IF($A95="S",IF(CAIXA.Modo,BM.AFAcumulado,BM.MEDAcumulado),IF(AND(_xlfn.SINGLE(RegimeExecucao)="Global",$I95&gt;0,COUNTIF($AB$13:$AM$13,BM.medicao)&gt;0),O95/$I95*100,0)))</f>
        <v>#NAME?</v>
      </c>
      <c r="M95" s="335" t="e">
        <f ca="1">IF($A95="S",VTOTALBM,IF($A95=0,0,ROUND(SomaAgrupBM,15-13*ORÇAMENTO!$AF$11)))</f>
        <v>#NAME?</v>
      </c>
      <c r="N95" s="336" t="e">
        <f t="shared" ca="1" si="4"/>
        <v>#NAME?</v>
      </c>
      <c r="O95" s="125" t="e">
        <f ca="1">IF($A95="S",VTOTALBM,IF($A95=0,0,ROUND(SomaAgrupBM,15-13*ORÇAMENTO!$AF$11)))</f>
        <v>#NAME?</v>
      </c>
      <c r="Q95" s="337"/>
      <c r="R95" s="338"/>
      <c r="T95" s="117" t="e">
        <f t="shared" ca="1" si="5"/>
        <v>#NAME?</v>
      </c>
      <c r="U95" s="163" t="e">
        <f t="shared" ca="1" si="6"/>
        <v>#NAME?</v>
      </c>
      <c r="V95" s="164" t="e">
        <f ca="1">IF(AND($W95&gt;0,RegimeExecucao="Unitário"),$F95,"")</f>
        <v>#NAME?</v>
      </c>
      <c r="W95" s="454" t="e">
        <f ca="1">IF($Y95&gt;0,CHOOSE(MATCH(RegimeExecucao,{"Unitário","Global"},0),IF($A95="S",$Y95/$X95,""),($Y95/$X95)*100),0)</f>
        <v>#NAME?</v>
      </c>
      <c r="X95" s="339" t="e">
        <f ca="1">IF($Y95&gt;0,CHOOSE(MATCH(RegimeExecucao,{"Unitário","Global"},0),IF($A95="S",ROUND($H95,ORÇAMENTO!$AF$10),""),ROUND($I95,ORÇAMENTO!$AF$11)),"")</f>
        <v>#NAME?</v>
      </c>
      <c r="Y95" s="339" t="e">
        <f t="shared" ca="1" si="7"/>
        <v>#NAME?</v>
      </c>
      <c r="Z95" s="473"/>
      <c r="AB95" s="337"/>
      <c r="AC95" s="437"/>
      <c r="AD95" s="437"/>
      <c r="AE95" s="437"/>
      <c r="AF95" s="437"/>
      <c r="AG95" s="437"/>
      <c r="AH95" s="437"/>
      <c r="AI95" s="437"/>
      <c r="AJ95" s="437"/>
      <c r="AK95" s="437"/>
      <c r="AL95" s="437"/>
      <c r="AM95" s="338"/>
      <c r="AO95">
        <f ca="1">IF($A95="S",IF(BM!$I95=0,0,CHOOSE(MATCH(RegimeExecucao,{"Global","Unitário"},0),ROUND(ROUND(BM.MEDAcumulado,15-13*BM!$A$9)/100*BM!$I95,15-13*ORÇAMENTO!$AF$11),ROUND(ROUND(BM.MEDAcumulado,15-13*BM!$A$9)*ROUND(BM!$H95,15-13*ORÇAMENTO!$AF$10),15-13*ORÇAMENTO!$AF$11))),IF($A95=0,0,ROUND(SomaAgrupBM,15-13*ORÇAMENTO!$AF$11)))</f>
        <v>0</v>
      </c>
    </row>
    <row r="96" spans="1:41" ht="26.4" x14ac:dyDescent="0.3">
      <c r="A96" t="str">
        <f ca="1">ORÇAMENTO!C96</f>
        <v>S</v>
      </c>
      <c r="B96">
        <f ca="1">ORÇAMENTO!D96</f>
        <v>0</v>
      </c>
      <c r="C96" s="114" t="str">
        <f t="shared" ca="1" si="1"/>
        <v>F</v>
      </c>
      <c r="D96" s="117" t="str">
        <f ca="1">ORÇAMENTO!O96</f>
        <v>3.1.2.</v>
      </c>
      <c r="E96" s="163" t="str">
        <f t="shared" ca="1" si="2"/>
        <v>Tubo de concreto PA1 comercial para drenagem - D = 0,60 m - fornecimento e instalação</v>
      </c>
      <c r="F96" s="164" t="str">
        <f ca="1">IF(RegimeExecucao="Global","",ORÇAMENTO.Unidade)</f>
        <v>m</v>
      </c>
      <c r="G96" s="122">
        <f ca="1">IF(RegimeExecucao="Global","",ORÇAMENTO!T96)</f>
        <v>143</v>
      </c>
      <c r="H96" s="122">
        <f ca="1">IF(RegimeExecucao="Global","",ORÇAMENTO!W96)</f>
        <v>380.23</v>
      </c>
      <c r="I96" s="125">
        <f ca="1">ORÇAMENTO!X96</f>
        <v>54372.89</v>
      </c>
      <c r="J96" s="333" t="e" cm="1">
        <f t="array" aca="1" ref="J96" ca="1">_xlfn.SINGLE(IF($A96="S",IF(CAIXA.Modo,BM.AFAnterior,BM.MEDAnterior),IF(AND(_xlfn.SINGLE(RegimeExecucao)="Global",$I96&gt;0,COUNTIF($AB$13:$AM$13,BM.medicao-1)&gt;0),M96/$I96*100,0)))</f>
        <v>#NAME?</v>
      </c>
      <c r="K96" s="122" t="e">
        <f t="shared" ca="1" si="3"/>
        <v>#NAME?</v>
      </c>
      <c r="L96" s="334" t="e" cm="1">
        <f t="array" aca="1" ref="L96" ca="1">_xlfn.SINGLE(IF($A96="S",IF(CAIXA.Modo,BM.AFAcumulado,BM.MEDAcumulado),IF(AND(_xlfn.SINGLE(RegimeExecucao)="Global",$I96&gt;0,COUNTIF($AB$13:$AM$13,BM.medicao)&gt;0),O96/$I96*100,0)))</f>
        <v>#NAME?</v>
      </c>
      <c r="M96" s="335" t="e">
        <f ca="1">IF($A96="S",VTOTALBM,IF($A96=0,0,ROUND(SomaAgrupBM,15-13*ORÇAMENTO!$AF$11)))</f>
        <v>#NAME?</v>
      </c>
      <c r="N96" s="336" t="e">
        <f t="shared" ca="1" si="4"/>
        <v>#NAME?</v>
      </c>
      <c r="O96" s="125" t="e">
        <f ca="1">IF($A96="S",VTOTALBM,IF($A96=0,0,ROUND(SomaAgrupBM,15-13*ORÇAMENTO!$AF$11)))</f>
        <v>#NAME?</v>
      </c>
      <c r="Q96" s="337"/>
      <c r="R96" s="338"/>
      <c r="T96" s="117" t="e">
        <f t="shared" ca="1" si="5"/>
        <v>#NAME?</v>
      </c>
      <c r="U96" s="163" t="e">
        <f t="shared" ca="1" si="6"/>
        <v>#NAME?</v>
      </c>
      <c r="V96" s="164" t="e">
        <f ca="1">IF(AND($W96&gt;0,RegimeExecucao="Unitário"),$F96,"")</f>
        <v>#NAME?</v>
      </c>
      <c r="W96" s="454" t="e">
        <f ca="1">IF($Y96&gt;0,CHOOSE(MATCH(RegimeExecucao,{"Unitário","Global"},0),IF($A96="S",$Y96/$X96,""),($Y96/$X96)*100),0)</f>
        <v>#NAME?</v>
      </c>
      <c r="X96" s="339" t="e">
        <f ca="1">IF($Y96&gt;0,CHOOSE(MATCH(RegimeExecucao,{"Unitário","Global"},0),IF($A96="S",ROUND($H96,ORÇAMENTO!$AF$10),""),ROUND($I96,ORÇAMENTO!$AF$11)),"")</f>
        <v>#NAME?</v>
      </c>
      <c r="Y96" s="339" t="e">
        <f t="shared" ca="1" si="7"/>
        <v>#NAME?</v>
      </c>
      <c r="Z96" s="473"/>
      <c r="AB96" s="337"/>
      <c r="AC96" s="437"/>
      <c r="AD96" s="437"/>
      <c r="AE96" s="437"/>
      <c r="AF96" s="437"/>
      <c r="AG96" s="437"/>
      <c r="AH96" s="437"/>
      <c r="AI96" s="437"/>
      <c r="AJ96" s="437"/>
      <c r="AK96" s="437"/>
      <c r="AL96" s="437"/>
      <c r="AM96" s="338"/>
      <c r="AO96">
        <f ca="1">IF($A96="S",IF(BM!$I96=0,0,CHOOSE(MATCH(RegimeExecucao,{"Global","Unitário"},0),ROUND(ROUND(BM.MEDAcumulado,15-13*BM!$A$9)/100*BM!$I96,15-13*ORÇAMENTO!$AF$11),ROUND(ROUND(BM.MEDAcumulado,15-13*BM!$A$9)*ROUND(BM!$H96,15-13*ORÇAMENTO!$AF$10),15-13*ORÇAMENTO!$AF$11))),IF($A96=0,0,ROUND(SomaAgrupBM,15-13*ORÇAMENTO!$AF$11)))</f>
        <v>0</v>
      </c>
    </row>
    <row r="97" spans="1:41" ht="13.8" x14ac:dyDescent="0.3">
      <c r="A97" t="str">
        <f ca="1">ORÇAMENTO!C97</f>
        <v>S</v>
      </c>
      <c r="B97">
        <f ca="1">ORÇAMENTO!D97</f>
        <v>0</v>
      </c>
      <c r="C97" s="114" t="str">
        <f t="shared" ca="1" si="1"/>
        <v>F</v>
      </c>
      <c r="D97" s="117" t="str">
        <f ca="1">ORÇAMENTO!O97</f>
        <v>3.1.3.</v>
      </c>
      <c r="E97" s="163" t="str">
        <f t="shared" ca="1" si="2"/>
        <v>Reaterro e compactação com soquete vibratório</v>
      </c>
      <c r="F97" s="164" t="str">
        <f ca="1">IF(RegimeExecucao="Global","",ORÇAMENTO.Unidade)</f>
        <v>m³</v>
      </c>
      <c r="G97" s="122">
        <f ca="1">IF(RegimeExecucao="Global","",ORÇAMENTO!T97)</f>
        <v>71.5</v>
      </c>
      <c r="H97" s="122">
        <f ca="1">IF(RegimeExecucao="Global","",ORÇAMENTO!W97)</f>
        <v>24.68</v>
      </c>
      <c r="I97" s="125">
        <f ca="1">ORÇAMENTO!X97</f>
        <v>1764.62</v>
      </c>
      <c r="J97" s="333" t="e" cm="1">
        <f t="array" aca="1" ref="J97" ca="1">_xlfn.SINGLE(IF($A97="S",IF(CAIXA.Modo,BM.AFAnterior,BM.MEDAnterior),IF(AND(_xlfn.SINGLE(RegimeExecucao)="Global",$I97&gt;0,COUNTIF($AB$13:$AM$13,BM.medicao-1)&gt;0),M97/$I97*100,0)))</f>
        <v>#NAME?</v>
      </c>
      <c r="K97" s="122" t="e">
        <f t="shared" ca="1" si="3"/>
        <v>#NAME?</v>
      </c>
      <c r="L97" s="334" t="e" cm="1">
        <f t="array" aca="1" ref="L97" ca="1">_xlfn.SINGLE(IF($A97="S",IF(CAIXA.Modo,BM.AFAcumulado,BM.MEDAcumulado),IF(AND(_xlfn.SINGLE(RegimeExecucao)="Global",$I97&gt;0,COUNTIF($AB$13:$AM$13,BM.medicao)&gt;0),O97/$I97*100,0)))</f>
        <v>#NAME?</v>
      </c>
      <c r="M97" s="335" t="e">
        <f ca="1">IF($A97="S",VTOTALBM,IF($A97=0,0,ROUND(SomaAgrupBM,15-13*ORÇAMENTO!$AF$11)))</f>
        <v>#NAME?</v>
      </c>
      <c r="N97" s="336" t="e">
        <f t="shared" ca="1" si="4"/>
        <v>#NAME?</v>
      </c>
      <c r="O97" s="125" t="e">
        <f ca="1">IF($A97="S",VTOTALBM,IF($A97=0,0,ROUND(SomaAgrupBM,15-13*ORÇAMENTO!$AF$11)))</f>
        <v>#NAME?</v>
      </c>
      <c r="Q97" s="337"/>
      <c r="R97" s="338"/>
      <c r="T97" s="117" t="e">
        <f t="shared" ca="1" si="5"/>
        <v>#NAME?</v>
      </c>
      <c r="U97" s="163" t="e">
        <f t="shared" ca="1" si="6"/>
        <v>#NAME?</v>
      </c>
      <c r="V97" s="164" t="e">
        <f ca="1">IF(AND($W97&gt;0,RegimeExecucao="Unitário"),$F97,"")</f>
        <v>#NAME?</v>
      </c>
      <c r="W97" s="454" t="e">
        <f ca="1">IF($Y97&gt;0,CHOOSE(MATCH(RegimeExecucao,{"Unitário","Global"},0),IF($A97="S",$Y97/$X97,""),($Y97/$X97)*100),0)</f>
        <v>#NAME?</v>
      </c>
      <c r="X97" s="339" t="e">
        <f ca="1">IF($Y97&gt;0,CHOOSE(MATCH(RegimeExecucao,{"Unitário","Global"},0),IF($A97="S",ROUND($H97,ORÇAMENTO!$AF$10),""),ROUND($I97,ORÇAMENTO!$AF$11)),"")</f>
        <v>#NAME?</v>
      </c>
      <c r="Y97" s="339" t="e">
        <f t="shared" ca="1" si="7"/>
        <v>#NAME?</v>
      </c>
      <c r="Z97" s="473"/>
      <c r="AB97" s="337"/>
      <c r="AC97" s="437"/>
      <c r="AD97" s="437"/>
      <c r="AE97" s="437"/>
      <c r="AF97" s="437"/>
      <c r="AG97" s="437"/>
      <c r="AH97" s="437"/>
      <c r="AI97" s="437"/>
      <c r="AJ97" s="437"/>
      <c r="AK97" s="437"/>
      <c r="AL97" s="437"/>
      <c r="AM97" s="338"/>
      <c r="AO97">
        <f ca="1">IF($A97="S",IF(BM!$I97=0,0,CHOOSE(MATCH(RegimeExecucao,{"Global","Unitário"},0),ROUND(ROUND(BM.MEDAcumulado,15-13*BM!$A$9)/100*BM!$I97,15-13*ORÇAMENTO!$AF$11),ROUND(ROUND(BM.MEDAcumulado,15-13*BM!$A$9)*ROUND(BM!$H97,15-13*ORÇAMENTO!$AF$10),15-13*ORÇAMENTO!$AF$11))),IF($A97=0,0,ROUND(SomaAgrupBM,15-13*ORÇAMENTO!$AF$11)))</f>
        <v>0</v>
      </c>
    </row>
    <row r="98" spans="1:41" ht="26.4" x14ac:dyDescent="0.3">
      <c r="A98" t="str">
        <f ca="1">ORÇAMENTO!C98</f>
        <v>S</v>
      </c>
      <c r="B98">
        <f ca="1">ORÇAMENTO!D98</f>
        <v>0</v>
      </c>
      <c r="C98" s="114" t="str">
        <f t="shared" ca="1" si="1"/>
        <v>F</v>
      </c>
      <c r="D98" s="117" t="str">
        <f ca="1">ORÇAMENTO!O98</f>
        <v>3.1.4.</v>
      </c>
      <c r="E98" s="163" t="str">
        <f t="shared" ca="1" si="2"/>
        <v>Boca de lobo combinada - chapéu e grelha simples - BLC 01 - areia e brita comerciais</v>
      </c>
      <c r="F98" s="164" t="str">
        <f ca="1">IF(RegimeExecucao="Global","",ORÇAMENTO.Unidade)</f>
        <v>un</v>
      </c>
      <c r="G98" s="122">
        <f ca="1">IF(RegimeExecucao="Global","",ORÇAMENTO!T98)</f>
        <v>4</v>
      </c>
      <c r="H98" s="122">
        <f ca="1">IF(RegimeExecucao="Global","",ORÇAMENTO!W98)</f>
        <v>2982.3</v>
      </c>
      <c r="I98" s="125">
        <f ca="1">ORÇAMENTO!X98</f>
        <v>11929.2</v>
      </c>
      <c r="J98" s="333" t="e" cm="1">
        <f t="array" aca="1" ref="J98" ca="1">_xlfn.SINGLE(IF($A98="S",IF(CAIXA.Modo,BM.AFAnterior,BM.MEDAnterior),IF(AND(_xlfn.SINGLE(RegimeExecucao)="Global",$I98&gt;0,COUNTIF($AB$13:$AM$13,BM.medicao-1)&gt;0),M98/$I98*100,0)))</f>
        <v>#NAME?</v>
      </c>
      <c r="K98" s="122" t="e">
        <f t="shared" ca="1" si="3"/>
        <v>#NAME?</v>
      </c>
      <c r="L98" s="334" t="e" cm="1">
        <f t="array" aca="1" ref="L98" ca="1">_xlfn.SINGLE(IF($A98="S",IF(CAIXA.Modo,BM.AFAcumulado,BM.MEDAcumulado),IF(AND(_xlfn.SINGLE(RegimeExecucao)="Global",$I98&gt;0,COUNTIF($AB$13:$AM$13,BM.medicao)&gt;0),O98/$I98*100,0)))</f>
        <v>#NAME?</v>
      </c>
      <c r="M98" s="335" t="e">
        <f ca="1">IF($A98="S",VTOTALBM,IF($A98=0,0,ROUND(SomaAgrupBM,15-13*ORÇAMENTO!$AF$11)))</f>
        <v>#NAME?</v>
      </c>
      <c r="N98" s="336" t="e">
        <f t="shared" ca="1" si="4"/>
        <v>#NAME?</v>
      </c>
      <c r="O98" s="125" t="e">
        <f ca="1">IF($A98="S",VTOTALBM,IF($A98=0,0,ROUND(SomaAgrupBM,15-13*ORÇAMENTO!$AF$11)))</f>
        <v>#NAME?</v>
      </c>
      <c r="Q98" s="337"/>
      <c r="R98" s="338"/>
      <c r="T98" s="117" t="e">
        <f t="shared" ca="1" si="5"/>
        <v>#NAME?</v>
      </c>
      <c r="U98" s="163" t="e">
        <f t="shared" ca="1" si="6"/>
        <v>#NAME?</v>
      </c>
      <c r="V98" s="164" t="e">
        <f ca="1">IF(AND($W98&gt;0,RegimeExecucao="Unitário"),$F98,"")</f>
        <v>#NAME?</v>
      </c>
      <c r="W98" s="454" t="e">
        <f ca="1">IF($Y98&gt;0,CHOOSE(MATCH(RegimeExecucao,{"Unitário","Global"},0),IF($A98="S",$Y98/$X98,""),($Y98/$X98)*100),0)</f>
        <v>#NAME?</v>
      </c>
      <c r="X98" s="339" t="e">
        <f ca="1">IF($Y98&gt;0,CHOOSE(MATCH(RegimeExecucao,{"Unitário","Global"},0),IF($A98="S",ROUND($H98,ORÇAMENTO!$AF$10),""),ROUND($I98,ORÇAMENTO!$AF$11)),"")</f>
        <v>#NAME?</v>
      </c>
      <c r="Y98" s="339" t="e">
        <f t="shared" ca="1" si="7"/>
        <v>#NAME?</v>
      </c>
      <c r="Z98" s="473"/>
      <c r="AB98" s="337"/>
      <c r="AC98" s="437"/>
      <c r="AD98" s="437"/>
      <c r="AE98" s="437"/>
      <c r="AF98" s="437"/>
      <c r="AG98" s="437"/>
      <c r="AH98" s="437"/>
      <c r="AI98" s="437"/>
      <c r="AJ98" s="437"/>
      <c r="AK98" s="437"/>
      <c r="AL98" s="437"/>
      <c r="AM98" s="338"/>
      <c r="AO98">
        <f ca="1">IF($A98="S",IF(BM!$I98=0,0,CHOOSE(MATCH(RegimeExecucao,{"Global","Unitário"},0),ROUND(ROUND(BM.MEDAcumulado,15-13*BM!$A$9)/100*BM!$I98,15-13*ORÇAMENTO!$AF$11),ROUND(ROUND(BM.MEDAcumulado,15-13*BM!$A$9)*ROUND(BM!$H98,15-13*ORÇAMENTO!$AF$10),15-13*ORÇAMENTO!$AF$11))),IF($A98=0,0,ROUND(SomaAgrupBM,15-13*ORÇAMENTO!$AF$11)))</f>
        <v>0</v>
      </c>
    </row>
    <row r="99" spans="1:41" ht="26.4" x14ac:dyDescent="0.3">
      <c r="A99" t="str">
        <f ca="1">ORÇAMENTO!C99</f>
        <v>S</v>
      </c>
      <c r="B99">
        <f ca="1">ORÇAMENTO!D99</f>
        <v>0</v>
      </c>
      <c r="C99" s="114" t="str">
        <f t="shared" ca="1" si="1"/>
        <v>F</v>
      </c>
      <c r="D99" s="117" t="str">
        <f ca="1">ORÇAMENTO!O99</f>
        <v>3.1.5.</v>
      </c>
      <c r="E99" s="163" t="str">
        <f t="shared" ca="1" si="2"/>
        <v>Meio-fio de concreto - MFC 05 moldado no local com extrusora e concreto usinado - areia e brita comerciais</v>
      </c>
      <c r="F99" s="164" t="str">
        <f ca="1">IF(RegimeExecucao="Global","",ORÇAMENTO.Unidade)</f>
        <v>m</v>
      </c>
      <c r="G99" s="122">
        <f ca="1">IF(RegimeExecucao="Global","",ORÇAMENTO!T99)</f>
        <v>410</v>
      </c>
      <c r="H99" s="122">
        <f ca="1">IF(RegimeExecucao="Global","",ORÇAMENTO!W99)</f>
        <v>29.33</v>
      </c>
      <c r="I99" s="125">
        <f ca="1">ORÇAMENTO!X99</f>
        <v>12025.3</v>
      </c>
      <c r="J99" s="333" t="e" cm="1">
        <f t="array" aca="1" ref="J99" ca="1">_xlfn.SINGLE(IF($A99="S",IF(CAIXA.Modo,BM.AFAnterior,BM.MEDAnterior),IF(AND(_xlfn.SINGLE(RegimeExecucao)="Global",$I99&gt;0,COUNTIF($AB$13:$AM$13,BM.medicao-1)&gt;0),M99/$I99*100,0)))</f>
        <v>#NAME?</v>
      </c>
      <c r="K99" s="122" t="e">
        <f t="shared" ca="1" si="3"/>
        <v>#NAME?</v>
      </c>
      <c r="L99" s="334" t="e" cm="1">
        <f t="array" aca="1" ref="L99" ca="1">_xlfn.SINGLE(IF($A99="S",IF(CAIXA.Modo,BM.AFAcumulado,BM.MEDAcumulado),IF(AND(_xlfn.SINGLE(RegimeExecucao)="Global",$I99&gt;0,COUNTIF($AB$13:$AM$13,BM.medicao)&gt;0),O99/$I99*100,0)))</f>
        <v>#NAME?</v>
      </c>
      <c r="M99" s="335" t="e">
        <f ca="1">IF($A99="S",VTOTALBM,IF($A99=0,0,ROUND(SomaAgrupBM,15-13*ORÇAMENTO!$AF$11)))</f>
        <v>#NAME?</v>
      </c>
      <c r="N99" s="336" t="e">
        <f t="shared" ca="1" si="4"/>
        <v>#NAME?</v>
      </c>
      <c r="O99" s="125" t="e">
        <f ca="1">IF($A99="S",VTOTALBM,IF($A99=0,0,ROUND(SomaAgrupBM,15-13*ORÇAMENTO!$AF$11)))</f>
        <v>#NAME?</v>
      </c>
      <c r="Q99" s="337"/>
      <c r="R99" s="338"/>
      <c r="T99" s="117" t="e">
        <f t="shared" ca="1" si="5"/>
        <v>#NAME?</v>
      </c>
      <c r="U99" s="163" t="e">
        <f t="shared" ca="1" si="6"/>
        <v>#NAME?</v>
      </c>
      <c r="V99" s="164" t="e">
        <f ca="1">IF(AND($W99&gt;0,RegimeExecucao="Unitário"),$F99,"")</f>
        <v>#NAME?</v>
      </c>
      <c r="W99" s="454" t="e">
        <f ca="1">IF($Y99&gt;0,CHOOSE(MATCH(RegimeExecucao,{"Unitário","Global"},0),IF($A99="S",$Y99/$X99,""),($Y99/$X99)*100),0)</f>
        <v>#NAME?</v>
      </c>
      <c r="X99" s="339" t="e">
        <f ca="1">IF($Y99&gt;0,CHOOSE(MATCH(RegimeExecucao,{"Unitário","Global"},0),IF($A99="S",ROUND($H99,ORÇAMENTO!$AF$10),""),ROUND($I99,ORÇAMENTO!$AF$11)),"")</f>
        <v>#NAME?</v>
      </c>
      <c r="Y99" s="339" t="e">
        <f t="shared" ca="1" si="7"/>
        <v>#NAME?</v>
      </c>
      <c r="Z99" s="473"/>
      <c r="AB99" s="337"/>
      <c r="AC99" s="437"/>
      <c r="AD99" s="437"/>
      <c r="AE99" s="437"/>
      <c r="AF99" s="437"/>
      <c r="AG99" s="437"/>
      <c r="AH99" s="437"/>
      <c r="AI99" s="437"/>
      <c r="AJ99" s="437"/>
      <c r="AK99" s="437"/>
      <c r="AL99" s="437"/>
      <c r="AM99" s="338"/>
      <c r="AO99">
        <f ca="1">IF($A99="S",IF(BM!$I99=0,0,CHOOSE(MATCH(RegimeExecucao,{"Global","Unitário"},0),ROUND(ROUND(BM.MEDAcumulado,15-13*BM!$A$9)/100*BM!$I99,15-13*ORÇAMENTO!$AF$11),ROUND(ROUND(BM.MEDAcumulado,15-13*BM!$A$9)*ROUND(BM!$H99,15-13*ORÇAMENTO!$AF$10),15-13*ORÇAMENTO!$AF$11))),IF($A99=0,0,ROUND(SomaAgrupBM,15-13*ORÇAMENTO!$AF$11)))</f>
        <v>0</v>
      </c>
    </row>
    <row r="100" spans="1:41" ht="13.8" x14ac:dyDescent="0.3">
      <c r="A100" t="str">
        <f ca="1">ORÇAMENTO!C100</f>
        <v>S</v>
      </c>
      <c r="B100">
        <f ca="1">ORÇAMENTO!D100</f>
        <v>0</v>
      </c>
      <c r="C100" s="114" t="str">
        <f t="shared" ca="1" si="1"/>
        <v>F</v>
      </c>
      <c r="D100" s="117" t="str">
        <f ca="1">ORÇAMENTO!O100</f>
        <v>3.1.6.</v>
      </c>
      <c r="E100" s="163" t="str">
        <f t="shared" ca="1" si="2"/>
        <v>Caiação manual com fixador de cal</v>
      </c>
      <c r="F100" s="164" t="str">
        <f ca="1">IF(RegimeExecucao="Global","",ORÇAMENTO.Unidade)</f>
        <v>m²</v>
      </c>
      <c r="G100" s="122">
        <f ca="1">IF(RegimeExecucao="Global","",ORÇAMENTO!T100)</f>
        <v>172.2</v>
      </c>
      <c r="H100" s="122">
        <f ca="1">IF(RegimeExecucao="Global","",ORÇAMENTO!W100)</f>
        <v>4.46</v>
      </c>
      <c r="I100" s="125">
        <f ca="1">ORÇAMENTO!X100</f>
        <v>768.01</v>
      </c>
      <c r="J100" s="333" t="e" cm="1">
        <f t="array" aca="1" ref="J100" ca="1">_xlfn.SINGLE(IF($A100="S",IF(CAIXA.Modo,BM.AFAnterior,BM.MEDAnterior),IF(AND(_xlfn.SINGLE(RegimeExecucao)="Global",$I100&gt;0,COUNTIF($AB$13:$AM$13,BM.medicao-1)&gt;0),M100/$I100*100,0)))</f>
        <v>#NAME?</v>
      </c>
      <c r="K100" s="122" t="e">
        <f t="shared" ca="1" si="3"/>
        <v>#NAME?</v>
      </c>
      <c r="L100" s="334" t="e" cm="1">
        <f t="array" aca="1" ref="L100" ca="1">_xlfn.SINGLE(IF($A100="S",IF(CAIXA.Modo,BM.AFAcumulado,BM.MEDAcumulado),IF(AND(_xlfn.SINGLE(RegimeExecucao)="Global",$I100&gt;0,COUNTIF($AB$13:$AM$13,BM.medicao)&gt;0),O100/$I100*100,0)))</f>
        <v>#NAME?</v>
      </c>
      <c r="M100" s="335" t="e">
        <f ca="1">IF($A100="S",VTOTALBM,IF($A100=0,0,ROUND(SomaAgrupBM,15-13*ORÇAMENTO!$AF$11)))</f>
        <v>#NAME?</v>
      </c>
      <c r="N100" s="336" t="e">
        <f t="shared" ca="1" si="4"/>
        <v>#NAME?</v>
      </c>
      <c r="O100" s="125" t="e">
        <f ca="1">IF($A100="S",VTOTALBM,IF($A100=0,0,ROUND(SomaAgrupBM,15-13*ORÇAMENTO!$AF$11)))</f>
        <v>#NAME?</v>
      </c>
      <c r="Q100" s="337"/>
      <c r="R100" s="338"/>
      <c r="T100" s="117" t="e">
        <f t="shared" ca="1" si="5"/>
        <v>#NAME?</v>
      </c>
      <c r="U100" s="163" t="e">
        <f t="shared" ca="1" si="6"/>
        <v>#NAME?</v>
      </c>
      <c r="V100" s="164" t="e">
        <f ca="1">IF(AND($W100&gt;0,RegimeExecucao="Unitário"),$F100,"")</f>
        <v>#NAME?</v>
      </c>
      <c r="W100" s="454" t="e">
        <f ca="1">IF($Y100&gt;0,CHOOSE(MATCH(RegimeExecucao,{"Unitário","Global"},0),IF($A100="S",$Y100/$X100,""),($Y100/$X100)*100),0)</f>
        <v>#NAME?</v>
      </c>
      <c r="X100" s="339" t="e">
        <f ca="1">IF($Y100&gt;0,CHOOSE(MATCH(RegimeExecucao,{"Unitário","Global"},0),IF($A100="S",ROUND($H100,ORÇAMENTO!$AF$10),""),ROUND($I100,ORÇAMENTO!$AF$11)),"")</f>
        <v>#NAME?</v>
      </c>
      <c r="Y100" s="339" t="e">
        <f t="shared" ca="1" si="7"/>
        <v>#NAME?</v>
      </c>
      <c r="Z100" s="473"/>
      <c r="AB100" s="337"/>
      <c r="AC100" s="437"/>
      <c r="AD100" s="437"/>
      <c r="AE100" s="437"/>
      <c r="AF100" s="437"/>
      <c r="AG100" s="437"/>
      <c r="AH100" s="437"/>
      <c r="AI100" s="437"/>
      <c r="AJ100" s="437"/>
      <c r="AK100" s="437"/>
      <c r="AL100" s="437"/>
      <c r="AM100" s="338"/>
      <c r="AO100">
        <f ca="1">IF($A100="S",IF(BM!$I100=0,0,CHOOSE(MATCH(RegimeExecucao,{"Global","Unitário"},0),ROUND(ROUND(BM.MEDAcumulado,15-13*BM!$A$9)/100*BM!$I100,15-13*ORÇAMENTO!$AF$11),ROUND(ROUND(BM.MEDAcumulado,15-13*BM!$A$9)*ROUND(BM!$H100,15-13*ORÇAMENTO!$AF$10),15-13*ORÇAMENTO!$AF$11))),IF($A100=0,0,ROUND(SomaAgrupBM,15-13*ORÇAMENTO!$AF$11)))</f>
        <v>0</v>
      </c>
    </row>
    <row r="101" spans="1:41" ht="13.8" x14ac:dyDescent="0.3">
      <c r="A101">
        <f ca="1">ORÇAMENTO!C101</f>
        <v>2</v>
      </c>
      <c r="B101">
        <f ca="1">ORÇAMENTO!D101</f>
        <v>15</v>
      </c>
      <c r="C101" s="114" t="str">
        <f t="shared" ca="1" si="1"/>
        <v>F</v>
      </c>
      <c r="D101" s="117" t="str">
        <f ca="1">ORÇAMENTO!O101</f>
        <v>3.2.</v>
      </c>
      <c r="E101" s="163" t="str">
        <f t="shared" si="2"/>
        <v>PAVIMENTAÇÃO</v>
      </c>
      <c r="F101" s="164" t="str">
        <f ca="1">IF(RegimeExecucao="Global","",ORÇAMENTO.Unidade)</f>
        <v>-</v>
      </c>
      <c r="G101" s="122">
        <f ca="1">IF(RegimeExecucao="Global","",ORÇAMENTO!T101)</f>
        <v>0</v>
      </c>
      <c r="H101" s="122">
        <f ca="1">IF(RegimeExecucao="Global","",ORÇAMENTO!W101)</f>
        <v>0</v>
      </c>
      <c r="I101" s="125">
        <f ca="1">ORÇAMENTO!X101</f>
        <v>250037.75</v>
      </c>
      <c r="J101" s="333" t="e" cm="1">
        <f t="array" aca="1" ref="J101" ca="1">_xlfn.SINGLE(IF($A101="S",IF(CAIXA.Modo,BM.AFAnterior,BM.MEDAnterior),IF(AND(_xlfn.SINGLE(RegimeExecucao)="Global",$I101&gt;0,COUNTIF($AB$13:$AM$13,BM.medicao-1)&gt;0),M101/$I101*100,0)))</f>
        <v>#NAME?</v>
      </c>
      <c r="K101" s="122" t="e">
        <f t="shared" ca="1" si="3"/>
        <v>#NAME?</v>
      </c>
      <c r="L101" s="334" t="e" cm="1">
        <f t="array" aca="1" ref="L101" ca="1">_xlfn.SINGLE(IF($A101="S",IF(CAIXA.Modo,BM.AFAcumulado,BM.MEDAcumulado),IF(AND(_xlfn.SINGLE(RegimeExecucao)="Global",$I101&gt;0,COUNTIF($AB$13:$AM$13,BM.medicao)&gt;0),O101/$I101*100,0)))</f>
        <v>#NAME?</v>
      </c>
      <c r="M101" s="335" t="e">
        <f ca="1">IF($A101="S",VTOTALBM,IF($A101=0,0,ROUND(SomaAgrupBM,15-13*ORÇAMENTO!$AF$11)))</f>
        <v>#NAME?</v>
      </c>
      <c r="N101" s="336" t="e">
        <f t="shared" ca="1" si="4"/>
        <v>#NAME?</v>
      </c>
      <c r="O101" s="125" t="e">
        <f ca="1">IF($A101="S",VTOTALBM,IF($A101=0,0,ROUND(SomaAgrupBM,15-13*ORÇAMENTO!$AF$11)))</f>
        <v>#NAME?</v>
      </c>
      <c r="Q101" s="337"/>
      <c r="R101" s="338"/>
      <c r="T101" s="117" t="e">
        <f t="shared" ca="1" si="5"/>
        <v>#NAME?</v>
      </c>
      <c r="U101" s="163" t="e">
        <f t="shared" ca="1" si="6"/>
        <v>#NAME?</v>
      </c>
      <c r="V101" s="164" t="e">
        <f ca="1">IF(AND($W101&gt;0,RegimeExecucao="Unitário"),$F101,"")</f>
        <v>#NAME?</v>
      </c>
      <c r="W101" s="454" t="e">
        <f ca="1">IF($Y101&gt;0,CHOOSE(MATCH(RegimeExecucao,{"Unitário","Global"},0),IF($A101="S",$Y101/$X101,""),($Y101/$X101)*100),0)</f>
        <v>#NAME?</v>
      </c>
      <c r="X101" s="339" t="e">
        <f ca="1">IF($Y101&gt;0,CHOOSE(MATCH(RegimeExecucao,{"Unitário","Global"},0),IF($A101="S",ROUND($H101,ORÇAMENTO!$AF$10),""),ROUND($I101,ORÇAMENTO!$AF$11)),"")</f>
        <v>#NAME?</v>
      </c>
      <c r="Y101" s="339" t="e">
        <f t="shared" ca="1" si="7"/>
        <v>#NAME?</v>
      </c>
      <c r="Z101" s="473"/>
      <c r="AB101" s="337"/>
      <c r="AC101" s="437"/>
      <c r="AD101" s="437"/>
      <c r="AE101" s="437"/>
      <c r="AF101" s="437"/>
      <c r="AG101" s="437"/>
      <c r="AH101" s="437"/>
      <c r="AI101" s="437"/>
      <c r="AJ101" s="437"/>
      <c r="AK101" s="437"/>
      <c r="AL101" s="437"/>
      <c r="AM101" s="338"/>
      <c r="AO101">
        <f ca="1">IF($A101="S",IF(BM!$I101=0,0,CHOOSE(MATCH(RegimeExecucao,{"Global","Unitário"},0),ROUND(ROUND(BM.MEDAcumulado,15-13*BM!$A$9)/100*BM!$I101,15-13*ORÇAMENTO!$AF$11),ROUND(ROUND(BM.MEDAcumulado,15-13*BM!$A$9)*ROUND(BM!$H101,15-13*ORÇAMENTO!$AF$10),15-13*ORÇAMENTO!$AF$11))),IF($A101=0,0,ROUND(SomaAgrupBM,15-13*ORÇAMENTO!$AF$11)))</f>
        <v>0</v>
      </c>
    </row>
    <row r="102" spans="1:41" ht="26.4" x14ac:dyDescent="0.3">
      <c r="A102" t="str">
        <f ca="1">ORÇAMENTO!C102</f>
        <v>S</v>
      </c>
      <c r="B102">
        <f ca="1">ORÇAMENTO!D102</f>
        <v>0</v>
      </c>
      <c r="C102" s="114" t="str">
        <f t="shared" ca="1" si="1"/>
        <v>F</v>
      </c>
      <c r="D102" s="117" t="str">
        <f ca="1">ORÇAMENTO!O102</f>
        <v>3.2.1.</v>
      </c>
      <c r="E102" s="163" t="str">
        <f t="shared" ca="1" si="2"/>
        <v>Base ou sub-base de macadame seco com brita comercial - 100% Proctor modificado</v>
      </c>
      <c r="F102" s="164" t="str">
        <f ca="1">IF(RegimeExecucao="Global","",ORÇAMENTO.Unidade)</f>
        <v>m³</v>
      </c>
      <c r="G102" s="122">
        <f ca="1">IF(RegimeExecucao="Global","",ORÇAMENTO!T102)</f>
        <v>246</v>
      </c>
      <c r="H102" s="122">
        <f ca="1">IF(RegimeExecucao="Global","",ORÇAMENTO!W102)</f>
        <v>244.52</v>
      </c>
      <c r="I102" s="125">
        <f ca="1">ORÇAMENTO!X102</f>
        <v>60151.92</v>
      </c>
      <c r="J102" s="333" t="e" cm="1">
        <f t="array" aca="1" ref="J102" ca="1">_xlfn.SINGLE(IF($A102="S",IF(CAIXA.Modo,BM.AFAnterior,BM.MEDAnterior),IF(AND(_xlfn.SINGLE(RegimeExecucao)="Global",$I102&gt;0,COUNTIF($AB$13:$AM$13,BM.medicao-1)&gt;0),M102/$I102*100,0)))</f>
        <v>#NAME?</v>
      </c>
      <c r="K102" s="122" t="e">
        <f t="shared" ca="1" si="3"/>
        <v>#NAME?</v>
      </c>
      <c r="L102" s="334" t="e" cm="1">
        <f t="array" aca="1" ref="L102" ca="1">_xlfn.SINGLE(IF($A102="S",IF(CAIXA.Modo,BM.AFAcumulado,BM.MEDAcumulado),IF(AND(_xlfn.SINGLE(RegimeExecucao)="Global",$I102&gt;0,COUNTIF($AB$13:$AM$13,BM.medicao)&gt;0),O102/$I102*100,0)))</f>
        <v>#NAME?</v>
      </c>
      <c r="M102" s="335" t="e">
        <f ca="1">IF($A102="S",VTOTALBM,IF($A102=0,0,ROUND(SomaAgrupBM,15-13*ORÇAMENTO!$AF$11)))</f>
        <v>#NAME?</v>
      </c>
      <c r="N102" s="336" t="e">
        <f t="shared" ca="1" si="4"/>
        <v>#NAME?</v>
      </c>
      <c r="O102" s="125" t="e">
        <f ca="1">IF($A102="S",VTOTALBM,IF($A102=0,0,ROUND(SomaAgrupBM,15-13*ORÇAMENTO!$AF$11)))</f>
        <v>#NAME?</v>
      </c>
      <c r="Q102" s="337"/>
      <c r="R102" s="338"/>
      <c r="T102" s="117" t="e">
        <f t="shared" ca="1" si="5"/>
        <v>#NAME?</v>
      </c>
      <c r="U102" s="163" t="e">
        <f t="shared" ca="1" si="6"/>
        <v>#NAME?</v>
      </c>
      <c r="V102" s="164" t="e">
        <f ca="1">IF(AND($W102&gt;0,RegimeExecucao="Unitário"),$F102,"")</f>
        <v>#NAME?</v>
      </c>
      <c r="W102" s="454" t="e">
        <f ca="1">IF($Y102&gt;0,CHOOSE(MATCH(RegimeExecucao,{"Unitário","Global"},0),IF($A102="S",$Y102/$X102,""),($Y102/$X102)*100),0)</f>
        <v>#NAME?</v>
      </c>
      <c r="X102" s="339" t="e">
        <f ca="1">IF($Y102&gt;0,CHOOSE(MATCH(RegimeExecucao,{"Unitário","Global"},0),IF($A102="S",ROUND($H102,ORÇAMENTO!$AF$10),""),ROUND($I102,ORÇAMENTO!$AF$11)),"")</f>
        <v>#NAME?</v>
      </c>
      <c r="Y102" s="339" t="e">
        <f t="shared" ca="1" si="7"/>
        <v>#NAME?</v>
      </c>
      <c r="Z102" s="473"/>
      <c r="AB102" s="337"/>
      <c r="AC102" s="437"/>
      <c r="AD102" s="437"/>
      <c r="AE102" s="437"/>
      <c r="AF102" s="437"/>
      <c r="AG102" s="437"/>
      <c r="AH102" s="437"/>
      <c r="AI102" s="437"/>
      <c r="AJ102" s="437"/>
      <c r="AK102" s="437"/>
      <c r="AL102" s="437"/>
      <c r="AM102" s="338"/>
      <c r="AO102">
        <f ca="1">IF($A102="S",IF(BM!$I102=0,0,CHOOSE(MATCH(RegimeExecucao,{"Global","Unitário"},0),ROUND(ROUND(BM.MEDAcumulado,15-13*BM!$A$9)/100*BM!$I102,15-13*ORÇAMENTO!$AF$11),ROUND(ROUND(BM.MEDAcumulado,15-13*BM!$A$9)*ROUND(BM!$H102,15-13*ORÇAMENTO!$AF$10),15-13*ORÇAMENTO!$AF$11))),IF($A102=0,0,ROUND(SomaAgrupBM,15-13*ORÇAMENTO!$AF$11)))</f>
        <v>0</v>
      </c>
    </row>
    <row r="103" spans="1:41" ht="13.8" x14ac:dyDescent="0.3">
      <c r="A103" t="str">
        <f ca="1">ORÇAMENTO!C103</f>
        <v>S</v>
      </c>
      <c r="B103">
        <f ca="1">ORÇAMENTO!D103</f>
        <v>0</v>
      </c>
      <c r="C103" s="114" t="str">
        <f ca="1">IF(OR($I103&gt;0,$A103=1,$A103=2,$A103=3,$A103=4),"F","")</f>
        <v>F</v>
      </c>
      <c r="D103" s="117" t="str">
        <f ca="1">ORÇAMENTO!O103</f>
        <v>3.2.2.</v>
      </c>
      <c r="E103" s="163" t="str">
        <f ca="1">ORÇAMENTO.Descricao</f>
        <v>Transporte com caminhão basculante de 10 m³ - rodovia pavimentada</v>
      </c>
      <c r="F103" s="164" t="str">
        <f ca="1">IF(RegimeExecucao="Global","",ORÇAMENTO.Unidade)</f>
        <v>tkm</v>
      </c>
      <c r="G103" s="122">
        <f ca="1">IF(RegimeExecucao="Global","",ORÇAMENTO!T103)</f>
        <v>7749</v>
      </c>
      <c r="H103" s="122">
        <f ca="1">IF(RegimeExecucao="Global","",ORÇAMENTO!W103)</f>
        <v>1.01</v>
      </c>
      <c r="I103" s="125">
        <f ca="1">ORÇAMENTO!X103</f>
        <v>7826.49</v>
      </c>
      <c r="J103" s="333" t="e" cm="1">
        <f t="array" aca="1" ref="J103" ca="1">_xlfn.SINGLE(IF($A103="S",IF(CAIXA.Modo,BM.AFAnterior,BM.MEDAnterior),IF(AND(_xlfn.SINGLE(RegimeExecucao)="Global",$I103&gt;0,COUNTIF($AB$13:$AM$13,BM.medicao-1)&gt;0),M103/$I103*100,0)))</f>
        <v>#NAME?</v>
      </c>
      <c r="K103" s="122" t="e">
        <f ca="1">L103-J103</f>
        <v>#NAME?</v>
      </c>
      <c r="L103" s="334" t="e" cm="1">
        <f t="array" aca="1" ref="L103" ca="1">_xlfn.SINGLE(IF($A103="S",IF(CAIXA.Modo,BM.AFAcumulado,BM.MEDAcumulado),IF(AND(_xlfn.SINGLE(RegimeExecucao)="Global",$I103&gt;0,COUNTIF($AB$13:$AM$13,BM.medicao)&gt;0),O103/$I103*100,0)))</f>
        <v>#NAME?</v>
      </c>
      <c r="M103" s="335" t="e">
        <f ca="1">IF($A103="S",VTOTALBM,IF($A103=0,0,ROUND(SomaAgrupBM,15-13*ORÇAMENTO!$AF$11)))</f>
        <v>#NAME?</v>
      </c>
      <c r="N103" s="336" t="e">
        <f ca="1">O103-M103</f>
        <v>#NAME?</v>
      </c>
      <c r="O103" s="125" t="e">
        <f ca="1">IF($A103="S",VTOTALBM,IF($A103=0,0,ROUND(SomaAgrupBM,15-13*ORÇAMENTO!$AF$11)))</f>
        <v>#NAME?</v>
      </c>
      <c r="Q103" s="337"/>
      <c r="R103" s="338"/>
      <c r="T103" s="117" t="e">
        <f ca="1">IF($W103&gt;0,$D103,"")</f>
        <v>#NAME?</v>
      </c>
      <c r="U103" s="163" t="e">
        <f ca="1">IF($W103&gt;0,$E103,"")</f>
        <v>#NAME?</v>
      </c>
      <c r="V103" s="164" t="e">
        <f ca="1">IF(AND($W103&gt;0,RegimeExecucao="Unitário"),$F103,"")</f>
        <v>#NAME?</v>
      </c>
      <c r="W103" s="454" t="e">
        <f ca="1">IF($Y103&gt;0,CHOOSE(MATCH(RegimeExecucao,{"Unitário","Global"},0),IF($A103="S",$Y103/$X103,""),($Y103/$X103)*100),0)</f>
        <v>#NAME?</v>
      </c>
      <c r="X103" s="339" t="e">
        <f ca="1">IF($Y103&gt;0,CHOOSE(MATCH(RegimeExecucao,{"Unitário","Global"},0),IF($A103="S",ROUND($H103,ORÇAMENTO!$AF$10),""),ROUND($I103,ORÇAMENTO!$AF$11)),"")</f>
        <v>#NAME?</v>
      </c>
      <c r="Y103" s="339" t="e">
        <f ca="1">AO103-O103</f>
        <v>#NAME?</v>
      </c>
      <c r="Z103" s="473"/>
      <c r="AB103" s="337"/>
      <c r="AC103" s="437"/>
      <c r="AD103" s="437"/>
      <c r="AE103" s="437"/>
      <c r="AF103" s="437"/>
      <c r="AG103" s="437"/>
      <c r="AH103" s="437"/>
      <c r="AI103" s="437"/>
      <c r="AJ103" s="437"/>
      <c r="AK103" s="437"/>
      <c r="AL103" s="437"/>
      <c r="AM103" s="338"/>
      <c r="AO103">
        <f ca="1">IF($A103="S",IF(BM!$I103=0,0,CHOOSE(MATCH(RegimeExecucao,{"Global","Unitário"},0),ROUND(ROUND(BM.MEDAcumulado,15-13*BM!$A$9)/100*BM!$I103,15-13*ORÇAMENTO!$AF$11),ROUND(ROUND(BM.MEDAcumulado,15-13*BM!$A$9)*ROUND(BM!$H103,15-13*ORÇAMENTO!$AF$10),15-13*ORÇAMENTO!$AF$11))),IF($A103=0,0,ROUND(SomaAgrupBM,15-13*ORÇAMENTO!$AF$11)))</f>
        <v>0</v>
      </c>
    </row>
    <row r="104" spans="1:41" ht="26.4" x14ac:dyDescent="0.3">
      <c r="A104" t="str">
        <f ca="1">ORÇAMENTO!C104</f>
        <v>S</v>
      </c>
      <c r="B104">
        <f ca="1">ORÇAMENTO!D104</f>
        <v>0</v>
      </c>
      <c r="C104" s="114" t="str">
        <f t="shared" ca="1" si="1"/>
        <v>F</v>
      </c>
      <c r="D104" s="117" t="str">
        <f ca="1">ORÇAMENTO!O104</f>
        <v>3.2.3.</v>
      </c>
      <c r="E104" s="163" t="str">
        <f t="shared" ca="1" si="2"/>
        <v>Base ou sub-base de brita graduada com brita comercial - 100% Proctor modificado</v>
      </c>
      <c r="F104" s="164" t="str">
        <f ca="1">IF(RegimeExecucao="Global","",ORÇAMENTO.Unidade)</f>
        <v>m³</v>
      </c>
      <c r="G104" s="122">
        <f ca="1">IF(RegimeExecucao="Global","",ORÇAMENTO!T104)</f>
        <v>196.8</v>
      </c>
      <c r="H104" s="122">
        <f ca="1">IF(RegimeExecucao="Global","",ORÇAMENTO!W104)</f>
        <v>291.70999999999998</v>
      </c>
      <c r="I104" s="125">
        <f ca="1">ORÇAMENTO!X104</f>
        <v>57408.53</v>
      </c>
      <c r="J104" s="333" t="e" cm="1">
        <f t="array" aca="1" ref="J104" ca="1">_xlfn.SINGLE(IF($A104="S",IF(CAIXA.Modo,BM.AFAnterior,BM.MEDAnterior),IF(AND(_xlfn.SINGLE(RegimeExecucao)="Global",$I104&gt;0,COUNTIF($AB$13:$AM$13,BM.medicao-1)&gt;0),M104/$I104*100,0)))</f>
        <v>#NAME?</v>
      </c>
      <c r="K104" s="122" t="e">
        <f t="shared" ca="1" si="3"/>
        <v>#NAME?</v>
      </c>
      <c r="L104" s="334" t="e" cm="1">
        <f t="array" aca="1" ref="L104" ca="1">_xlfn.SINGLE(IF($A104="S",IF(CAIXA.Modo,BM.AFAcumulado,BM.MEDAcumulado),IF(AND(_xlfn.SINGLE(RegimeExecucao)="Global",$I104&gt;0,COUNTIF($AB$13:$AM$13,BM.medicao)&gt;0),O104/$I104*100,0)))</f>
        <v>#NAME?</v>
      </c>
      <c r="M104" s="335" t="e">
        <f ca="1">IF($A104="S",VTOTALBM,IF($A104=0,0,ROUND(SomaAgrupBM,15-13*ORÇAMENTO!$AF$11)))</f>
        <v>#NAME?</v>
      </c>
      <c r="N104" s="336" t="e">
        <f t="shared" ca="1" si="4"/>
        <v>#NAME?</v>
      </c>
      <c r="O104" s="125" t="e">
        <f ca="1">IF($A104="S",VTOTALBM,IF($A104=0,0,ROUND(SomaAgrupBM,15-13*ORÇAMENTO!$AF$11)))</f>
        <v>#NAME?</v>
      </c>
      <c r="Q104" s="337"/>
      <c r="R104" s="338"/>
      <c r="T104" s="117" t="e">
        <f t="shared" ca="1" si="5"/>
        <v>#NAME?</v>
      </c>
      <c r="U104" s="163" t="e">
        <f t="shared" ca="1" si="6"/>
        <v>#NAME?</v>
      </c>
      <c r="V104" s="164" t="e">
        <f ca="1">IF(AND($W104&gt;0,RegimeExecucao="Unitário"),$F104,"")</f>
        <v>#NAME?</v>
      </c>
      <c r="W104" s="454" t="e">
        <f ca="1">IF($Y104&gt;0,CHOOSE(MATCH(RegimeExecucao,{"Unitário","Global"},0),IF($A104="S",$Y104/$X104,""),($Y104/$X104)*100),0)</f>
        <v>#NAME?</v>
      </c>
      <c r="X104" s="339" t="e">
        <f ca="1">IF($Y104&gt;0,CHOOSE(MATCH(RegimeExecucao,{"Unitário","Global"},0),IF($A104="S",ROUND($H104,ORÇAMENTO!$AF$10),""),ROUND($I104,ORÇAMENTO!$AF$11)),"")</f>
        <v>#NAME?</v>
      </c>
      <c r="Y104" s="339" t="e">
        <f t="shared" ca="1" si="7"/>
        <v>#NAME?</v>
      </c>
      <c r="Z104" s="473"/>
      <c r="AB104" s="337"/>
      <c r="AC104" s="437"/>
      <c r="AD104" s="437"/>
      <c r="AE104" s="437"/>
      <c r="AF104" s="437"/>
      <c r="AG104" s="437"/>
      <c r="AH104" s="437"/>
      <c r="AI104" s="437"/>
      <c r="AJ104" s="437"/>
      <c r="AK104" s="437"/>
      <c r="AL104" s="437"/>
      <c r="AM104" s="338"/>
      <c r="AO104">
        <f ca="1">IF($A104="S",IF(BM!$I104=0,0,CHOOSE(MATCH(RegimeExecucao,{"Global","Unitário"},0),ROUND(ROUND(BM.MEDAcumulado,15-13*BM!$A$9)/100*BM!$I104,15-13*ORÇAMENTO!$AF$11),ROUND(ROUND(BM.MEDAcumulado,15-13*BM!$A$9)*ROUND(BM!$H104,15-13*ORÇAMENTO!$AF$10),15-13*ORÇAMENTO!$AF$11))),IF($A104=0,0,ROUND(SomaAgrupBM,15-13*ORÇAMENTO!$AF$11)))</f>
        <v>0</v>
      </c>
    </row>
    <row r="105" spans="1:41" ht="13.8" x14ac:dyDescent="0.3">
      <c r="A105" t="str">
        <f ca="1">ORÇAMENTO!C105</f>
        <v>S</v>
      </c>
      <c r="B105">
        <f ca="1">ORÇAMENTO!D105</f>
        <v>0</v>
      </c>
      <c r="C105" s="114" t="str">
        <f ca="1">IF(OR($I105&gt;0,$A105=1,$A105=2,$A105=3,$A105=4),"F","")</f>
        <v>F</v>
      </c>
      <c r="D105" s="117" t="str">
        <f ca="1">ORÇAMENTO!O105</f>
        <v>3.2.4.</v>
      </c>
      <c r="E105" s="163" t="str">
        <f ca="1">ORÇAMENTO.Descricao</f>
        <v>Transporte com caminhão basculante de 10 m³ - rodovia pavimentada</v>
      </c>
      <c r="F105" s="164" t="str">
        <f ca="1">IF(RegimeExecucao="Global","",ORÇAMENTO.Unidade)</f>
        <v>tkm</v>
      </c>
      <c r="G105" s="122">
        <f ca="1">IF(RegimeExecucao="Global","",ORÇAMENTO!T105)</f>
        <v>6199.2</v>
      </c>
      <c r="H105" s="122">
        <f ca="1">IF(RegimeExecucao="Global","",ORÇAMENTO!W105)</f>
        <v>1.01</v>
      </c>
      <c r="I105" s="125">
        <f ca="1">ORÇAMENTO!X105</f>
        <v>6261.19</v>
      </c>
      <c r="J105" s="333" t="e" cm="1">
        <f t="array" aca="1" ref="J105" ca="1">_xlfn.SINGLE(IF($A105="S",IF(CAIXA.Modo,BM.AFAnterior,BM.MEDAnterior),IF(AND(_xlfn.SINGLE(RegimeExecucao)="Global",$I105&gt;0,COUNTIF($AB$13:$AM$13,BM.medicao-1)&gt;0),M105/$I105*100,0)))</f>
        <v>#NAME?</v>
      </c>
      <c r="K105" s="122" t="e">
        <f ca="1">L105-J105</f>
        <v>#NAME?</v>
      </c>
      <c r="L105" s="334" t="e" cm="1">
        <f t="array" aca="1" ref="L105" ca="1">_xlfn.SINGLE(IF($A105="S",IF(CAIXA.Modo,BM.AFAcumulado,BM.MEDAcumulado),IF(AND(_xlfn.SINGLE(RegimeExecucao)="Global",$I105&gt;0,COUNTIF($AB$13:$AM$13,BM.medicao)&gt;0),O105/$I105*100,0)))</f>
        <v>#NAME?</v>
      </c>
      <c r="M105" s="335" t="e">
        <f ca="1">IF($A105="S",VTOTALBM,IF($A105=0,0,ROUND(SomaAgrupBM,15-13*ORÇAMENTO!$AF$11)))</f>
        <v>#NAME?</v>
      </c>
      <c r="N105" s="336" t="e">
        <f ca="1">O105-M105</f>
        <v>#NAME?</v>
      </c>
      <c r="O105" s="125" t="e">
        <f ca="1">IF($A105="S",VTOTALBM,IF($A105=0,0,ROUND(SomaAgrupBM,15-13*ORÇAMENTO!$AF$11)))</f>
        <v>#NAME?</v>
      </c>
      <c r="Q105" s="337"/>
      <c r="R105" s="338"/>
      <c r="T105" s="117" t="e">
        <f ca="1">IF($W105&gt;0,$D105,"")</f>
        <v>#NAME?</v>
      </c>
      <c r="U105" s="163" t="e">
        <f ca="1">IF($W105&gt;0,$E105,"")</f>
        <v>#NAME?</v>
      </c>
      <c r="V105" s="164" t="e">
        <f ca="1">IF(AND($W105&gt;0,RegimeExecucao="Unitário"),$F105,"")</f>
        <v>#NAME?</v>
      </c>
      <c r="W105" s="454" t="e">
        <f ca="1">IF($Y105&gt;0,CHOOSE(MATCH(RegimeExecucao,{"Unitário","Global"},0),IF($A105="S",$Y105/$X105,""),($Y105/$X105)*100),0)</f>
        <v>#NAME?</v>
      </c>
      <c r="X105" s="339" t="e">
        <f ca="1">IF($Y105&gt;0,CHOOSE(MATCH(RegimeExecucao,{"Unitário","Global"},0),IF($A105="S",ROUND($H105,ORÇAMENTO!$AF$10),""),ROUND($I105,ORÇAMENTO!$AF$11)),"")</f>
        <v>#NAME?</v>
      </c>
      <c r="Y105" s="339" t="e">
        <f ca="1">AO105-O105</f>
        <v>#NAME?</v>
      </c>
      <c r="Z105" s="473"/>
      <c r="AB105" s="337"/>
      <c r="AC105" s="437"/>
      <c r="AD105" s="437"/>
      <c r="AE105" s="437"/>
      <c r="AF105" s="437"/>
      <c r="AG105" s="437"/>
      <c r="AH105" s="437"/>
      <c r="AI105" s="437"/>
      <c r="AJ105" s="437"/>
      <c r="AK105" s="437"/>
      <c r="AL105" s="437"/>
      <c r="AM105" s="338"/>
      <c r="AO105">
        <f ca="1">IF($A105="S",IF(BM!$I105=0,0,CHOOSE(MATCH(RegimeExecucao,{"Global","Unitário"},0),ROUND(ROUND(BM.MEDAcumulado,15-13*BM!$A$9)/100*BM!$I105,15-13*ORÇAMENTO!$AF$11),ROUND(ROUND(BM.MEDAcumulado,15-13*BM!$A$9)*ROUND(BM!$H105,15-13*ORÇAMENTO!$AF$10),15-13*ORÇAMENTO!$AF$11))),IF($A105=0,0,ROUND(SomaAgrupBM,15-13*ORÇAMENTO!$AF$11)))</f>
        <v>0</v>
      </c>
    </row>
    <row r="106" spans="1:41" ht="13.8" x14ac:dyDescent="0.3">
      <c r="A106" t="str">
        <f ca="1">ORÇAMENTO!C106</f>
        <v>S</v>
      </c>
      <c r="B106">
        <f ca="1">ORÇAMENTO!D106</f>
        <v>0</v>
      </c>
      <c r="C106" s="114" t="str">
        <f t="shared" ca="1" si="1"/>
        <v>F</v>
      </c>
      <c r="D106" s="117" t="str">
        <f ca="1">ORÇAMENTO!O106</f>
        <v>3.2.5.</v>
      </c>
      <c r="E106" s="163" t="str">
        <f t="shared" ca="1" si="2"/>
        <v>Imprimação com emulsão asfáltica</v>
      </c>
      <c r="F106" s="164" t="str">
        <f ca="1">IF(RegimeExecucao="Global","",ORÇAMENTO.Unidade)</f>
        <v>m²</v>
      </c>
      <c r="G106" s="122">
        <f ca="1">IF(RegimeExecucao="Global","",ORÇAMENTO!T106)</f>
        <v>1640</v>
      </c>
      <c r="H106" s="122">
        <f ca="1">IF(RegimeExecucao="Global","",ORÇAMENTO!W106)</f>
        <v>0.81</v>
      </c>
      <c r="I106" s="125">
        <f ca="1">ORÇAMENTO!X106</f>
        <v>1328.4</v>
      </c>
      <c r="J106" s="333" t="e" cm="1">
        <f t="array" aca="1" ref="J106" ca="1">_xlfn.SINGLE(IF($A106="S",IF(CAIXA.Modo,BM.AFAnterior,BM.MEDAnterior),IF(AND(_xlfn.SINGLE(RegimeExecucao)="Global",$I106&gt;0,COUNTIF($AB$13:$AM$13,BM.medicao-1)&gt;0),M106/$I106*100,0)))</f>
        <v>#NAME?</v>
      </c>
      <c r="K106" s="122" t="e">
        <f t="shared" ca="1" si="3"/>
        <v>#NAME?</v>
      </c>
      <c r="L106" s="334" t="e" cm="1">
        <f t="array" aca="1" ref="L106" ca="1">_xlfn.SINGLE(IF($A106="S",IF(CAIXA.Modo,BM.AFAcumulado,BM.MEDAcumulado),IF(AND(_xlfn.SINGLE(RegimeExecucao)="Global",$I106&gt;0,COUNTIF($AB$13:$AM$13,BM.medicao)&gt;0),O106/$I106*100,0)))</f>
        <v>#NAME?</v>
      </c>
      <c r="M106" s="335" t="e">
        <f ca="1">IF($A106="S",VTOTALBM,IF($A106=0,0,ROUND(SomaAgrupBM,15-13*ORÇAMENTO!$AF$11)))</f>
        <v>#NAME?</v>
      </c>
      <c r="N106" s="336" t="e">
        <f t="shared" ca="1" si="4"/>
        <v>#NAME?</v>
      </c>
      <c r="O106" s="125" t="e">
        <f ca="1">IF($A106="S",VTOTALBM,IF($A106=0,0,ROUND(SomaAgrupBM,15-13*ORÇAMENTO!$AF$11)))</f>
        <v>#NAME?</v>
      </c>
      <c r="Q106" s="337"/>
      <c r="R106" s="338"/>
      <c r="T106" s="117" t="e">
        <f t="shared" ca="1" si="5"/>
        <v>#NAME?</v>
      </c>
      <c r="U106" s="163" t="e">
        <f t="shared" ca="1" si="6"/>
        <v>#NAME?</v>
      </c>
      <c r="V106" s="164" t="e">
        <f ca="1">IF(AND($W106&gt;0,RegimeExecucao="Unitário"),$F106,"")</f>
        <v>#NAME?</v>
      </c>
      <c r="W106" s="454" t="e">
        <f ca="1">IF($Y106&gt;0,CHOOSE(MATCH(RegimeExecucao,{"Unitário","Global"},0),IF($A106="S",$Y106/$X106,""),($Y106/$X106)*100),0)</f>
        <v>#NAME?</v>
      </c>
      <c r="X106" s="339" t="e">
        <f ca="1">IF($Y106&gt;0,CHOOSE(MATCH(RegimeExecucao,{"Unitário","Global"},0),IF($A106="S",ROUND($H106,ORÇAMENTO!$AF$10),""),ROUND($I106,ORÇAMENTO!$AF$11)),"")</f>
        <v>#NAME?</v>
      </c>
      <c r="Y106" s="339" t="e">
        <f t="shared" ca="1" si="7"/>
        <v>#NAME?</v>
      </c>
      <c r="Z106" s="473"/>
      <c r="AB106" s="337"/>
      <c r="AC106" s="437"/>
      <c r="AD106" s="437"/>
      <c r="AE106" s="437"/>
      <c r="AF106" s="437"/>
      <c r="AG106" s="437"/>
      <c r="AH106" s="437"/>
      <c r="AI106" s="437"/>
      <c r="AJ106" s="437"/>
      <c r="AK106" s="437"/>
      <c r="AL106" s="437"/>
      <c r="AM106" s="338"/>
      <c r="AO106">
        <f ca="1">IF($A106="S",IF(BM!$I106=0,0,CHOOSE(MATCH(RegimeExecucao,{"Global","Unitário"},0),ROUND(ROUND(BM.MEDAcumulado,15-13*BM!$A$9)/100*BM!$I106,15-13*ORÇAMENTO!$AF$11),ROUND(ROUND(BM.MEDAcumulado,15-13*BM!$A$9)*ROUND(BM!$H106,15-13*ORÇAMENTO!$AF$10),15-13*ORÇAMENTO!$AF$11))),IF($A106=0,0,ROUND(SomaAgrupBM,15-13*ORÇAMENTO!$AF$11)))</f>
        <v>0</v>
      </c>
    </row>
    <row r="107" spans="1:41" ht="26.4" x14ac:dyDescent="0.3">
      <c r="A107" t="str">
        <f ca="1">ORÇAMENTO!C107</f>
        <v>S</v>
      </c>
      <c r="B107">
        <f ca="1">ORÇAMENTO!D107</f>
        <v>0</v>
      </c>
      <c r="C107" s="114" t="str">
        <f t="shared" ca="1" si="1"/>
        <v>F</v>
      </c>
      <c r="D107" s="117" t="str">
        <f ca="1">ORÇAMENTO!O107</f>
        <v>3.2.6.</v>
      </c>
      <c r="E107" s="163" t="str">
        <f t="shared" ca="1" si="2"/>
        <v>EMULSÃO ASFÁLTICA PARA SERVIÇO DE IMPRIMAÇÃO COLETADO NA ANP ACRESCIDO DE IMPOSTOS (ICMS, PIS, COFINS)</v>
      </c>
      <c r="F107" s="164" t="str">
        <f ca="1">IF(RegimeExecucao="Global","",ORÇAMENTO.Unidade)</f>
        <v>KG</v>
      </c>
      <c r="G107" s="122">
        <f ca="1">IF(RegimeExecucao="Global","",ORÇAMENTO!T107)</f>
        <v>2132</v>
      </c>
      <c r="H107" s="122">
        <f ca="1">IF(RegimeExecucao="Global","",ORÇAMENTO!W107)</f>
        <v>3.96</v>
      </c>
      <c r="I107" s="125">
        <f ca="1">ORÇAMENTO!X107</f>
        <v>8442.7199999999993</v>
      </c>
      <c r="J107" s="333" t="e" cm="1">
        <f t="array" aca="1" ref="J107" ca="1">_xlfn.SINGLE(IF($A107="S",IF(CAIXA.Modo,BM.AFAnterior,BM.MEDAnterior),IF(AND(_xlfn.SINGLE(RegimeExecucao)="Global",$I107&gt;0,COUNTIF($AB$13:$AM$13,BM.medicao-1)&gt;0),M107/$I107*100,0)))</f>
        <v>#NAME?</v>
      </c>
      <c r="K107" s="122" t="e">
        <f t="shared" ca="1" si="3"/>
        <v>#NAME?</v>
      </c>
      <c r="L107" s="334" t="e" cm="1">
        <f t="array" aca="1" ref="L107" ca="1">_xlfn.SINGLE(IF($A107="S",IF(CAIXA.Modo,BM.AFAcumulado,BM.MEDAcumulado),IF(AND(_xlfn.SINGLE(RegimeExecucao)="Global",$I107&gt;0,COUNTIF($AB$13:$AM$13,BM.medicao)&gt;0),O107/$I107*100,0)))</f>
        <v>#NAME?</v>
      </c>
      <c r="M107" s="335" t="e">
        <f ca="1">IF($A107="S",VTOTALBM,IF($A107=0,0,ROUND(SomaAgrupBM,15-13*ORÇAMENTO!$AF$11)))</f>
        <v>#NAME?</v>
      </c>
      <c r="N107" s="336" t="e">
        <f t="shared" ca="1" si="4"/>
        <v>#NAME?</v>
      </c>
      <c r="O107" s="125" t="e">
        <f ca="1">IF($A107="S",VTOTALBM,IF($A107=0,0,ROUND(SomaAgrupBM,15-13*ORÇAMENTO!$AF$11)))</f>
        <v>#NAME?</v>
      </c>
      <c r="Q107" s="337"/>
      <c r="R107" s="338"/>
      <c r="T107" s="117" t="e">
        <f t="shared" ca="1" si="5"/>
        <v>#NAME?</v>
      </c>
      <c r="U107" s="163" t="e">
        <f t="shared" ca="1" si="6"/>
        <v>#NAME?</v>
      </c>
      <c r="V107" s="164" t="e">
        <f ca="1">IF(AND($W107&gt;0,RegimeExecucao="Unitário"),$F107,"")</f>
        <v>#NAME?</v>
      </c>
      <c r="W107" s="454" t="e">
        <f ca="1">IF($Y107&gt;0,CHOOSE(MATCH(RegimeExecucao,{"Unitário","Global"},0),IF($A107="S",$Y107/$X107,""),($Y107/$X107)*100),0)</f>
        <v>#NAME?</v>
      </c>
      <c r="X107" s="339" t="e">
        <f ca="1">IF($Y107&gt;0,CHOOSE(MATCH(RegimeExecucao,{"Unitário","Global"},0),IF($A107="S",ROUND($H107,ORÇAMENTO!$AF$10),""),ROUND($I107,ORÇAMENTO!$AF$11)),"")</f>
        <v>#NAME?</v>
      </c>
      <c r="Y107" s="339" t="e">
        <f t="shared" ca="1" si="7"/>
        <v>#NAME?</v>
      </c>
      <c r="Z107" s="473"/>
      <c r="AB107" s="337"/>
      <c r="AC107" s="437"/>
      <c r="AD107" s="437"/>
      <c r="AE107" s="437"/>
      <c r="AF107" s="437"/>
      <c r="AG107" s="437"/>
      <c r="AH107" s="437"/>
      <c r="AI107" s="437"/>
      <c r="AJ107" s="437"/>
      <c r="AK107" s="437"/>
      <c r="AL107" s="437"/>
      <c r="AM107" s="338"/>
      <c r="AO107">
        <f ca="1">IF($A107="S",IF(BM!$I107=0,0,CHOOSE(MATCH(RegimeExecucao,{"Global","Unitário"},0),ROUND(ROUND(BM.MEDAcumulado,15-13*BM!$A$9)/100*BM!$I107,15-13*ORÇAMENTO!$AF$11),ROUND(ROUND(BM.MEDAcumulado,15-13*BM!$A$9)*ROUND(BM!$H107,15-13*ORÇAMENTO!$AF$10),15-13*ORÇAMENTO!$AF$11))),IF($A107=0,0,ROUND(SomaAgrupBM,15-13*ORÇAMENTO!$AF$11)))</f>
        <v>0</v>
      </c>
    </row>
    <row r="108" spans="1:41" ht="26.4" x14ac:dyDescent="0.3">
      <c r="A108" t="str">
        <f ca="1">ORÇAMENTO!C108</f>
        <v>S</v>
      </c>
      <c r="B108">
        <f ca="1">ORÇAMENTO!D108</f>
        <v>0</v>
      </c>
      <c r="C108" s="114" t="str">
        <f t="shared" ca="1" si="1"/>
        <v>F</v>
      </c>
      <c r="D108" s="117" t="str">
        <f ca="1">ORÇAMENTO!O108</f>
        <v>3.2.7.</v>
      </c>
      <c r="E108" s="163" t="str">
        <f t="shared" ca="1" si="2"/>
        <v>Transporte de material betuminoso com caminhão tanque distribuidor - rodovia pavimentada</v>
      </c>
      <c r="F108" s="164" t="str">
        <f ca="1">IF(RegimeExecucao="Global","",ORÇAMENTO.Unidade)</f>
        <v>tkm</v>
      </c>
      <c r="G108" s="122">
        <f ca="1">IF(RegimeExecucao="Global","",ORÇAMENTO!T108)</f>
        <v>718.48</v>
      </c>
      <c r="H108" s="122">
        <f ca="1">IF(RegimeExecucao="Global","",ORÇAMENTO!W108)</f>
        <v>2.5499999999999998</v>
      </c>
      <c r="I108" s="125">
        <f ca="1">ORÇAMENTO!X108</f>
        <v>1832.12</v>
      </c>
      <c r="J108" s="333" t="e" cm="1">
        <f t="array" aca="1" ref="J108" ca="1">_xlfn.SINGLE(IF($A108="S",IF(CAIXA.Modo,BM.AFAnterior,BM.MEDAnterior),IF(AND(_xlfn.SINGLE(RegimeExecucao)="Global",$I108&gt;0,COUNTIF($AB$13:$AM$13,BM.medicao-1)&gt;0),M108/$I108*100,0)))</f>
        <v>#NAME?</v>
      </c>
      <c r="K108" s="122" t="e">
        <f t="shared" ca="1" si="3"/>
        <v>#NAME?</v>
      </c>
      <c r="L108" s="334" t="e" cm="1">
        <f t="array" aca="1" ref="L108" ca="1">_xlfn.SINGLE(IF($A108="S",IF(CAIXA.Modo,BM.AFAcumulado,BM.MEDAcumulado),IF(AND(_xlfn.SINGLE(RegimeExecucao)="Global",$I108&gt;0,COUNTIF($AB$13:$AM$13,BM.medicao)&gt;0),O108/$I108*100,0)))</f>
        <v>#NAME?</v>
      </c>
      <c r="M108" s="335" t="e">
        <f ca="1">IF($A108="S",VTOTALBM,IF($A108=0,0,ROUND(SomaAgrupBM,15-13*ORÇAMENTO!$AF$11)))</f>
        <v>#NAME?</v>
      </c>
      <c r="N108" s="336" t="e">
        <f t="shared" ca="1" si="4"/>
        <v>#NAME?</v>
      </c>
      <c r="O108" s="125" t="e">
        <f ca="1">IF($A108="S",VTOTALBM,IF($A108=0,0,ROUND(SomaAgrupBM,15-13*ORÇAMENTO!$AF$11)))</f>
        <v>#NAME?</v>
      </c>
      <c r="Q108" s="337"/>
      <c r="R108" s="338"/>
      <c r="T108" s="117" t="e">
        <f t="shared" ca="1" si="5"/>
        <v>#NAME?</v>
      </c>
      <c r="U108" s="163" t="e">
        <f t="shared" ca="1" si="6"/>
        <v>#NAME?</v>
      </c>
      <c r="V108" s="164" t="e">
        <f ca="1">IF(AND($W108&gt;0,RegimeExecucao="Unitário"),$F108,"")</f>
        <v>#NAME?</v>
      </c>
      <c r="W108" s="454" t="e">
        <f ca="1">IF($Y108&gt;0,CHOOSE(MATCH(RegimeExecucao,{"Unitário","Global"},0),IF($A108="S",$Y108/$X108,""),($Y108/$X108)*100),0)</f>
        <v>#NAME?</v>
      </c>
      <c r="X108" s="339" t="e">
        <f ca="1">IF($Y108&gt;0,CHOOSE(MATCH(RegimeExecucao,{"Unitário","Global"},0),IF($A108="S",ROUND($H108,ORÇAMENTO!$AF$10),""),ROUND($I108,ORÇAMENTO!$AF$11)),"")</f>
        <v>#NAME?</v>
      </c>
      <c r="Y108" s="339" t="e">
        <f t="shared" ca="1" si="7"/>
        <v>#NAME?</v>
      </c>
      <c r="Z108" s="473"/>
      <c r="AB108" s="337"/>
      <c r="AC108" s="437"/>
      <c r="AD108" s="437"/>
      <c r="AE108" s="437"/>
      <c r="AF108" s="437"/>
      <c r="AG108" s="437"/>
      <c r="AH108" s="437"/>
      <c r="AI108" s="437"/>
      <c r="AJ108" s="437"/>
      <c r="AK108" s="437"/>
      <c r="AL108" s="437"/>
      <c r="AM108" s="338"/>
      <c r="AO108">
        <f ca="1">IF($A108="S",IF(BM!$I108=0,0,CHOOSE(MATCH(RegimeExecucao,{"Global","Unitário"},0),ROUND(ROUND(BM.MEDAcumulado,15-13*BM!$A$9)/100*BM!$I108,15-13*ORÇAMENTO!$AF$11),ROUND(ROUND(BM.MEDAcumulado,15-13*BM!$A$9)*ROUND(BM!$H108,15-13*ORÇAMENTO!$AF$10),15-13*ORÇAMENTO!$AF$11))),IF($A108=0,0,ROUND(SomaAgrupBM,15-13*ORÇAMENTO!$AF$11)))</f>
        <v>0</v>
      </c>
    </row>
    <row r="109" spans="1:41" ht="13.8" x14ac:dyDescent="0.3">
      <c r="A109" t="str">
        <f ca="1">ORÇAMENTO!C109</f>
        <v>S</v>
      </c>
      <c r="B109">
        <f ca="1">ORÇAMENTO!D109</f>
        <v>0</v>
      </c>
      <c r="C109" s="114" t="str">
        <f t="shared" ca="1" si="1"/>
        <v>F</v>
      </c>
      <c r="D109" s="117" t="str">
        <f ca="1">ORÇAMENTO!O109</f>
        <v>3.2.8.</v>
      </c>
      <c r="E109" s="163" t="str">
        <f t="shared" ca="1" si="2"/>
        <v>Pintura de ligação</v>
      </c>
      <c r="F109" s="164" t="str">
        <f ca="1">IF(RegimeExecucao="Global","",ORÇAMENTO.Unidade)</f>
        <v>m²</v>
      </c>
      <c r="G109" s="122">
        <f ca="1">IF(RegimeExecucao="Global","",ORÇAMENTO!T109)</f>
        <v>1640</v>
      </c>
      <c r="H109" s="122">
        <f ca="1">IF(RegimeExecucao="Global","",ORÇAMENTO!W109)</f>
        <v>0.56999999999999995</v>
      </c>
      <c r="I109" s="125">
        <f ca="1">ORÇAMENTO!X109</f>
        <v>934.8</v>
      </c>
      <c r="J109" s="333" t="e" cm="1">
        <f t="array" aca="1" ref="J109" ca="1">_xlfn.SINGLE(IF($A109="S",IF(CAIXA.Modo,BM.AFAnterior,BM.MEDAnterior),IF(AND(_xlfn.SINGLE(RegimeExecucao)="Global",$I109&gt;0,COUNTIF($AB$13:$AM$13,BM.medicao-1)&gt;0),M109/$I109*100,0)))</f>
        <v>#NAME?</v>
      </c>
      <c r="K109" s="122" t="e">
        <f t="shared" ca="1" si="3"/>
        <v>#NAME?</v>
      </c>
      <c r="L109" s="334" t="e" cm="1">
        <f t="array" aca="1" ref="L109" ca="1">_xlfn.SINGLE(IF($A109="S",IF(CAIXA.Modo,BM.AFAcumulado,BM.MEDAcumulado),IF(AND(_xlfn.SINGLE(RegimeExecucao)="Global",$I109&gt;0,COUNTIF($AB$13:$AM$13,BM.medicao)&gt;0),O109/$I109*100,0)))</f>
        <v>#NAME?</v>
      </c>
      <c r="M109" s="335" t="e">
        <f ca="1">IF($A109="S",VTOTALBM,IF($A109=0,0,ROUND(SomaAgrupBM,15-13*ORÇAMENTO!$AF$11)))</f>
        <v>#NAME?</v>
      </c>
      <c r="N109" s="336" t="e">
        <f t="shared" ca="1" si="4"/>
        <v>#NAME?</v>
      </c>
      <c r="O109" s="125" t="e">
        <f ca="1">IF($A109="S",VTOTALBM,IF($A109=0,0,ROUND(SomaAgrupBM,15-13*ORÇAMENTO!$AF$11)))</f>
        <v>#NAME?</v>
      </c>
      <c r="Q109" s="337"/>
      <c r="R109" s="338"/>
      <c r="T109" s="117" t="e">
        <f t="shared" ca="1" si="5"/>
        <v>#NAME?</v>
      </c>
      <c r="U109" s="163" t="e">
        <f t="shared" ca="1" si="6"/>
        <v>#NAME?</v>
      </c>
      <c r="V109" s="164" t="e">
        <f ca="1">IF(AND($W109&gt;0,RegimeExecucao="Unitário"),$F109,"")</f>
        <v>#NAME?</v>
      </c>
      <c r="W109" s="454" t="e">
        <f ca="1">IF($Y109&gt;0,CHOOSE(MATCH(RegimeExecucao,{"Unitário","Global"},0),IF($A109="S",$Y109/$X109,""),($Y109/$X109)*100),0)</f>
        <v>#NAME?</v>
      </c>
      <c r="X109" s="339" t="e">
        <f ca="1">IF($Y109&gt;0,CHOOSE(MATCH(RegimeExecucao,{"Unitário","Global"},0),IF($A109="S",ROUND($H109,ORÇAMENTO!$AF$10),""),ROUND($I109,ORÇAMENTO!$AF$11)),"")</f>
        <v>#NAME?</v>
      </c>
      <c r="Y109" s="339" t="e">
        <f t="shared" ca="1" si="7"/>
        <v>#NAME?</v>
      </c>
      <c r="Z109" s="473"/>
      <c r="AB109" s="337"/>
      <c r="AC109" s="437"/>
      <c r="AD109" s="437"/>
      <c r="AE109" s="437"/>
      <c r="AF109" s="437"/>
      <c r="AG109" s="437"/>
      <c r="AH109" s="437"/>
      <c r="AI109" s="437"/>
      <c r="AJ109" s="437"/>
      <c r="AK109" s="437"/>
      <c r="AL109" s="437"/>
      <c r="AM109" s="338"/>
      <c r="AO109">
        <f ca="1">IF($A109="S",IF(BM!$I109=0,0,CHOOSE(MATCH(RegimeExecucao,{"Global","Unitário"},0),ROUND(ROUND(BM.MEDAcumulado,15-13*BM!$A$9)/100*BM!$I109,15-13*ORÇAMENTO!$AF$11),ROUND(ROUND(BM.MEDAcumulado,15-13*BM!$A$9)*ROUND(BM!$H109,15-13*ORÇAMENTO!$AF$10),15-13*ORÇAMENTO!$AF$11))),IF($A109=0,0,ROUND(SomaAgrupBM,15-13*ORÇAMENTO!$AF$11)))</f>
        <v>0</v>
      </c>
    </row>
    <row r="110" spans="1:41" ht="26.4" x14ac:dyDescent="0.3">
      <c r="A110" t="str">
        <f ca="1">ORÇAMENTO!C110</f>
        <v>S</v>
      </c>
      <c r="B110">
        <f ca="1">ORÇAMENTO!D110</f>
        <v>0</v>
      </c>
      <c r="C110" s="114" t="str">
        <f t="shared" ca="1" si="1"/>
        <v>F</v>
      </c>
      <c r="D110" s="117" t="str">
        <f ca="1">ORÇAMENTO!O110</f>
        <v>3.2.9.</v>
      </c>
      <c r="E110" s="163" t="str">
        <f t="shared" ca="1" si="2"/>
        <v>EMULSÃO ASFÁLTICA RR-1C COLETADO NA ANP, ACRESCIDO DE IMPOSTOS (ICMS, PIS, COFINS)</v>
      </c>
      <c r="F110" s="164" t="str">
        <f ca="1">IF(RegimeExecucao="Global","",ORÇAMENTO.Unidade)</f>
        <v>KG</v>
      </c>
      <c r="G110" s="122">
        <f ca="1">IF(RegimeExecucao="Global","",ORÇAMENTO!T110)</f>
        <v>738</v>
      </c>
      <c r="H110" s="122">
        <f ca="1">IF(RegimeExecucao="Global","",ORÇAMENTO!W110)</f>
        <v>4.21</v>
      </c>
      <c r="I110" s="125">
        <f ca="1">ORÇAMENTO!X110</f>
        <v>3106.98</v>
      </c>
      <c r="J110" s="333" t="e" cm="1">
        <f t="array" aca="1" ref="J110" ca="1">_xlfn.SINGLE(IF($A110="S",IF(CAIXA.Modo,BM.AFAnterior,BM.MEDAnterior),IF(AND(_xlfn.SINGLE(RegimeExecucao)="Global",$I110&gt;0,COUNTIF($AB$13:$AM$13,BM.medicao-1)&gt;0),M110/$I110*100,0)))</f>
        <v>#NAME?</v>
      </c>
      <c r="K110" s="122" t="e">
        <f t="shared" ca="1" si="3"/>
        <v>#NAME?</v>
      </c>
      <c r="L110" s="334" t="e" cm="1">
        <f t="array" aca="1" ref="L110" ca="1">_xlfn.SINGLE(IF($A110="S",IF(CAIXA.Modo,BM.AFAcumulado,BM.MEDAcumulado),IF(AND(_xlfn.SINGLE(RegimeExecucao)="Global",$I110&gt;0,COUNTIF($AB$13:$AM$13,BM.medicao)&gt;0),O110/$I110*100,0)))</f>
        <v>#NAME?</v>
      </c>
      <c r="M110" s="335" t="e">
        <f ca="1">IF($A110="S",VTOTALBM,IF($A110=0,0,ROUND(SomaAgrupBM,15-13*ORÇAMENTO!$AF$11)))</f>
        <v>#NAME?</v>
      </c>
      <c r="N110" s="336" t="e">
        <f t="shared" ca="1" si="4"/>
        <v>#NAME?</v>
      </c>
      <c r="O110" s="125" t="e">
        <f ca="1">IF($A110="S",VTOTALBM,IF($A110=0,0,ROUND(SomaAgrupBM,15-13*ORÇAMENTO!$AF$11)))</f>
        <v>#NAME?</v>
      </c>
      <c r="Q110" s="337"/>
      <c r="R110" s="338"/>
      <c r="T110" s="117" t="e">
        <f t="shared" ca="1" si="5"/>
        <v>#NAME?</v>
      </c>
      <c r="U110" s="163" t="e">
        <f t="shared" ca="1" si="6"/>
        <v>#NAME?</v>
      </c>
      <c r="V110" s="164" t="e">
        <f ca="1">IF(AND($W110&gt;0,RegimeExecucao="Unitário"),$F110,"")</f>
        <v>#NAME?</v>
      </c>
      <c r="W110" s="454" t="e">
        <f ca="1">IF($Y110&gt;0,CHOOSE(MATCH(RegimeExecucao,{"Unitário","Global"},0),IF($A110="S",$Y110/$X110,""),($Y110/$X110)*100),0)</f>
        <v>#NAME?</v>
      </c>
      <c r="X110" s="339" t="e">
        <f ca="1">IF($Y110&gt;0,CHOOSE(MATCH(RegimeExecucao,{"Unitário","Global"},0),IF($A110="S",ROUND($H110,ORÇAMENTO!$AF$10),""),ROUND($I110,ORÇAMENTO!$AF$11)),"")</f>
        <v>#NAME?</v>
      </c>
      <c r="Y110" s="339" t="e">
        <f t="shared" ca="1" si="7"/>
        <v>#NAME?</v>
      </c>
      <c r="Z110" s="473"/>
      <c r="AB110" s="337"/>
      <c r="AC110" s="437"/>
      <c r="AD110" s="437"/>
      <c r="AE110" s="437"/>
      <c r="AF110" s="437"/>
      <c r="AG110" s="437"/>
      <c r="AH110" s="437"/>
      <c r="AI110" s="437"/>
      <c r="AJ110" s="437"/>
      <c r="AK110" s="437"/>
      <c r="AL110" s="437"/>
      <c r="AM110" s="338"/>
      <c r="AO110">
        <f ca="1">IF($A110="S",IF(BM!$I110=0,0,CHOOSE(MATCH(RegimeExecucao,{"Global","Unitário"},0),ROUND(ROUND(BM.MEDAcumulado,15-13*BM!$A$9)/100*BM!$I110,15-13*ORÇAMENTO!$AF$11),ROUND(ROUND(BM.MEDAcumulado,15-13*BM!$A$9)*ROUND(BM!$H110,15-13*ORÇAMENTO!$AF$10),15-13*ORÇAMENTO!$AF$11))),IF($A110=0,0,ROUND(SomaAgrupBM,15-13*ORÇAMENTO!$AF$11)))</f>
        <v>0</v>
      </c>
    </row>
    <row r="111" spans="1:41" ht="26.4" x14ac:dyDescent="0.3">
      <c r="A111" t="str">
        <f ca="1">ORÇAMENTO!C111</f>
        <v>S</v>
      </c>
      <c r="B111">
        <f ca="1">ORÇAMENTO!D111</f>
        <v>0</v>
      </c>
      <c r="C111" s="114" t="str">
        <f t="shared" ca="1" si="1"/>
        <v>F</v>
      </c>
      <c r="D111" s="117" t="str">
        <f ca="1">ORÇAMENTO!O111</f>
        <v>3.2.10.</v>
      </c>
      <c r="E111" s="163" t="str">
        <f t="shared" ca="1" si="2"/>
        <v>Transporte de material betuminoso com caminhão tanque distribuidor - rodovia pavimentada</v>
      </c>
      <c r="F111" s="164" t="str">
        <f ca="1">IF(RegimeExecucao="Global","",ORÇAMENTO.Unidade)</f>
        <v>tkm</v>
      </c>
      <c r="G111" s="122">
        <f ca="1">IF(RegimeExecucao="Global","",ORÇAMENTO!T111)</f>
        <v>248.7</v>
      </c>
      <c r="H111" s="122">
        <f ca="1">IF(RegimeExecucao="Global","",ORÇAMENTO!W111)</f>
        <v>2.5499999999999998</v>
      </c>
      <c r="I111" s="125">
        <f ca="1">ORÇAMENTO!X111</f>
        <v>634.19000000000005</v>
      </c>
      <c r="J111" s="333" t="e" cm="1">
        <f t="array" aca="1" ref="J111" ca="1">_xlfn.SINGLE(IF($A111="S",IF(CAIXA.Modo,BM.AFAnterior,BM.MEDAnterior),IF(AND(_xlfn.SINGLE(RegimeExecucao)="Global",$I111&gt;0,COUNTIF($AB$13:$AM$13,BM.medicao-1)&gt;0),M111/$I111*100,0)))</f>
        <v>#NAME?</v>
      </c>
      <c r="K111" s="122" t="e">
        <f t="shared" ca="1" si="3"/>
        <v>#NAME?</v>
      </c>
      <c r="L111" s="334" t="e" cm="1">
        <f t="array" aca="1" ref="L111" ca="1">_xlfn.SINGLE(IF($A111="S",IF(CAIXA.Modo,BM.AFAcumulado,BM.MEDAcumulado),IF(AND(_xlfn.SINGLE(RegimeExecucao)="Global",$I111&gt;0,COUNTIF($AB$13:$AM$13,BM.medicao)&gt;0),O111/$I111*100,0)))</f>
        <v>#NAME?</v>
      </c>
      <c r="M111" s="335" t="e">
        <f ca="1">IF($A111="S",VTOTALBM,IF($A111=0,0,ROUND(SomaAgrupBM,15-13*ORÇAMENTO!$AF$11)))</f>
        <v>#NAME?</v>
      </c>
      <c r="N111" s="336" t="e">
        <f t="shared" ca="1" si="4"/>
        <v>#NAME?</v>
      </c>
      <c r="O111" s="125" t="e">
        <f ca="1">IF($A111="S",VTOTALBM,IF($A111=0,0,ROUND(SomaAgrupBM,15-13*ORÇAMENTO!$AF$11)))</f>
        <v>#NAME?</v>
      </c>
      <c r="Q111" s="337"/>
      <c r="R111" s="338"/>
      <c r="T111" s="117" t="e">
        <f t="shared" ca="1" si="5"/>
        <v>#NAME?</v>
      </c>
      <c r="U111" s="163" t="e">
        <f t="shared" ca="1" si="6"/>
        <v>#NAME?</v>
      </c>
      <c r="V111" s="164" t="e">
        <f ca="1">IF(AND($W111&gt;0,RegimeExecucao="Unitário"),$F111,"")</f>
        <v>#NAME?</v>
      </c>
      <c r="W111" s="454" t="e">
        <f ca="1">IF($Y111&gt;0,CHOOSE(MATCH(RegimeExecucao,{"Unitário","Global"},0),IF($A111="S",$Y111/$X111,""),($Y111/$X111)*100),0)</f>
        <v>#NAME?</v>
      </c>
      <c r="X111" s="339" t="e">
        <f ca="1">IF($Y111&gt;0,CHOOSE(MATCH(RegimeExecucao,{"Unitário","Global"},0),IF($A111="S",ROUND($H111,ORÇAMENTO!$AF$10),""),ROUND($I111,ORÇAMENTO!$AF$11)),"")</f>
        <v>#NAME?</v>
      </c>
      <c r="Y111" s="339" t="e">
        <f t="shared" ca="1" si="7"/>
        <v>#NAME?</v>
      </c>
      <c r="Z111" s="473"/>
      <c r="AB111" s="337"/>
      <c r="AC111" s="437"/>
      <c r="AD111" s="437"/>
      <c r="AE111" s="437"/>
      <c r="AF111" s="437"/>
      <c r="AG111" s="437"/>
      <c r="AH111" s="437"/>
      <c r="AI111" s="437"/>
      <c r="AJ111" s="437"/>
      <c r="AK111" s="437"/>
      <c r="AL111" s="437"/>
      <c r="AM111" s="338"/>
      <c r="AO111">
        <f ca="1">IF($A111="S",IF(BM!$I111=0,0,CHOOSE(MATCH(RegimeExecucao,{"Global","Unitário"},0),ROUND(ROUND(BM.MEDAcumulado,15-13*BM!$A$9)/100*BM!$I111,15-13*ORÇAMENTO!$AF$11),ROUND(ROUND(BM.MEDAcumulado,15-13*BM!$A$9)*ROUND(BM!$H111,15-13*ORÇAMENTO!$AF$10),15-13*ORÇAMENTO!$AF$11))),IF($A111=0,0,ROUND(SomaAgrupBM,15-13*ORÇAMENTO!$AF$11)))</f>
        <v>0</v>
      </c>
    </row>
    <row r="112" spans="1:41" ht="13.8" x14ac:dyDescent="0.3">
      <c r="A112" t="str">
        <f ca="1">ORÇAMENTO!C112</f>
        <v>S</v>
      </c>
      <c r="B112">
        <f ca="1">ORÇAMENTO!D112</f>
        <v>0</v>
      </c>
      <c r="C112" s="114" t="str">
        <f t="shared" ca="1" si="1"/>
        <v>F</v>
      </c>
      <c r="D112" s="117" t="str">
        <f ca="1">ORÇAMENTO!O112</f>
        <v>3.2.11.</v>
      </c>
      <c r="E112" s="163" t="str">
        <f t="shared" ca="1" si="2"/>
        <v>Concreto asfáltico - faixa C-12,5 - areia e brita comerciais</v>
      </c>
      <c r="F112" s="164" t="str">
        <f ca="1">IF(RegimeExecucao="Global","",ORÇAMENTO.Unidade)</f>
        <v>t</v>
      </c>
      <c r="G112" s="122">
        <f ca="1">IF(RegimeExecucao="Global","",ORÇAMENTO!T112)</f>
        <v>164.65</v>
      </c>
      <c r="H112" s="122">
        <f ca="1">IF(RegimeExecucao="Global","",ORÇAMENTO!W112)</f>
        <v>233.91</v>
      </c>
      <c r="I112" s="125">
        <f ca="1">ORÇAMENTO!X112</f>
        <v>38513.279999999999</v>
      </c>
      <c r="J112" s="333" t="e" cm="1">
        <f t="array" aca="1" ref="J112" ca="1">_xlfn.SINGLE(IF($A112="S",IF(CAIXA.Modo,BM.AFAnterior,BM.MEDAnterior),IF(AND(_xlfn.SINGLE(RegimeExecucao)="Global",$I112&gt;0,COUNTIF($AB$13:$AM$13,BM.medicao-1)&gt;0),M112/$I112*100,0)))</f>
        <v>#NAME?</v>
      </c>
      <c r="K112" s="122" t="e">
        <f t="shared" ca="1" si="3"/>
        <v>#NAME?</v>
      </c>
      <c r="L112" s="334" t="e" cm="1">
        <f t="array" aca="1" ref="L112" ca="1">_xlfn.SINGLE(IF($A112="S",IF(CAIXA.Modo,BM.AFAcumulado,BM.MEDAcumulado),IF(AND(_xlfn.SINGLE(RegimeExecucao)="Global",$I112&gt;0,COUNTIF($AB$13:$AM$13,BM.medicao)&gt;0),O112/$I112*100,0)))</f>
        <v>#NAME?</v>
      </c>
      <c r="M112" s="335" t="e">
        <f ca="1">IF($A112="S",VTOTALBM,IF($A112=0,0,ROUND(SomaAgrupBM,15-13*ORÇAMENTO!$AF$11)))</f>
        <v>#NAME?</v>
      </c>
      <c r="N112" s="336" t="e">
        <f t="shared" ca="1" si="4"/>
        <v>#NAME?</v>
      </c>
      <c r="O112" s="125" t="e">
        <f ca="1">IF($A112="S",VTOTALBM,IF($A112=0,0,ROUND(SomaAgrupBM,15-13*ORÇAMENTO!$AF$11)))</f>
        <v>#NAME?</v>
      </c>
      <c r="Q112" s="337"/>
      <c r="R112" s="338"/>
      <c r="T112" s="117" t="e">
        <f t="shared" ca="1" si="5"/>
        <v>#NAME?</v>
      </c>
      <c r="U112" s="163" t="e">
        <f t="shared" ca="1" si="6"/>
        <v>#NAME?</v>
      </c>
      <c r="V112" s="164" t="e">
        <f ca="1">IF(AND($W112&gt;0,RegimeExecucao="Unitário"),$F112,"")</f>
        <v>#NAME?</v>
      </c>
      <c r="W112" s="454" t="e">
        <f ca="1">IF($Y112&gt;0,CHOOSE(MATCH(RegimeExecucao,{"Unitário","Global"},0),IF($A112="S",$Y112/$X112,""),($Y112/$X112)*100),0)</f>
        <v>#NAME?</v>
      </c>
      <c r="X112" s="339" t="e">
        <f ca="1">IF($Y112&gt;0,CHOOSE(MATCH(RegimeExecucao,{"Unitário","Global"},0),IF($A112="S",ROUND($H112,ORÇAMENTO!$AF$10),""),ROUND($I112,ORÇAMENTO!$AF$11)),"")</f>
        <v>#NAME?</v>
      </c>
      <c r="Y112" s="339" t="e">
        <f t="shared" ca="1" si="7"/>
        <v>#NAME?</v>
      </c>
      <c r="Z112" s="473"/>
      <c r="AB112" s="337"/>
      <c r="AC112" s="437"/>
      <c r="AD112" s="437"/>
      <c r="AE112" s="437"/>
      <c r="AF112" s="437"/>
      <c r="AG112" s="437"/>
      <c r="AH112" s="437"/>
      <c r="AI112" s="437"/>
      <c r="AJ112" s="437"/>
      <c r="AK112" s="437"/>
      <c r="AL112" s="437"/>
      <c r="AM112" s="338"/>
      <c r="AO112">
        <f ca="1">IF($A112="S",IF(BM!$I112=0,0,CHOOSE(MATCH(RegimeExecucao,{"Global","Unitário"},0),ROUND(ROUND(BM.MEDAcumulado,15-13*BM!$A$9)/100*BM!$I112,15-13*ORÇAMENTO!$AF$11),ROUND(ROUND(BM.MEDAcumulado,15-13*BM!$A$9)*ROUND(BM!$H112,15-13*ORÇAMENTO!$AF$10),15-13*ORÇAMENTO!$AF$11))),IF($A112=0,0,ROUND(SomaAgrupBM,15-13*ORÇAMENTO!$AF$11)))</f>
        <v>0</v>
      </c>
    </row>
    <row r="113" spans="1:41" ht="13.8" x14ac:dyDescent="0.3">
      <c r="A113" t="str">
        <f ca="1">ORÇAMENTO!C113</f>
        <v>S</v>
      </c>
      <c r="B113">
        <f ca="1">ORÇAMENTO!D113</f>
        <v>0</v>
      </c>
      <c r="C113" s="114" t="str">
        <f t="shared" ca="1" si="1"/>
        <v>F</v>
      </c>
      <c r="D113" s="117" t="str">
        <f ca="1">ORÇAMENTO!O113</f>
        <v>3.2.12.</v>
      </c>
      <c r="E113" s="163" t="str">
        <f t="shared" ca="1" si="2"/>
        <v>Transporte com caminhão basculante de 10 m³ - rodovia pavimentada</v>
      </c>
      <c r="F113" s="164" t="str">
        <f ca="1">IF(RegimeExecucao="Global","",ORÇAMENTO.Unidade)</f>
        <v>tkm</v>
      </c>
      <c r="G113" s="122">
        <f ca="1">IF(RegimeExecucao="Global","",ORÇAMENTO!T113)</f>
        <v>3457.65</v>
      </c>
      <c r="H113" s="122">
        <f ca="1">IF(RegimeExecucao="Global","",ORÇAMENTO!W113)</f>
        <v>1.01</v>
      </c>
      <c r="I113" s="125">
        <f ca="1">ORÇAMENTO!X113</f>
        <v>3492.23</v>
      </c>
      <c r="J113" s="333" t="e" cm="1">
        <f t="array" aca="1" ref="J113" ca="1">_xlfn.SINGLE(IF($A113="S",IF(CAIXA.Modo,BM.AFAnterior,BM.MEDAnterior),IF(AND(_xlfn.SINGLE(RegimeExecucao)="Global",$I113&gt;0,COUNTIF($AB$13:$AM$13,BM.medicao-1)&gt;0),M113/$I113*100,0)))</f>
        <v>#NAME?</v>
      </c>
      <c r="K113" s="122" t="e">
        <f t="shared" ca="1" si="3"/>
        <v>#NAME?</v>
      </c>
      <c r="L113" s="334" t="e" cm="1">
        <f t="array" aca="1" ref="L113" ca="1">_xlfn.SINGLE(IF($A113="S",IF(CAIXA.Modo,BM.AFAcumulado,BM.MEDAcumulado),IF(AND(_xlfn.SINGLE(RegimeExecucao)="Global",$I113&gt;0,COUNTIF($AB$13:$AM$13,BM.medicao)&gt;0),O113/$I113*100,0)))</f>
        <v>#NAME?</v>
      </c>
      <c r="M113" s="335" t="e">
        <f ca="1">IF($A113="S",VTOTALBM,IF($A113=0,0,ROUND(SomaAgrupBM,15-13*ORÇAMENTO!$AF$11)))</f>
        <v>#NAME?</v>
      </c>
      <c r="N113" s="336" t="e">
        <f t="shared" ca="1" si="4"/>
        <v>#NAME?</v>
      </c>
      <c r="O113" s="125" t="e">
        <f ca="1">IF($A113="S",VTOTALBM,IF($A113=0,0,ROUND(SomaAgrupBM,15-13*ORÇAMENTO!$AF$11)))</f>
        <v>#NAME?</v>
      </c>
      <c r="Q113" s="337"/>
      <c r="R113" s="338"/>
      <c r="T113" s="117" t="e">
        <f t="shared" ca="1" si="5"/>
        <v>#NAME?</v>
      </c>
      <c r="U113" s="163" t="e">
        <f t="shared" ca="1" si="6"/>
        <v>#NAME?</v>
      </c>
      <c r="V113" s="164" t="e">
        <f ca="1">IF(AND($W113&gt;0,RegimeExecucao="Unitário"),$F113,"")</f>
        <v>#NAME?</v>
      </c>
      <c r="W113" s="454" t="e">
        <f ca="1">IF($Y113&gt;0,CHOOSE(MATCH(RegimeExecucao,{"Unitário","Global"},0),IF($A113="S",$Y113/$X113,""),($Y113/$X113)*100),0)</f>
        <v>#NAME?</v>
      </c>
      <c r="X113" s="339" t="e">
        <f ca="1">IF($Y113&gt;0,CHOOSE(MATCH(RegimeExecucao,{"Unitário","Global"},0),IF($A113="S",ROUND($H113,ORÇAMENTO!$AF$10),""),ROUND($I113,ORÇAMENTO!$AF$11)),"")</f>
        <v>#NAME?</v>
      </c>
      <c r="Y113" s="339" t="e">
        <f t="shared" ca="1" si="7"/>
        <v>#NAME?</v>
      </c>
      <c r="Z113" s="473"/>
      <c r="AB113" s="337"/>
      <c r="AC113" s="437"/>
      <c r="AD113" s="437"/>
      <c r="AE113" s="437"/>
      <c r="AF113" s="437"/>
      <c r="AG113" s="437"/>
      <c r="AH113" s="437"/>
      <c r="AI113" s="437"/>
      <c r="AJ113" s="437"/>
      <c r="AK113" s="437"/>
      <c r="AL113" s="437"/>
      <c r="AM113" s="338"/>
      <c r="AO113">
        <f ca="1">IF($A113="S",IF(BM!$I113=0,0,CHOOSE(MATCH(RegimeExecucao,{"Global","Unitário"},0),ROUND(ROUND(BM.MEDAcumulado,15-13*BM!$A$9)/100*BM!$I113,15-13*ORÇAMENTO!$AF$11),ROUND(ROUND(BM.MEDAcumulado,15-13*BM!$A$9)*ROUND(BM!$H113,15-13*ORÇAMENTO!$AF$10),15-13*ORÇAMENTO!$AF$11))),IF($A113=0,0,ROUND(SomaAgrupBM,15-13*ORÇAMENTO!$AF$11)))</f>
        <v>0</v>
      </c>
    </row>
    <row r="114" spans="1:41" ht="26.4" x14ac:dyDescent="0.3">
      <c r="A114" t="str">
        <f ca="1">ORÇAMENTO!C114</f>
        <v>S</v>
      </c>
      <c r="B114">
        <f ca="1">ORÇAMENTO!D114</f>
        <v>0</v>
      </c>
      <c r="C114" s="114" t="str">
        <f t="shared" ca="1" si="1"/>
        <v>F</v>
      </c>
      <c r="D114" s="117" t="str">
        <f ca="1">ORÇAMENTO!O114</f>
        <v>3.2.13.</v>
      </c>
      <c r="E114" s="163" t="str">
        <f t="shared" ca="1" si="2"/>
        <v>CIMENTO ASFÁLTICO CAP 50-70, COLETADO NA ANP, ACRESCIDO DE IMPOSTOS (ICMS, PIS, CONFINS)</v>
      </c>
      <c r="F114" s="164" t="str">
        <f ca="1">IF(RegimeExecucao="Global","",ORÇAMENTO.Unidade)</f>
        <v>KG</v>
      </c>
      <c r="G114" s="122">
        <f ca="1">IF(RegimeExecucao="Global","",ORÇAMENTO!T114)</f>
        <v>9319.5300000000007</v>
      </c>
      <c r="H114" s="122">
        <f ca="1">IF(RegimeExecucao="Global","",ORÇAMENTO!W114)</f>
        <v>5.59</v>
      </c>
      <c r="I114" s="125">
        <f ca="1">ORÇAMENTO!X114</f>
        <v>52096.17</v>
      </c>
      <c r="J114" s="333" t="e" cm="1">
        <f t="array" aca="1" ref="J114" ca="1">_xlfn.SINGLE(IF($A114="S",IF(CAIXA.Modo,BM.AFAnterior,BM.MEDAnterior),IF(AND(_xlfn.SINGLE(RegimeExecucao)="Global",$I114&gt;0,COUNTIF($AB$13:$AM$13,BM.medicao-1)&gt;0),M114/$I114*100,0)))</f>
        <v>#NAME?</v>
      </c>
      <c r="K114" s="122" t="e">
        <f t="shared" ca="1" si="3"/>
        <v>#NAME?</v>
      </c>
      <c r="L114" s="334" t="e" cm="1">
        <f t="array" aca="1" ref="L114" ca="1">_xlfn.SINGLE(IF($A114="S",IF(CAIXA.Modo,BM.AFAcumulado,BM.MEDAcumulado),IF(AND(_xlfn.SINGLE(RegimeExecucao)="Global",$I114&gt;0,COUNTIF($AB$13:$AM$13,BM.medicao)&gt;0),O114/$I114*100,0)))</f>
        <v>#NAME?</v>
      </c>
      <c r="M114" s="335" t="e">
        <f ca="1">IF($A114="S",VTOTALBM,IF($A114=0,0,ROUND(SomaAgrupBM,15-13*ORÇAMENTO!$AF$11)))</f>
        <v>#NAME?</v>
      </c>
      <c r="N114" s="336" t="e">
        <f t="shared" ca="1" si="4"/>
        <v>#NAME?</v>
      </c>
      <c r="O114" s="125" t="e">
        <f ca="1">IF($A114="S",VTOTALBM,IF($A114=0,0,ROUND(SomaAgrupBM,15-13*ORÇAMENTO!$AF$11)))</f>
        <v>#NAME?</v>
      </c>
      <c r="Q114" s="337"/>
      <c r="R114" s="338"/>
      <c r="T114" s="117" t="e">
        <f t="shared" ca="1" si="5"/>
        <v>#NAME?</v>
      </c>
      <c r="U114" s="163" t="e">
        <f t="shared" ca="1" si="6"/>
        <v>#NAME?</v>
      </c>
      <c r="V114" s="164" t="e">
        <f ca="1">IF(AND($W114&gt;0,RegimeExecucao="Unitário"),$F114,"")</f>
        <v>#NAME?</v>
      </c>
      <c r="W114" s="454" t="e">
        <f ca="1">IF($Y114&gt;0,CHOOSE(MATCH(RegimeExecucao,{"Unitário","Global"},0),IF($A114="S",$Y114/$X114,""),($Y114/$X114)*100),0)</f>
        <v>#NAME?</v>
      </c>
      <c r="X114" s="339" t="e">
        <f ca="1">IF($Y114&gt;0,CHOOSE(MATCH(RegimeExecucao,{"Unitário","Global"},0),IF($A114="S",ROUND($H114,ORÇAMENTO!$AF$10),""),ROUND($I114,ORÇAMENTO!$AF$11)),"")</f>
        <v>#NAME?</v>
      </c>
      <c r="Y114" s="339" t="e">
        <f t="shared" ca="1" si="7"/>
        <v>#NAME?</v>
      </c>
      <c r="Z114" s="473"/>
      <c r="AB114" s="337"/>
      <c r="AC114" s="437"/>
      <c r="AD114" s="437"/>
      <c r="AE114" s="437"/>
      <c r="AF114" s="437"/>
      <c r="AG114" s="437"/>
      <c r="AH114" s="437"/>
      <c r="AI114" s="437"/>
      <c r="AJ114" s="437"/>
      <c r="AK114" s="437"/>
      <c r="AL114" s="437"/>
      <c r="AM114" s="338"/>
      <c r="AO114">
        <f ca="1">IF($A114="S",IF(BM!$I114=0,0,CHOOSE(MATCH(RegimeExecucao,{"Global","Unitário"},0),ROUND(ROUND(BM.MEDAcumulado,15-13*BM!$A$9)/100*BM!$I114,15-13*ORÇAMENTO!$AF$11),ROUND(ROUND(BM.MEDAcumulado,15-13*BM!$A$9)*ROUND(BM!$H114,15-13*ORÇAMENTO!$AF$10),15-13*ORÇAMENTO!$AF$11))),IF($A114=0,0,ROUND(SomaAgrupBM,15-13*ORÇAMENTO!$AF$11)))</f>
        <v>0</v>
      </c>
    </row>
    <row r="115" spans="1:41" ht="26.4" x14ac:dyDescent="0.3">
      <c r="A115" t="str">
        <f ca="1">ORÇAMENTO!C115</f>
        <v>S</v>
      </c>
      <c r="B115">
        <f ca="1">ORÇAMENTO!D115</f>
        <v>0</v>
      </c>
      <c r="C115" s="114" t="str">
        <f t="shared" ca="1" si="1"/>
        <v>F</v>
      </c>
      <c r="D115" s="117" t="str">
        <f ca="1">ORÇAMENTO!O115</f>
        <v>3.2.14.</v>
      </c>
      <c r="E115" s="163" t="str">
        <f t="shared" ca="1" si="2"/>
        <v>Transporte de material betuminoso com caminhão tanque distribuidor - rodovia pavimentada</v>
      </c>
      <c r="F115" s="164" t="str">
        <f ca="1">IF(RegimeExecucao="Global","",ORÇAMENTO.Unidade)</f>
        <v>tkm</v>
      </c>
      <c r="G115" s="122">
        <f ca="1">IF(RegimeExecucao="Global","",ORÇAMENTO!T115)</f>
        <v>3140.68</v>
      </c>
      <c r="H115" s="122">
        <f ca="1">IF(RegimeExecucao="Global","",ORÇAMENTO!W115)</f>
        <v>2.5499999999999998</v>
      </c>
      <c r="I115" s="125">
        <f ca="1">ORÇAMENTO!X115</f>
        <v>8008.73</v>
      </c>
      <c r="J115" s="333" t="e" cm="1">
        <f t="array" aca="1" ref="J115" ca="1">_xlfn.SINGLE(IF($A115="S",IF(CAIXA.Modo,BM.AFAnterior,BM.MEDAnterior),IF(AND(_xlfn.SINGLE(RegimeExecucao)="Global",$I115&gt;0,COUNTIF($AB$13:$AM$13,BM.medicao-1)&gt;0),M115/$I115*100,0)))</f>
        <v>#NAME?</v>
      </c>
      <c r="K115" s="122" t="e">
        <f t="shared" ca="1" si="3"/>
        <v>#NAME?</v>
      </c>
      <c r="L115" s="334" t="e" cm="1">
        <f t="array" aca="1" ref="L115" ca="1">_xlfn.SINGLE(IF($A115="S",IF(CAIXA.Modo,BM.AFAcumulado,BM.MEDAcumulado),IF(AND(_xlfn.SINGLE(RegimeExecucao)="Global",$I115&gt;0,COUNTIF($AB$13:$AM$13,BM.medicao)&gt;0),O115/$I115*100,0)))</f>
        <v>#NAME?</v>
      </c>
      <c r="M115" s="335" t="e">
        <f ca="1">IF($A115="S",VTOTALBM,IF($A115=0,0,ROUND(SomaAgrupBM,15-13*ORÇAMENTO!$AF$11)))</f>
        <v>#NAME?</v>
      </c>
      <c r="N115" s="336" t="e">
        <f t="shared" ca="1" si="4"/>
        <v>#NAME?</v>
      </c>
      <c r="O115" s="125" t="e">
        <f ca="1">IF($A115="S",VTOTALBM,IF($A115=0,0,ROUND(SomaAgrupBM,15-13*ORÇAMENTO!$AF$11)))</f>
        <v>#NAME?</v>
      </c>
      <c r="Q115" s="337"/>
      <c r="R115" s="338"/>
      <c r="T115" s="117" t="e">
        <f t="shared" ca="1" si="5"/>
        <v>#NAME?</v>
      </c>
      <c r="U115" s="163" t="e">
        <f t="shared" ca="1" si="6"/>
        <v>#NAME?</v>
      </c>
      <c r="V115" s="164" t="e">
        <f ca="1">IF(AND($W115&gt;0,RegimeExecucao="Unitário"),$F115,"")</f>
        <v>#NAME?</v>
      </c>
      <c r="W115" s="454" t="e">
        <f ca="1">IF($Y115&gt;0,CHOOSE(MATCH(RegimeExecucao,{"Unitário","Global"},0),IF($A115="S",$Y115/$X115,""),($Y115/$X115)*100),0)</f>
        <v>#NAME?</v>
      </c>
      <c r="X115" s="339" t="e">
        <f ca="1">IF($Y115&gt;0,CHOOSE(MATCH(RegimeExecucao,{"Unitário","Global"},0),IF($A115="S",ROUND($H115,ORÇAMENTO!$AF$10),""),ROUND($I115,ORÇAMENTO!$AF$11)),"")</f>
        <v>#NAME?</v>
      </c>
      <c r="Y115" s="339" t="e">
        <f t="shared" ca="1" si="7"/>
        <v>#NAME?</v>
      </c>
      <c r="Z115" s="473"/>
      <c r="AB115" s="337"/>
      <c r="AC115" s="437"/>
      <c r="AD115" s="437"/>
      <c r="AE115" s="437"/>
      <c r="AF115" s="437"/>
      <c r="AG115" s="437"/>
      <c r="AH115" s="437"/>
      <c r="AI115" s="437"/>
      <c r="AJ115" s="437"/>
      <c r="AK115" s="437"/>
      <c r="AL115" s="437"/>
      <c r="AM115" s="338"/>
      <c r="AO115">
        <f ca="1">IF($A115="S",IF(BM!$I115=0,0,CHOOSE(MATCH(RegimeExecucao,{"Global","Unitário"},0),ROUND(ROUND(BM.MEDAcumulado,15-13*BM!$A$9)/100*BM!$I115,15-13*ORÇAMENTO!$AF$11),ROUND(ROUND(BM.MEDAcumulado,15-13*BM!$A$9)*ROUND(BM!$H115,15-13*ORÇAMENTO!$AF$10),15-13*ORÇAMENTO!$AF$11))),IF($A115=0,0,ROUND(SomaAgrupBM,15-13*ORÇAMENTO!$AF$11)))</f>
        <v>0</v>
      </c>
    </row>
    <row r="116" spans="1:41" ht="13.8" x14ac:dyDescent="0.3">
      <c r="A116">
        <f ca="1">ORÇAMENTO!C116</f>
        <v>2</v>
      </c>
      <c r="B116">
        <f ca="1">ORÇAMENTO!D116</f>
        <v>8</v>
      </c>
      <c r="C116" s="114" t="str">
        <f ca="1">IF(OR($I116&gt;0,$A116=1,$A116=2,$A116=3,$A116=4),"F","")</f>
        <v>F</v>
      </c>
      <c r="D116" s="117" t="str">
        <f ca="1">ORÇAMENTO!O116</f>
        <v>3.3.</v>
      </c>
      <c r="E116" s="163" t="str">
        <f t="shared" ref="E116:E141" si="8">ORÇAMENTO.Descricao</f>
        <v>LOMBADAS TIPO A (3,70m de comprimento x 0,10m altura)</v>
      </c>
      <c r="F116" s="164" t="str">
        <f ca="1">IF(RegimeExecucao="Global","",ORÇAMENTO.Unidade)</f>
        <v>-</v>
      </c>
      <c r="G116" s="122">
        <f ca="1">IF(RegimeExecucao="Global","",ORÇAMENTO!T116)</f>
        <v>0</v>
      </c>
      <c r="H116" s="122">
        <f ca="1">IF(RegimeExecucao="Global","",ORÇAMENTO!W116)</f>
        <v>0</v>
      </c>
      <c r="I116" s="125">
        <f ca="1">ORÇAMENTO!X116</f>
        <v>2650.52</v>
      </c>
      <c r="J116" s="333" t="e" cm="1">
        <f t="array" aca="1" ref="J116" ca="1">_xlfn.SINGLE(IF($A116="S",IF(CAIXA.Modo,BM.AFAnterior,BM.MEDAnterior),IF(AND(_xlfn.SINGLE(RegimeExecucao)="Global",$I116&gt;0,COUNTIF($AB$13:$AM$13,BM.medicao-1)&gt;0),M116/$I116*100,0)))</f>
        <v>#NAME?</v>
      </c>
      <c r="K116" s="122" t="e">
        <f ca="1">L116-J116</f>
        <v>#NAME?</v>
      </c>
      <c r="L116" s="334" t="e" cm="1">
        <f t="array" aca="1" ref="L116" ca="1">_xlfn.SINGLE(IF($A116="S",IF(CAIXA.Modo,BM.AFAcumulado,BM.MEDAcumulado),IF(AND(_xlfn.SINGLE(RegimeExecucao)="Global",$I116&gt;0,COUNTIF($AB$13:$AM$13,BM.medicao)&gt;0),O116/$I116*100,0)))</f>
        <v>#NAME?</v>
      </c>
      <c r="M116" s="335" t="e">
        <f ca="1">IF($A116="S",VTOTALBM,IF($A116=0,0,ROUND(SomaAgrupBM,15-13*ORÇAMENTO!$AF$11)))</f>
        <v>#NAME?</v>
      </c>
      <c r="N116" s="336" t="e">
        <f ca="1">O116-M116</f>
        <v>#NAME?</v>
      </c>
      <c r="O116" s="125" t="e">
        <f ca="1">IF($A116="S",VTOTALBM,IF($A116=0,0,ROUND(SomaAgrupBM,15-13*ORÇAMENTO!$AF$11)))</f>
        <v>#NAME?</v>
      </c>
      <c r="Q116" s="337"/>
      <c r="R116" s="338"/>
      <c r="T116" s="117" t="e">
        <f ca="1">IF($W116&gt;0,$D116,"")</f>
        <v>#NAME?</v>
      </c>
      <c r="U116" s="163" t="e">
        <f ca="1">IF($W116&gt;0,$E116,"")</f>
        <v>#NAME?</v>
      </c>
      <c r="V116" s="164" t="e">
        <f ca="1">IF(AND($W116&gt;0,RegimeExecucao="Unitário"),$F116,"")</f>
        <v>#NAME?</v>
      </c>
      <c r="W116" s="454" t="e">
        <f ca="1">IF($Y116&gt;0,CHOOSE(MATCH(RegimeExecucao,{"Unitário","Global"},0),IF($A116="S",$Y116/$X116,""),($Y116/$X116)*100),0)</f>
        <v>#NAME?</v>
      </c>
      <c r="X116" s="339" t="e">
        <f ca="1">IF($Y116&gt;0,CHOOSE(MATCH(RegimeExecucao,{"Unitário","Global"},0),IF($A116="S",ROUND($H116,ORÇAMENTO!$AF$10),""),ROUND($I116,ORÇAMENTO!$AF$11)),"")</f>
        <v>#NAME?</v>
      </c>
      <c r="Y116" s="339" t="e">
        <f ca="1">AO116-O116</f>
        <v>#NAME?</v>
      </c>
      <c r="Z116" s="473"/>
      <c r="AB116" s="337"/>
      <c r="AC116" s="437"/>
      <c r="AD116" s="437"/>
      <c r="AE116" s="437"/>
      <c r="AF116" s="437"/>
      <c r="AG116" s="437"/>
      <c r="AH116" s="437"/>
      <c r="AI116" s="437"/>
      <c r="AJ116" s="437"/>
      <c r="AK116" s="437"/>
      <c r="AL116" s="437"/>
      <c r="AM116" s="338"/>
      <c r="AO116">
        <f ca="1">IF($A116="S",IF(BM!$I116=0,0,CHOOSE(MATCH(RegimeExecucao,{"Global","Unitário"},0),ROUND(ROUND(BM.MEDAcumulado,15-13*BM!$A$9)/100*BM!$I116,15-13*ORÇAMENTO!$AF$11),ROUND(ROUND(BM.MEDAcumulado,15-13*BM!$A$9)*ROUND(BM!$H116,15-13*ORÇAMENTO!$AF$10),15-13*ORÇAMENTO!$AF$11))),IF($A116=0,0,ROUND(SomaAgrupBM,15-13*ORÇAMENTO!$AF$11)))</f>
        <v>0</v>
      </c>
    </row>
    <row r="117" spans="1:41" ht="13.8" x14ac:dyDescent="0.3">
      <c r="A117" t="str">
        <f ca="1">ORÇAMENTO!C117</f>
        <v>S</v>
      </c>
      <c r="B117">
        <f ca="1">ORÇAMENTO!D117</f>
        <v>0</v>
      </c>
      <c r="C117" s="114" t="str">
        <f t="shared" ref="C117:C141" ca="1" si="9">IF(OR($I117&gt;0,$A117=1,$A117=2,$A117=3,$A117=4),"F","")</f>
        <v>F</v>
      </c>
      <c r="D117" s="117" t="str">
        <f ca="1">ORÇAMENTO!O117</f>
        <v>3.3.1.</v>
      </c>
      <c r="E117" s="163" t="str">
        <f t="shared" ca="1" si="8"/>
        <v>Pintura de ligação</v>
      </c>
      <c r="F117" s="164" t="str">
        <f ca="1">IF(RegimeExecucao="Global","",ORÇAMENTO.Unidade)</f>
        <v>m²</v>
      </c>
      <c r="G117" s="122">
        <f ca="1">IF(RegimeExecucao="Global","",ORÇAMENTO!T117)</f>
        <v>28.12</v>
      </c>
      <c r="H117" s="122">
        <f ca="1">IF(RegimeExecucao="Global","",ORÇAMENTO!W117)</f>
        <v>0.56999999999999995</v>
      </c>
      <c r="I117" s="125">
        <f ca="1">ORÇAMENTO!X117</f>
        <v>16.03</v>
      </c>
      <c r="J117" s="333" t="e" cm="1">
        <f t="array" aca="1" ref="J117" ca="1">_xlfn.SINGLE(IF($A117="S",IF(CAIXA.Modo,BM.AFAnterior,BM.MEDAnterior),IF(AND(_xlfn.SINGLE(RegimeExecucao)="Global",$I117&gt;0,COUNTIF($AB$13:$AM$13,BM.medicao-1)&gt;0),M117/$I117*100,0)))</f>
        <v>#NAME?</v>
      </c>
      <c r="K117" s="122" t="e">
        <f t="shared" ref="K117:K141" ca="1" si="10">L117-J117</f>
        <v>#NAME?</v>
      </c>
      <c r="L117" s="334" t="e" cm="1">
        <f t="array" aca="1" ref="L117" ca="1">_xlfn.SINGLE(IF($A117="S",IF(CAIXA.Modo,BM.AFAcumulado,BM.MEDAcumulado),IF(AND(_xlfn.SINGLE(RegimeExecucao)="Global",$I117&gt;0,COUNTIF($AB$13:$AM$13,BM.medicao)&gt;0),O117/$I117*100,0)))</f>
        <v>#NAME?</v>
      </c>
      <c r="M117" s="335" t="e">
        <f ca="1">IF($A117="S",VTOTALBM,IF($A117=0,0,ROUND(SomaAgrupBM,15-13*ORÇAMENTO!$AF$11)))</f>
        <v>#NAME?</v>
      </c>
      <c r="N117" s="336" t="e">
        <f t="shared" ref="N117:N141" ca="1" si="11">O117-M117</f>
        <v>#NAME?</v>
      </c>
      <c r="O117" s="125" t="e">
        <f ca="1">IF($A117="S",VTOTALBM,IF($A117=0,0,ROUND(SomaAgrupBM,15-13*ORÇAMENTO!$AF$11)))</f>
        <v>#NAME?</v>
      </c>
      <c r="Q117" s="337"/>
      <c r="R117" s="338"/>
      <c r="T117" s="117" t="e">
        <f t="shared" ref="T117:T141" ca="1" si="12">IF($W117&gt;0,$D117,"")</f>
        <v>#NAME?</v>
      </c>
      <c r="U117" s="163" t="e">
        <f t="shared" ref="U117:U141" ca="1" si="13">IF($W117&gt;0,$E117,"")</f>
        <v>#NAME?</v>
      </c>
      <c r="V117" s="164" t="e">
        <f ca="1">IF(AND($W117&gt;0,RegimeExecucao="Unitário"),$F117,"")</f>
        <v>#NAME?</v>
      </c>
      <c r="W117" s="454" t="e">
        <f ca="1">IF($Y117&gt;0,CHOOSE(MATCH(RegimeExecucao,{"Unitário","Global"},0),IF($A117="S",$Y117/$X117,""),($Y117/$X117)*100),0)</f>
        <v>#NAME?</v>
      </c>
      <c r="X117" s="339" t="e">
        <f ca="1">IF($Y117&gt;0,CHOOSE(MATCH(RegimeExecucao,{"Unitário","Global"},0),IF($A117="S",ROUND($H117,ORÇAMENTO!$AF$10),""),ROUND($I117,ORÇAMENTO!$AF$11)),"")</f>
        <v>#NAME?</v>
      </c>
      <c r="Y117" s="339" t="e">
        <f t="shared" ref="Y117:Y141" ca="1" si="14">AO117-O117</f>
        <v>#NAME?</v>
      </c>
      <c r="Z117" s="473"/>
      <c r="AB117" s="337"/>
      <c r="AC117" s="437"/>
      <c r="AD117" s="437"/>
      <c r="AE117" s="437"/>
      <c r="AF117" s="437"/>
      <c r="AG117" s="437"/>
      <c r="AH117" s="437"/>
      <c r="AI117" s="437"/>
      <c r="AJ117" s="437"/>
      <c r="AK117" s="437"/>
      <c r="AL117" s="437"/>
      <c r="AM117" s="338"/>
      <c r="AO117">
        <f ca="1">IF($A117="S",IF(BM!$I117=0,0,CHOOSE(MATCH(RegimeExecucao,{"Global","Unitário"},0),ROUND(ROUND(BM.MEDAcumulado,15-13*BM!$A$9)/100*BM!$I117,15-13*ORÇAMENTO!$AF$11),ROUND(ROUND(BM.MEDAcumulado,15-13*BM!$A$9)*ROUND(BM!$H117,15-13*ORÇAMENTO!$AF$10),15-13*ORÇAMENTO!$AF$11))),IF($A117=0,0,ROUND(SomaAgrupBM,15-13*ORÇAMENTO!$AF$11)))</f>
        <v>0</v>
      </c>
    </row>
    <row r="118" spans="1:41" ht="26.4" x14ac:dyDescent="0.3">
      <c r="A118" t="str">
        <f ca="1">ORÇAMENTO!C118</f>
        <v>S</v>
      </c>
      <c r="B118">
        <f ca="1">ORÇAMENTO!D118</f>
        <v>0</v>
      </c>
      <c r="C118" s="114" t="str">
        <f t="shared" ca="1" si="9"/>
        <v>F</v>
      </c>
      <c r="D118" s="117" t="str">
        <f ca="1">ORÇAMENTO!O118</f>
        <v>3.3.2.</v>
      </c>
      <c r="E118" s="163" t="str">
        <f t="shared" ca="1" si="8"/>
        <v>EMULSÃO ASFÁLTICA RR-1C COLETADO NA ANP, ACRESCIDO DE IMPOSTOS (ICMS, PIS, COFINS)</v>
      </c>
      <c r="F118" s="164" t="str">
        <f ca="1">IF(RegimeExecucao="Global","",ORÇAMENTO.Unidade)</f>
        <v>KG</v>
      </c>
      <c r="G118" s="122">
        <f ca="1">IF(RegimeExecucao="Global","",ORÇAMENTO!T118)</f>
        <v>12.65</v>
      </c>
      <c r="H118" s="122">
        <f ca="1">IF(RegimeExecucao="Global","",ORÇAMENTO!W118)</f>
        <v>4.21</v>
      </c>
      <c r="I118" s="125">
        <f ca="1">ORÇAMENTO!X118</f>
        <v>53.26</v>
      </c>
      <c r="J118" s="333" t="e" cm="1">
        <f t="array" aca="1" ref="J118" ca="1">_xlfn.SINGLE(IF($A118="S",IF(CAIXA.Modo,BM.AFAnterior,BM.MEDAnterior),IF(AND(_xlfn.SINGLE(RegimeExecucao)="Global",$I118&gt;0,COUNTIF($AB$13:$AM$13,BM.medicao-1)&gt;0),M118/$I118*100,0)))</f>
        <v>#NAME?</v>
      </c>
      <c r="K118" s="122" t="e">
        <f t="shared" ca="1" si="10"/>
        <v>#NAME?</v>
      </c>
      <c r="L118" s="334" t="e" cm="1">
        <f t="array" aca="1" ref="L118" ca="1">_xlfn.SINGLE(IF($A118="S",IF(CAIXA.Modo,BM.AFAcumulado,BM.MEDAcumulado),IF(AND(_xlfn.SINGLE(RegimeExecucao)="Global",$I118&gt;0,COUNTIF($AB$13:$AM$13,BM.medicao)&gt;0),O118/$I118*100,0)))</f>
        <v>#NAME?</v>
      </c>
      <c r="M118" s="335" t="e">
        <f ca="1">IF($A118="S",VTOTALBM,IF($A118=0,0,ROUND(SomaAgrupBM,15-13*ORÇAMENTO!$AF$11)))</f>
        <v>#NAME?</v>
      </c>
      <c r="N118" s="336" t="e">
        <f t="shared" ca="1" si="11"/>
        <v>#NAME?</v>
      </c>
      <c r="O118" s="125" t="e">
        <f ca="1">IF($A118="S",VTOTALBM,IF($A118=0,0,ROUND(SomaAgrupBM,15-13*ORÇAMENTO!$AF$11)))</f>
        <v>#NAME?</v>
      </c>
      <c r="Q118" s="337"/>
      <c r="R118" s="338"/>
      <c r="T118" s="117" t="e">
        <f t="shared" ca="1" si="12"/>
        <v>#NAME?</v>
      </c>
      <c r="U118" s="163" t="e">
        <f t="shared" ca="1" si="13"/>
        <v>#NAME?</v>
      </c>
      <c r="V118" s="164" t="e">
        <f ca="1">IF(AND($W118&gt;0,RegimeExecucao="Unitário"),$F118,"")</f>
        <v>#NAME?</v>
      </c>
      <c r="W118" s="454" t="e">
        <f ca="1">IF($Y118&gt;0,CHOOSE(MATCH(RegimeExecucao,{"Unitário","Global"},0),IF($A118="S",$Y118/$X118,""),($Y118/$X118)*100),0)</f>
        <v>#NAME?</v>
      </c>
      <c r="X118" s="339" t="e">
        <f ca="1">IF($Y118&gt;0,CHOOSE(MATCH(RegimeExecucao,{"Unitário","Global"},0),IF($A118="S",ROUND($H118,ORÇAMENTO!$AF$10),""),ROUND($I118,ORÇAMENTO!$AF$11)),"")</f>
        <v>#NAME?</v>
      </c>
      <c r="Y118" s="339" t="e">
        <f t="shared" ca="1" si="14"/>
        <v>#NAME?</v>
      </c>
      <c r="Z118" s="473"/>
      <c r="AB118" s="337"/>
      <c r="AC118" s="437"/>
      <c r="AD118" s="437"/>
      <c r="AE118" s="437"/>
      <c r="AF118" s="437"/>
      <c r="AG118" s="437"/>
      <c r="AH118" s="437"/>
      <c r="AI118" s="437"/>
      <c r="AJ118" s="437"/>
      <c r="AK118" s="437"/>
      <c r="AL118" s="437"/>
      <c r="AM118" s="338"/>
      <c r="AO118">
        <f ca="1">IF($A118="S",IF(BM!$I118=0,0,CHOOSE(MATCH(RegimeExecucao,{"Global","Unitário"},0),ROUND(ROUND(BM.MEDAcumulado,15-13*BM!$A$9)/100*BM!$I118,15-13*ORÇAMENTO!$AF$11),ROUND(ROUND(BM.MEDAcumulado,15-13*BM!$A$9)*ROUND(BM!$H118,15-13*ORÇAMENTO!$AF$10),15-13*ORÇAMENTO!$AF$11))),IF($A118=0,0,ROUND(SomaAgrupBM,15-13*ORÇAMENTO!$AF$11)))</f>
        <v>0</v>
      </c>
    </row>
    <row r="119" spans="1:41" ht="26.4" x14ac:dyDescent="0.3">
      <c r="A119" t="str">
        <f ca="1">ORÇAMENTO!C119</f>
        <v>S</v>
      </c>
      <c r="B119">
        <f ca="1">ORÇAMENTO!D119</f>
        <v>0</v>
      </c>
      <c r="C119" s="114" t="str">
        <f t="shared" ca="1" si="9"/>
        <v>F</v>
      </c>
      <c r="D119" s="117" t="str">
        <f ca="1">ORÇAMENTO!O119</f>
        <v>3.3.3.</v>
      </c>
      <c r="E119" s="163" t="str">
        <f t="shared" ca="1" si="8"/>
        <v>Transporte de material betuminoso com caminhão tanque distribuidor - rodovia pavimentada</v>
      </c>
      <c r="F119" s="164" t="str">
        <f ca="1">IF(RegimeExecucao="Global","",ORÇAMENTO.Unidade)</f>
        <v>tkm</v>
      </c>
      <c r="G119" s="122">
        <f ca="1">IF(RegimeExecucao="Global","",ORÇAMENTO!T119)</f>
        <v>4.26</v>
      </c>
      <c r="H119" s="122">
        <f ca="1">IF(RegimeExecucao="Global","",ORÇAMENTO!W119)</f>
        <v>2.5499999999999998</v>
      </c>
      <c r="I119" s="125">
        <f ca="1">ORÇAMENTO!X119</f>
        <v>10.86</v>
      </c>
      <c r="J119" s="333" t="e" cm="1">
        <f t="array" aca="1" ref="J119" ca="1">_xlfn.SINGLE(IF($A119="S",IF(CAIXA.Modo,BM.AFAnterior,BM.MEDAnterior),IF(AND(_xlfn.SINGLE(RegimeExecucao)="Global",$I119&gt;0,COUNTIF($AB$13:$AM$13,BM.medicao-1)&gt;0),M119/$I119*100,0)))</f>
        <v>#NAME?</v>
      </c>
      <c r="K119" s="122" t="e">
        <f t="shared" ca="1" si="10"/>
        <v>#NAME?</v>
      </c>
      <c r="L119" s="334" t="e" cm="1">
        <f t="array" aca="1" ref="L119" ca="1">_xlfn.SINGLE(IF($A119="S",IF(CAIXA.Modo,BM.AFAcumulado,BM.MEDAcumulado),IF(AND(_xlfn.SINGLE(RegimeExecucao)="Global",$I119&gt;0,COUNTIF($AB$13:$AM$13,BM.medicao)&gt;0),O119/$I119*100,0)))</f>
        <v>#NAME?</v>
      </c>
      <c r="M119" s="335" t="e">
        <f ca="1">IF($A119="S",VTOTALBM,IF($A119=0,0,ROUND(SomaAgrupBM,15-13*ORÇAMENTO!$AF$11)))</f>
        <v>#NAME?</v>
      </c>
      <c r="N119" s="336" t="e">
        <f t="shared" ca="1" si="11"/>
        <v>#NAME?</v>
      </c>
      <c r="O119" s="125" t="e">
        <f ca="1">IF($A119="S",VTOTALBM,IF($A119=0,0,ROUND(SomaAgrupBM,15-13*ORÇAMENTO!$AF$11)))</f>
        <v>#NAME?</v>
      </c>
      <c r="Q119" s="337"/>
      <c r="R119" s="338"/>
      <c r="T119" s="117" t="e">
        <f t="shared" ca="1" si="12"/>
        <v>#NAME?</v>
      </c>
      <c r="U119" s="163" t="e">
        <f t="shared" ca="1" si="13"/>
        <v>#NAME?</v>
      </c>
      <c r="V119" s="164" t="e">
        <f ca="1">IF(AND($W119&gt;0,RegimeExecucao="Unitário"),$F119,"")</f>
        <v>#NAME?</v>
      </c>
      <c r="W119" s="454" t="e">
        <f ca="1">IF($Y119&gt;0,CHOOSE(MATCH(RegimeExecucao,{"Unitário","Global"},0),IF($A119="S",$Y119/$X119,""),($Y119/$X119)*100),0)</f>
        <v>#NAME?</v>
      </c>
      <c r="X119" s="339" t="e">
        <f ca="1">IF($Y119&gt;0,CHOOSE(MATCH(RegimeExecucao,{"Unitário","Global"},0),IF($A119="S",ROUND($H119,ORÇAMENTO!$AF$10),""),ROUND($I119,ORÇAMENTO!$AF$11)),"")</f>
        <v>#NAME?</v>
      </c>
      <c r="Y119" s="339" t="e">
        <f t="shared" ca="1" si="14"/>
        <v>#NAME?</v>
      </c>
      <c r="Z119" s="473"/>
      <c r="AB119" s="337"/>
      <c r="AC119" s="437"/>
      <c r="AD119" s="437"/>
      <c r="AE119" s="437"/>
      <c r="AF119" s="437"/>
      <c r="AG119" s="437"/>
      <c r="AH119" s="437"/>
      <c r="AI119" s="437"/>
      <c r="AJ119" s="437"/>
      <c r="AK119" s="437"/>
      <c r="AL119" s="437"/>
      <c r="AM119" s="338"/>
      <c r="AO119">
        <f ca="1">IF($A119="S",IF(BM!$I119=0,0,CHOOSE(MATCH(RegimeExecucao,{"Global","Unitário"},0),ROUND(ROUND(BM.MEDAcumulado,15-13*BM!$A$9)/100*BM!$I119,15-13*ORÇAMENTO!$AF$11),ROUND(ROUND(BM.MEDAcumulado,15-13*BM!$A$9)*ROUND(BM!$H119,15-13*ORÇAMENTO!$AF$10),15-13*ORÇAMENTO!$AF$11))),IF($A119=0,0,ROUND(SomaAgrupBM,15-13*ORÇAMENTO!$AF$11)))</f>
        <v>0</v>
      </c>
    </row>
    <row r="120" spans="1:41" ht="13.8" x14ac:dyDescent="0.3">
      <c r="A120" t="str">
        <f ca="1">ORÇAMENTO!C120</f>
        <v>S</v>
      </c>
      <c r="B120">
        <f ca="1">ORÇAMENTO!D120</f>
        <v>0</v>
      </c>
      <c r="C120" s="114" t="str">
        <f t="shared" ca="1" si="9"/>
        <v>F</v>
      </c>
      <c r="D120" s="117" t="str">
        <f ca="1">ORÇAMENTO!O120</f>
        <v>3.3.4.</v>
      </c>
      <c r="E120" s="163" t="str">
        <f t="shared" ca="1" si="8"/>
        <v>Concreto asfáltico - faixa C-12,5 - areia extraída e brita produzida</v>
      </c>
      <c r="F120" s="164" t="str">
        <f ca="1">IF(RegimeExecucao="Global","",ORÇAMENTO.Unidade)</f>
        <v>t</v>
      </c>
      <c r="G120" s="122">
        <f ca="1">IF(RegimeExecucao="Global","",ORÇAMENTO!T120)</f>
        <v>4.58</v>
      </c>
      <c r="H120" s="122">
        <f ca="1">IF(RegimeExecucao="Global","",ORÇAMENTO!W120)</f>
        <v>174.65</v>
      </c>
      <c r="I120" s="125">
        <f ca="1">ORÇAMENTO!X120</f>
        <v>799.9</v>
      </c>
      <c r="J120" s="333" t="e" cm="1">
        <f t="array" aca="1" ref="J120" ca="1">_xlfn.SINGLE(IF($A120="S",IF(CAIXA.Modo,BM.AFAnterior,BM.MEDAnterior),IF(AND(_xlfn.SINGLE(RegimeExecucao)="Global",$I120&gt;0,COUNTIF($AB$13:$AM$13,BM.medicao-1)&gt;0),M120/$I120*100,0)))</f>
        <v>#NAME?</v>
      </c>
      <c r="K120" s="122" t="e">
        <f t="shared" ca="1" si="10"/>
        <v>#NAME?</v>
      </c>
      <c r="L120" s="334" t="e" cm="1">
        <f t="array" aca="1" ref="L120" ca="1">_xlfn.SINGLE(IF($A120="S",IF(CAIXA.Modo,BM.AFAcumulado,BM.MEDAcumulado),IF(AND(_xlfn.SINGLE(RegimeExecucao)="Global",$I120&gt;0,COUNTIF($AB$13:$AM$13,BM.medicao)&gt;0),O120/$I120*100,0)))</f>
        <v>#NAME?</v>
      </c>
      <c r="M120" s="335" t="e">
        <f ca="1">IF($A120="S",VTOTALBM,IF($A120=0,0,ROUND(SomaAgrupBM,15-13*ORÇAMENTO!$AF$11)))</f>
        <v>#NAME?</v>
      </c>
      <c r="N120" s="336" t="e">
        <f t="shared" ca="1" si="11"/>
        <v>#NAME?</v>
      </c>
      <c r="O120" s="125" t="e">
        <f ca="1">IF($A120="S",VTOTALBM,IF($A120=0,0,ROUND(SomaAgrupBM,15-13*ORÇAMENTO!$AF$11)))</f>
        <v>#NAME?</v>
      </c>
      <c r="Q120" s="337"/>
      <c r="R120" s="338"/>
      <c r="T120" s="117" t="e">
        <f t="shared" ca="1" si="12"/>
        <v>#NAME?</v>
      </c>
      <c r="U120" s="163" t="e">
        <f t="shared" ca="1" si="13"/>
        <v>#NAME?</v>
      </c>
      <c r="V120" s="164" t="e">
        <f ca="1">IF(AND($W120&gt;0,RegimeExecucao="Unitário"),$F120,"")</f>
        <v>#NAME?</v>
      </c>
      <c r="W120" s="454" t="e">
        <f ca="1">IF($Y120&gt;0,CHOOSE(MATCH(RegimeExecucao,{"Unitário","Global"},0),IF($A120="S",$Y120/$X120,""),($Y120/$X120)*100),0)</f>
        <v>#NAME?</v>
      </c>
      <c r="X120" s="339" t="e">
        <f ca="1">IF($Y120&gt;0,CHOOSE(MATCH(RegimeExecucao,{"Unitário","Global"},0),IF($A120="S",ROUND($H120,ORÇAMENTO!$AF$10),""),ROUND($I120,ORÇAMENTO!$AF$11)),"")</f>
        <v>#NAME?</v>
      </c>
      <c r="Y120" s="339" t="e">
        <f t="shared" ca="1" si="14"/>
        <v>#NAME?</v>
      </c>
      <c r="Z120" s="473"/>
      <c r="AB120" s="337"/>
      <c r="AC120" s="437"/>
      <c r="AD120" s="437"/>
      <c r="AE120" s="437"/>
      <c r="AF120" s="437"/>
      <c r="AG120" s="437"/>
      <c r="AH120" s="437"/>
      <c r="AI120" s="437"/>
      <c r="AJ120" s="437"/>
      <c r="AK120" s="437"/>
      <c r="AL120" s="437"/>
      <c r="AM120" s="338"/>
      <c r="AO120">
        <f ca="1">IF($A120="S",IF(BM!$I120=0,0,CHOOSE(MATCH(RegimeExecucao,{"Global","Unitário"},0),ROUND(ROUND(BM.MEDAcumulado,15-13*BM!$A$9)/100*BM!$I120,15-13*ORÇAMENTO!$AF$11),ROUND(ROUND(BM.MEDAcumulado,15-13*BM!$A$9)*ROUND(BM!$H120,15-13*ORÇAMENTO!$AF$10),15-13*ORÇAMENTO!$AF$11))),IF($A120=0,0,ROUND(SomaAgrupBM,15-13*ORÇAMENTO!$AF$11)))</f>
        <v>0</v>
      </c>
    </row>
    <row r="121" spans="1:41" ht="13.8" x14ac:dyDescent="0.3">
      <c r="A121" t="str">
        <f ca="1">ORÇAMENTO!C121</f>
        <v>S</v>
      </c>
      <c r="B121">
        <f ca="1">ORÇAMENTO!D121</f>
        <v>0</v>
      </c>
      <c r="C121" s="114" t="str">
        <f t="shared" ca="1" si="9"/>
        <v>F</v>
      </c>
      <c r="D121" s="117" t="str">
        <f ca="1">ORÇAMENTO!O121</f>
        <v>3.3.5.</v>
      </c>
      <c r="E121" s="163" t="str">
        <f t="shared" ca="1" si="8"/>
        <v>Transporte com caminhão basculante de 10 m³ - rodovia pavimentada</v>
      </c>
      <c r="F121" s="164" t="str">
        <f ca="1">IF(RegimeExecucao="Global","",ORÇAMENTO.Unidade)</f>
        <v>tkm</v>
      </c>
      <c r="G121" s="122">
        <f ca="1">IF(RegimeExecucao="Global","",ORÇAMENTO!T121)</f>
        <v>96.18</v>
      </c>
      <c r="H121" s="122">
        <f ca="1">IF(RegimeExecucao="Global","",ORÇAMENTO!W121)</f>
        <v>1.01</v>
      </c>
      <c r="I121" s="125">
        <f ca="1">ORÇAMENTO!X121</f>
        <v>97.14</v>
      </c>
      <c r="J121" s="333" t="e" cm="1">
        <f t="array" aca="1" ref="J121" ca="1">_xlfn.SINGLE(IF($A121="S",IF(CAIXA.Modo,BM.AFAnterior,BM.MEDAnterior),IF(AND(_xlfn.SINGLE(RegimeExecucao)="Global",$I121&gt;0,COUNTIF($AB$13:$AM$13,BM.medicao-1)&gt;0),M121/$I121*100,0)))</f>
        <v>#NAME?</v>
      </c>
      <c r="K121" s="122" t="e">
        <f t="shared" ca="1" si="10"/>
        <v>#NAME?</v>
      </c>
      <c r="L121" s="334" t="e" cm="1">
        <f t="array" aca="1" ref="L121" ca="1">_xlfn.SINGLE(IF($A121="S",IF(CAIXA.Modo,BM.AFAcumulado,BM.MEDAcumulado),IF(AND(_xlfn.SINGLE(RegimeExecucao)="Global",$I121&gt;0,COUNTIF($AB$13:$AM$13,BM.medicao)&gt;0),O121/$I121*100,0)))</f>
        <v>#NAME?</v>
      </c>
      <c r="M121" s="335" t="e">
        <f ca="1">IF($A121="S",VTOTALBM,IF($A121=0,0,ROUND(SomaAgrupBM,15-13*ORÇAMENTO!$AF$11)))</f>
        <v>#NAME?</v>
      </c>
      <c r="N121" s="336" t="e">
        <f t="shared" ca="1" si="11"/>
        <v>#NAME?</v>
      </c>
      <c r="O121" s="125" t="e">
        <f ca="1">IF($A121="S",VTOTALBM,IF($A121=0,0,ROUND(SomaAgrupBM,15-13*ORÇAMENTO!$AF$11)))</f>
        <v>#NAME?</v>
      </c>
      <c r="Q121" s="337"/>
      <c r="R121" s="338"/>
      <c r="T121" s="117" t="e">
        <f t="shared" ca="1" si="12"/>
        <v>#NAME?</v>
      </c>
      <c r="U121" s="163" t="e">
        <f t="shared" ca="1" si="13"/>
        <v>#NAME?</v>
      </c>
      <c r="V121" s="164" t="e">
        <f ca="1">IF(AND($W121&gt;0,RegimeExecucao="Unitário"),$F121,"")</f>
        <v>#NAME?</v>
      </c>
      <c r="W121" s="454" t="e">
        <f ca="1">IF($Y121&gt;0,CHOOSE(MATCH(RegimeExecucao,{"Unitário","Global"},0),IF($A121="S",$Y121/$X121,""),($Y121/$X121)*100),0)</f>
        <v>#NAME?</v>
      </c>
      <c r="X121" s="339" t="e">
        <f ca="1">IF($Y121&gt;0,CHOOSE(MATCH(RegimeExecucao,{"Unitário","Global"},0),IF($A121="S",ROUND($H121,ORÇAMENTO!$AF$10),""),ROUND($I121,ORÇAMENTO!$AF$11)),"")</f>
        <v>#NAME?</v>
      </c>
      <c r="Y121" s="339" t="e">
        <f t="shared" ca="1" si="14"/>
        <v>#NAME?</v>
      </c>
      <c r="Z121" s="473"/>
      <c r="AB121" s="337"/>
      <c r="AC121" s="437"/>
      <c r="AD121" s="437"/>
      <c r="AE121" s="437"/>
      <c r="AF121" s="437"/>
      <c r="AG121" s="437"/>
      <c r="AH121" s="437"/>
      <c r="AI121" s="437"/>
      <c r="AJ121" s="437"/>
      <c r="AK121" s="437"/>
      <c r="AL121" s="437"/>
      <c r="AM121" s="338"/>
      <c r="AO121">
        <f ca="1">IF($A121="S",IF(BM!$I121=0,0,CHOOSE(MATCH(RegimeExecucao,{"Global","Unitário"},0),ROUND(ROUND(BM.MEDAcumulado,15-13*BM!$A$9)/100*BM!$I121,15-13*ORÇAMENTO!$AF$11),ROUND(ROUND(BM.MEDAcumulado,15-13*BM!$A$9)*ROUND(BM!$H121,15-13*ORÇAMENTO!$AF$10),15-13*ORÇAMENTO!$AF$11))),IF($A121=0,0,ROUND(SomaAgrupBM,15-13*ORÇAMENTO!$AF$11)))</f>
        <v>0</v>
      </c>
    </row>
    <row r="122" spans="1:41" ht="26.4" x14ac:dyDescent="0.3">
      <c r="A122" t="str">
        <f ca="1">ORÇAMENTO!C122</f>
        <v>S</v>
      </c>
      <c r="B122">
        <f ca="1">ORÇAMENTO!D122</f>
        <v>0</v>
      </c>
      <c r="C122" s="114" t="str">
        <f t="shared" ca="1" si="9"/>
        <v>F</v>
      </c>
      <c r="D122" s="117" t="str">
        <f ca="1">ORÇAMENTO!O122</f>
        <v>3.3.6.</v>
      </c>
      <c r="E122" s="163" t="str">
        <f t="shared" ca="1" si="8"/>
        <v>CIMENTO ASFÁLTICO CAP 50-70, COLETADO NA ANP, ACRESCIDO DE IMPOSTOS (ICMS, PIS, CONFINS)</v>
      </c>
      <c r="F122" s="164" t="str">
        <f ca="1">IF(RegimeExecucao="Global","",ORÇAMENTO.Unidade)</f>
        <v>KG</v>
      </c>
      <c r="G122" s="122">
        <f ca="1">IF(RegimeExecucao="Global","",ORÇAMENTO!T122)</f>
        <v>259.45999999999998</v>
      </c>
      <c r="H122" s="122">
        <f ca="1">IF(RegimeExecucao="Global","",ORÇAMENTO!W122)</f>
        <v>5.59</v>
      </c>
      <c r="I122" s="125">
        <f ca="1">ORÇAMENTO!X122</f>
        <v>1450.38</v>
      </c>
      <c r="J122" s="333" t="e" cm="1">
        <f t="array" aca="1" ref="J122" ca="1">_xlfn.SINGLE(IF($A122="S",IF(CAIXA.Modo,BM.AFAnterior,BM.MEDAnterior),IF(AND(_xlfn.SINGLE(RegimeExecucao)="Global",$I122&gt;0,COUNTIF($AB$13:$AM$13,BM.medicao-1)&gt;0),M122/$I122*100,0)))</f>
        <v>#NAME?</v>
      </c>
      <c r="K122" s="122" t="e">
        <f t="shared" ca="1" si="10"/>
        <v>#NAME?</v>
      </c>
      <c r="L122" s="334" t="e" cm="1">
        <f t="array" aca="1" ref="L122" ca="1">_xlfn.SINGLE(IF($A122="S",IF(CAIXA.Modo,BM.AFAcumulado,BM.MEDAcumulado),IF(AND(_xlfn.SINGLE(RegimeExecucao)="Global",$I122&gt;0,COUNTIF($AB$13:$AM$13,BM.medicao)&gt;0),O122/$I122*100,0)))</f>
        <v>#NAME?</v>
      </c>
      <c r="M122" s="335" t="e">
        <f ca="1">IF($A122="S",VTOTALBM,IF($A122=0,0,ROUND(SomaAgrupBM,15-13*ORÇAMENTO!$AF$11)))</f>
        <v>#NAME?</v>
      </c>
      <c r="N122" s="336" t="e">
        <f t="shared" ca="1" si="11"/>
        <v>#NAME?</v>
      </c>
      <c r="O122" s="125" t="e">
        <f ca="1">IF($A122="S",VTOTALBM,IF($A122=0,0,ROUND(SomaAgrupBM,15-13*ORÇAMENTO!$AF$11)))</f>
        <v>#NAME?</v>
      </c>
      <c r="Q122" s="337"/>
      <c r="R122" s="338"/>
      <c r="T122" s="117" t="e">
        <f t="shared" ca="1" si="12"/>
        <v>#NAME?</v>
      </c>
      <c r="U122" s="163" t="e">
        <f t="shared" ca="1" si="13"/>
        <v>#NAME?</v>
      </c>
      <c r="V122" s="164" t="e">
        <f ca="1">IF(AND($W122&gt;0,RegimeExecucao="Unitário"),$F122,"")</f>
        <v>#NAME?</v>
      </c>
      <c r="W122" s="454" t="e">
        <f ca="1">IF($Y122&gt;0,CHOOSE(MATCH(RegimeExecucao,{"Unitário","Global"},0),IF($A122="S",$Y122/$X122,""),($Y122/$X122)*100),0)</f>
        <v>#NAME?</v>
      </c>
      <c r="X122" s="339" t="e">
        <f ca="1">IF($Y122&gt;0,CHOOSE(MATCH(RegimeExecucao,{"Unitário","Global"},0),IF($A122="S",ROUND($H122,ORÇAMENTO!$AF$10),""),ROUND($I122,ORÇAMENTO!$AF$11)),"")</f>
        <v>#NAME?</v>
      </c>
      <c r="Y122" s="339" t="e">
        <f t="shared" ca="1" si="14"/>
        <v>#NAME?</v>
      </c>
      <c r="Z122" s="473"/>
      <c r="AB122" s="337"/>
      <c r="AC122" s="437"/>
      <c r="AD122" s="437"/>
      <c r="AE122" s="437"/>
      <c r="AF122" s="437"/>
      <c r="AG122" s="437"/>
      <c r="AH122" s="437"/>
      <c r="AI122" s="437"/>
      <c r="AJ122" s="437"/>
      <c r="AK122" s="437"/>
      <c r="AL122" s="437"/>
      <c r="AM122" s="338"/>
      <c r="AO122">
        <f ca="1">IF($A122="S",IF(BM!$I122=0,0,CHOOSE(MATCH(RegimeExecucao,{"Global","Unitário"},0),ROUND(ROUND(BM.MEDAcumulado,15-13*BM!$A$9)/100*BM!$I122,15-13*ORÇAMENTO!$AF$11),ROUND(ROUND(BM.MEDAcumulado,15-13*BM!$A$9)*ROUND(BM!$H122,15-13*ORÇAMENTO!$AF$10),15-13*ORÇAMENTO!$AF$11))),IF($A122=0,0,ROUND(SomaAgrupBM,15-13*ORÇAMENTO!$AF$11)))</f>
        <v>0</v>
      </c>
    </row>
    <row r="123" spans="1:41" ht="26.4" x14ac:dyDescent="0.3">
      <c r="A123" t="str">
        <f ca="1">ORÇAMENTO!C123</f>
        <v>S</v>
      </c>
      <c r="B123">
        <f ca="1">ORÇAMENTO!D123</f>
        <v>0</v>
      </c>
      <c r="C123" s="114" t="str">
        <f t="shared" ca="1" si="9"/>
        <v>F</v>
      </c>
      <c r="D123" s="117" t="str">
        <f ca="1">ORÇAMENTO!O123</f>
        <v>3.3.7.</v>
      </c>
      <c r="E123" s="163" t="str">
        <f t="shared" ca="1" si="8"/>
        <v>Transporte de material betuminoso com caminhão tanque distribuidor - rodovia pavimentada</v>
      </c>
      <c r="F123" s="164" t="str">
        <f ca="1">IF(RegimeExecucao="Global","",ORÇAMENTO.Unidade)</f>
        <v>tkm</v>
      </c>
      <c r="G123" s="122">
        <f ca="1">IF(RegimeExecucao="Global","",ORÇAMENTO!T123)</f>
        <v>87.43</v>
      </c>
      <c r="H123" s="122">
        <f ca="1">IF(RegimeExecucao="Global","",ORÇAMENTO!W123)</f>
        <v>2.5499999999999998</v>
      </c>
      <c r="I123" s="125">
        <f ca="1">ORÇAMENTO!X123</f>
        <v>222.95</v>
      </c>
      <c r="J123" s="333" t="e" cm="1">
        <f t="array" aca="1" ref="J123" ca="1">_xlfn.SINGLE(IF($A123="S",IF(CAIXA.Modo,BM.AFAnterior,BM.MEDAnterior),IF(AND(_xlfn.SINGLE(RegimeExecucao)="Global",$I123&gt;0,COUNTIF($AB$13:$AM$13,BM.medicao-1)&gt;0),M123/$I123*100,0)))</f>
        <v>#NAME?</v>
      </c>
      <c r="K123" s="122" t="e">
        <f t="shared" ca="1" si="10"/>
        <v>#NAME?</v>
      </c>
      <c r="L123" s="334" t="e" cm="1">
        <f t="array" aca="1" ref="L123" ca="1">_xlfn.SINGLE(IF($A123="S",IF(CAIXA.Modo,BM.AFAcumulado,BM.MEDAcumulado),IF(AND(_xlfn.SINGLE(RegimeExecucao)="Global",$I123&gt;0,COUNTIF($AB$13:$AM$13,BM.medicao)&gt;0),O123/$I123*100,0)))</f>
        <v>#NAME?</v>
      </c>
      <c r="M123" s="335" t="e">
        <f ca="1">IF($A123="S",VTOTALBM,IF($A123=0,0,ROUND(SomaAgrupBM,15-13*ORÇAMENTO!$AF$11)))</f>
        <v>#NAME?</v>
      </c>
      <c r="N123" s="336" t="e">
        <f t="shared" ca="1" si="11"/>
        <v>#NAME?</v>
      </c>
      <c r="O123" s="125" t="e">
        <f ca="1">IF($A123="S",VTOTALBM,IF($A123=0,0,ROUND(SomaAgrupBM,15-13*ORÇAMENTO!$AF$11)))</f>
        <v>#NAME?</v>
      </c>
      <c r="Q123" s="337"/>
      <c r="R123" s="338"/>
      <c r="T123" s="117" t="e">
        <f t="shared" ca="1" si="12"/>
        <v>#NAME?</v>
      </c>
      <c r="U123" s="163" t="e">
        <f t="shared" ca="1" si="13"/>
        <v>#NAME?</v>
      </c>
      <c r="V123" s="164" t="e">
        <f ca="1">IF(AND($W123&gt;0,RegimeExecucao="Unitário"),$F123,"")</f>
        <v>#NAME?</v>
      </c>
      <c r="W123" s="454" t="e">
        <f ca="1">IF($Y123&gt;0,CHOOSE(MATCH(RegimeExecucao,{"Unitário","Global"},0),IF($A123="S",$Y123/$X123,""),($Y123/$X123)*100),0)</f>
        <v>#NAME?</v>
      </c>
      <c r="X123" s="339" t="e">
        <f ca="1">IF($Y123&gt;0,CHOOSE(MATCH(RegimeExecucao,{"Unitário","Global"},0),IF($A123="S",ROUND($H123,ORÇAMENTO!$AF$10),""),ROUND($I123,ORÇAMENTO!$AF$11)),"")</f>
        <v>#NAME?</v>
      </c>
      <c r="Y123" s="339" t="e">
        <f t="shared" ca="1" si="14"/>
        <v>#NAME?</v>
      </c>
      <c r="Z123" s="473"/>
      <c r="AB123" s="337"/>
      <c r="AC123" s="437"/>
      <c r="AD123" s="437"/>
      <c r="AE123" s="437"/>
      <c r="AF123" s="437"/>
      <c r="AG123" s="437"/>
      <c r="AH123" s="437"/>
      <c r="AI123" s="437"/>
      <c r="AJ123" s="437"/>
      <c r="AK123" s="437"/>
      <c r="AL123" s="437"/>
      <c r="AM123" s="338"/>
      <c r="AO123">
        <f ca="1">IF($A123="S",IF(BM!$I123=0,0,CHOOSE(MATCH(RegimeExecucao,{"Global","Unitário"},0),ROUND(ROUND(BM.MEDAcumulado,15-13*BM!$A$9)/100*BM!$I123,15-13*ORÇAMENTO!$AF$11),ROUND(ROUND(BM.MEDAcumulado,15-13*BM!$A$9)*ROUND(BM!$H123,15-13*ORÇAMENTO!$AF$10),15-13*ORÇAMENTO!$AF$11))),IF($A123=0,0,ROUND(SomaAgrupBM,15-13*ORÇAMENTO!$AF$11)))</f>
        <v>0</v>
      </c>
    </row>
    <row r="124" spans="1:41" ht="13.8" x14ac:dyDescent="0.3">
      <c r="A124">
        <f ca="1">ORÇAMENTO!C124</f>
        <v>2</v>
      </c>
      <c r="B124">
        <f ca="1">ORÇAMENTO!D124</f>
        <v>4</v>
      </c>
      <c r="C124" s="114" t="str">
        <f t="shared" ca="1" si="9"/>
        <v>F</v>
      </c>
      <c r="D124" s="117" t="str">
        <f ca="1">ORÇAMENTO!O124</f>
        <v>3.4.</v>
      </c>
      <c r="E124" s="163" t="str">
        <f t="shared" si="8"/>
        <v>SINALIZAÇAO</v>
      </c>
      <c r="F124" s="164" t="str">
        <f ca="1">IF(RegimeExecucao="Global","",ORÇAMENTO.Unidade)</f>
        <v>-</v>
      </c>
      <c r="G124" s="122">
        <f ca="1">IF(RegimeExecucao="Global","",ORÇAMENTO!T124)</f>
        <v>0</v>
      </c>
      <c r="H124" s="122">
        <f ca="1">IF(RegimeExecucao="Global","",ORÇAMENTO!W124)</f>
        <v>0</v>
      </c>
      <c r="I124" s="125">
        <f ca="1">ORÇAMENTO!X124</f>
        <v>4112.08</v>
      </c>
      <c r="J124" s="333" t="e" cm="1">
        <f t="array" aca="1" ref="J124" ca="1">_xlfn.SINGLE(IF($A124="S",IF(CAIXA.Modo,BM.AFAnterior,BM.MEDAnterior),IF(AND(_xlfn.SINGLE(RegimeExecucao)="Global",$I124&gt;0,COUNTIF($AB$13:$AM$13,BM.medicao-1)&gt;0),M124/$I124*100,0)))</f>
        <v>#NAME?</v>
      </c>
      <c r="K124" s="122" t="e">
        <f t="shared" ca="1" si="10"/>
        <v>#NAME?</v>
      </c>
      <c r="L124" s="334" t="e" cm="1">
        <f t="array" aca="1" ref="L124" ca="1">_xlfn.SINGLE(IF($A124="S",IF(CAIXA.Modo,BM.AFAcumulado,BM.MEDAcumulado),IF(AND(_xlfn.SINGLE(RegimeExecucao)="Global",$I124&gt;0,COUNTIF($AB$13:$AM$13,BM.medicao)&gt;0),O124/$I124*100,0)))</f>
        <v>#NAME?</v>
      </c>
      <c r="M124" s="335" t="e">
        <f ca="1">IF($A124="S",VTOTALBM,IF($A124=0,0,ROUND(SomaAgrupBM,15-13*ORÇAMENTO!$AF$11)))</f>
        <v>#NAME?</v>
      </c>
      <c r="N124" s="336" t="e">
        <f t="shared" ca="1" si="11"/>
        <v>#NAME?</v>
      </c>
      <c r="O124" s="125" t="e">
        <f ca="1">IF($A124="S",VTOTALBM,IF($A124=0,0,ROUND(SomaAgrupBM,15-13*ORÇAMENTO!$AF$11)))</f>
        <v>#NAME?</v>
      </c>
      <c r="Q124" s="337"/>
      <c r="R124" s="338"/>
      <c r="T124" s="117" t="e">
        <f t="shared" ca="1" si="12"/>
        <v>#NAME?</v>
      </c>
      <c r="U124" s="163" t="e">
        <f t="shared" ca="1" si="13"/>
        <v>#NAME?</v>
      </c>
      <c r="V124" s="164" t="e">
        <f ca="1">IF(AND($W124&gt;0,RegimeExecucao="Unitário"),$F124,"")</f>
        <v>#NAME?</v>
      </c>
      <c r="W124" s="454" t="e">
        <f ca="1">IF($Y124&gt;0,CHOOSE(MATCH(RegimeExecucao,{"Unitário","Global"},0),IF($A124="S",$Y124/$X124,""),($Y124/$X124)*100),0)</f>
        <v>#NAME?</v>
      </c>
      <c r="X124" s="339" t="e">
        <f ca="1">IF($Y124&gt;0,CHOOSE(MATCH(RegimeExecucao,{"Unitário","Global"},0),IF($A124="S",ROUND($H124,ORÇAMENTO!$AF$10),""),ROUND($I124,ORÇAMENTO!$AF$11)),"")</f>
        <v>#NAME?</v>
      </c>
      <c r="Y124" s="339" t="e">
        <f t="shared" ca="1" si="14"/>
        <v>#NAME?</v>
      </c>
      <c r="Z124" s="473"/>
      <c r="AB124" s="337"/>
      <c r="AC124" s="437"/>
      <c r="AD124" s="437"/>
      <c r="AE124" s="437"/>
      <c r="AF124" s="437"/>
      <c r="AG124" s="437"/>
      <c r="AH124" s="437"/>
      <c r="AI124" s="437"/>
      <c r="AJ124" s="437"/>
      <c r="AK124" s="437"/>
      <c r="AL124" s="437"/>
      <c r="AM124" s="338"/>
      <c r="AO124">
        <f ca="1">IF($A124="S",IF(BM!$I124=0,0,CHOOSE(MATCH(RegimeExecucao,{"Global","Unitário"},0),ROUND(ROUND(BM.MEDAcumulado,15-13*BM!$A$9)/100*BM!$I124,15-13*ORÇAMENTO!$AF$11),ROUND(ROUND(BM.MEDAcumulado,15-13*BM!$A$9)*ROUND(BM!$H124,15-13*ORÇAMENTO!$AF$10),15-13*ORÇAMENTO!$AF$11))),IF($A124=0,0,ROUND(SomaAgrupBM,15-13*ORÇAMENTO!$AF$11)))</f>
        <v>0</v>
      </c>
    </row>
    <row r="125" spans="1:41" ht="39.6" x14ac:dyDescent="0.3">
      <c r="A125" t="str">
        <f ca="1">ORÇAMENTO!C125</f>
        <v>S</v>
      </c>
      <c r="B125">
        <f ca="1">ORÇAMENTO!D125</f>
        <v>0</v>
      </c>
      <c r="C125" s="114" t="str">
        <f t="shared" ca="1" si="9"/>
        <v>F</v>
      </c>
      <c r="D125" s="117" t="str">
        <f ca="1">ORÇAMENTO!O125</f>
        <v>3.4.1.</v>
      </c>
      <c r="E125" s="163" t="str">
        <f t="shared" ca="1" si="8"/>
        <v xml:space="preserve">PINTURA DE EIXO VIÁRIO SOBRE ASFLATO COM TINTA RETRORREFLETIVA A BASE DE RESINA ACRÍLICA COM MICROESFERAS DE VIDRO, E= 10CM </v>
      </c>
      <c r="F125" s="164" t="str">
        <f ca="1">IF(RegimeExecucao="Global","",ORÇAMENTO.Unidade)</f>
        <v>M</v>
      </c>
      <c r="G125" s="122">
        <f ca="1">IF(RegimeExecucao="Global","",ORÇAMENTO!T125)</f>
        <v>201.3</v>
      </c>
      <c r="H125" s="122">
        <f ca="1">IF(RegimeExecucao="Global","",ORÇAMENTO!W125)</f>
        <v>6.37</v>
      </c>
      <c r="I125" s="125">
        <f ca="1">ORÇAMENTO!X125</f>
        <v>1282.28</v>
      </c>
      <c r="J125" s="333" t="e" cm="1">
        <f t="array" aca="1" ref="J125" ca="1">_xlfn.SINGLE(IF($A125="S",IF(CAIXA.Modo,BM.AFAnterior,BM.MEDAnterior),IF(AND(_xlfn.SINGLE(RegimeExecucao)="Global",$I125&gt;0,COUNTIF($AB$13:$AM$13,BM.medicao-1)&gt;0),M125/$I125*100,0)))</f>
        <v>#NAME?</v>
      </c>
      <c r="K125" s="122" t="e">
        <f t="shared" ca="1" si="10"/>
        <v>#NAME?</v>
      </c>
      <c r="L125" s="334" t="e" cm="1">
        <f t="array" aca="1" ref="L125" ca="1">_xlfn.SINGLE(IF($A125="S",IF(CAIXA.Modo,BM.AFAcumulado,BM.MEDAcumulado),IF(AND(_xlfn.SINGLE(RegimeExecucao)="Global",$I125&gt;0,COUNTIF($AB$13:$AM$13,BM.medicao)&gt;0),O125/$I125*100,0)))</f>
        <v>#NAME?</v>
      </c>
      <c r="M125" s="335" t="e">
        <f ca="1">IF($A125="S",VTOTALBM,IF($A125=0,0,ROUND(SomaAgrupBM,15-13*ORÇAMENTO!$AF$11)))</f>
        <v>#NAME?</v>
      </c>
      <c r="N125" s="336" t="e">
        <f t="shared" ca="1" si="11"/>
        <v>#NAME?</v>
      </c>
      <c r="O125" s="125" t="e">
        <f ca="1">IF($A125="S",VTOTALBM,IF($A125=0,0,ROUND(SomaAgrupBM,15-13*ORÇAMENTO!$AF$11)))</f>
        <v>#NAME?</v>
      </c>
      <c r="Q125" s="337"/>
      <c r="R125" s="338"/>
      <c r="T125" s="117" t="e">
        <f t="shared" ca="1" si="12"/>
        <v>#NAME?</v>
      </c>
      <c r="U125" s="163" t="e">
        <f t="shared" ca="1" si="13"/>
        <v>#NAME?</v>
      </c>
      <c r="V125" s="164" t="e">
        <f ca="1">IF(AND($W125&gt;0,RegimeExecucao="Unitário"),$F125,"")</f>
        <v>#NAME?</v>
      </c>
      <c r="W125" s="454" t="e">
        <f ca="1">IF($Y125&gt;0,CHOOSE(MATCH(RegimeExecucao,{"Unitário","Global"},0),IF($A125="S",$Y125/$X125,""),($Y125/$X125)*100),0)</f>
        <v>#NAME?</v>
      </c>
      <c r="X125" s="339" t="e">
        <f ca="1">IF($Y125&gt;0,CHOOSE(MATCH(RegimeExecucao,{"Unitário","Global"},0),IF($A125="S",ROUND($H125,ORÇAMENTO!$AF$10),""),ROUND($I125,ORÇAMENTO!$AF$11)),"")</f>
        <v>#NAME?</v>
      </c>
      <c r="Y125" s="339" t="e">
        <f t="shared" ca="1" si="14"/>
        <v>#NAME?</v>
      </c>
      <c r="Z125" s="473"/>
      <c r="AB125" s="337"/>
      <c r="AC125" s="437"/>
      <c r="AD125" s="437"/>
      <c r="AE125" s="437"/>
      <c r="AF125" s="437"/>
      <c r="AG125" s="437"/>
      <c r="AH125" s="437"/>
      <c r="AI125" s="437"/>
      <c r="AJ125" s="437"/>
      <c r="AK125" s="437"/>
      <c r="AL125" s="437"/>
      <c r="AM125" s="338"/>
      <c r="AO125">
        <f ca="1">IF($A125="S",IF(BM!$I125=0,0,CHOOSE(MATCH(RegimeExecucao,{"Global","Unitário"},0),ROUND(ROUND(BM.MEDAcumulado,15-13*BM!$A$9)/100*BM!$I125,15-13*ORÇAMENTO!$AF$11),ROUND(ROUND(BM.MEDAcumulado,15-13*BM!$A$9)*ROUND(BM!$H125,15-13*ORÇAMENTO!$AF$10),15-13*ORÇAMENTO!$AF$11))),IF($A125=0,0,ROUND(SomaAgrupBM,15-13*ORÇAMENTO!$AF$11)))</f>
        <v>0</v>
      </c>
    </row>
    <row r="126" spans="1:41" ht="13.8" x14ac:dyDescent="0.3">
      <c r="A126" t="str">
        <f ca="1">ORÇAMENTO!C126</f>
        <v>S</v>
      </c>
      <c r="B126">
        <f ca="1">ORÇAMENTO!D126</f>
        <v>0</v>
      </c>
      <c r="C126" s="114" t="str">
        <f t="shared" ca="1" si="9"/>
        <v>F</v>
      </c>
      <c r="D126" s="117" t="str">
        <f ca="1">ORÇAMENTO!O126</f>
        <v>3.4.2.</v>
      </c>
      <c r="E126" s="163" t="str">
        <f t="shared" ca="1" si="8"/>
        <v>PLACA DE ADVERTÊNCIA QUADRADA LADO 0,60M</v>
      </c>
      <c r="F126" s="164" t="str">
        <f ca="1">IF(RegimeExecucao="Global","",ORÇAMENTO.Unidade)</f>
        <v>UN</v>
      </c>
      <c r="G126" s="122">
        <f ca="1">IF(RegimeExecucao="Global","",ORÇAMENTO!T126)</f>
        <v>2</v>
      </c>
      <c r="H126" s="122">
        <f ca="1">IF(RegimeExecucao="Global","",ORÇAMENTO!W126)</f>
        <v>963.71</v>
      </c>
      <c r="I126" s="125">
        <f ca="1">ORÇAMENTO!X126</f>
        <v>1927.42</v>
      </c>
      <c r="J126" s="333" t="e" cm="1">
        <f t="array" aca="1" ref="J126" ca="1">_xlfn.SINGLE(IF($A126="S",IF(CAIXA.Modo,BM.AFAnterior,BM.MEDAnterior),IF(AND(_xlfn.SINGLE(RegimeExecucao)="Global",$I126&gt;0,COUNTIF($AB$13:$AM$13,BM.medicao-1)&gt;0),M126/$I126*100,0)))</f>
        <v>#NAME?</v>
      </c>
      <c r="K126" s="122" t="e">
        <f t="shared" ca="1" si="10"/>
        <v>#NAME?</v>
      </c>
      <c r="L126" s="334" t="e" cm="1">
        <f t="array" aca="1" ref="L126" ca="1">_xlfn.SINGLE(IF($A126="S",IF(CAIXA.Modo,BM.AFAcumulado,BM.MEDAcumulado),IF(AND(_xlfn.SINGLE(RegimeExecucao)="Global",$I126&gt;0,COUNTIF($AB$13:$AM$13,BM.medicao)&gt;0),O126/$I126*100,0)))</f>
        <v>#NAME?</v>
      </c>
      <c r="M126" s="335" t="e">
        <f ca="1">IF($A126="S",VTOTALBM,IF($A126=0,0,ROUND(SomaAgrupBM,15-13*ORÇAMENTO!$AF$11)))</f>
        <v>#NAME?</v>
      </c>
      <c r="N126" s="336" t="e">
        <f t="shared" ca="1" si="11"/>
        <v>#NAME?</v>
      </c>
      <c r="O126" s="125" t="e">
        <f ca="1">IF($A126="S",VTOTALBM,IF($A126=0,0,ROUND(SomaAgrupBM,15-13*ORÇAMENTO!$AF$11)))</f>
        <v>#NAME?</v>
      </c>
      <c r="Q126" s="337"/>
      <c r="R126" s="338"/>
      <c r="T126" s="117" t="e">
        <f t="shared" ca="1" si="12"/>
        <v>#NAME?</v>
      </c>
      <c r="U126" s="163" t="e">
        <f t="shared" ca="1" si="13"/>
        <v>#NAME?</v>
      </c>
      <c r="V126" s="164" t="e">
        <f ca="1">IF(AND($W126&gt;0,RegimeExecucao="Unitário"),$F126,"")</f>
        <v>#NAME?</v>
      </c>
      <c r="W126" s="454" t="e">
        <f ca="1">IF($Y126&gt;0,CHOOSE(MATCH(RegimeExecucao,{"Unitário","Global"},0),IF($A126="S",$Y126/$X126,""),($Y126/$X126)*100),0)</f>
        <v>#NAME?</v>
      </c>
      <c r="X126" s="339" t="e">
        <f ca="1">IF($Y126&gt;0,CHOOSE(MATCH(RegimeExecucao,{"Unitário","Global"},0),IF($A126="S",ROUND($H126,ORÇAMENTO!$AF$10),""),ROUND($I126,ORÇAMENTO!$AF$11)),"")</f>
        <v>#NAME?</v>
      </c>
      <c r="Y126" s="339" t="e">
        <f t="shared" ca="1" si="14"/>
        <v>#NAME?</v>
      </c>
      <c r="Z126" s="473"/>
      <c r="AB126" s="337"/>
      <c r="AC126" s="437"/>
      <c r="AD126" s="437"/>
      <c r="AE126" s="437"/>
      <c r="AF126" s="437"/>
      <c r="AG126" s="437"/>
      <c r="AH126" s="437"/>
      <c r="AI126" s="437"/>
      <c r="AJ126" s="437"/>
      <c r="AK126" s="437"/>
      <c r="AL126" s="437"/>
      <c r="AM126" s="338"/>
      <c r="AO126">
        <f ca="1">IF($A126="S",IF(BM!$I126=0,0,CHOOSE(MATCH(RegimeExecucao,{"Global","Unitário"},0),ROUND(ROUND(BM.MEDAcumulado,15-13*BM!$A$9)/100*BM!$I126,15-13*ORÇAMENTO!$AF$11),ROUND(ROUND(BM.MEDAcumulado,15-13*BM!$A$9)*ROUND(BM!$H126,15-13*ORÇAMENTO!$AF$10),15-13*ORÇAMENTO!$AF$11))),IF($A126=0,0,ROUND(SomaAgrupBM,15-13*ORÇAMENTO!$AF$11)))</f>
        <v>0</v>
      </c>
    </row>
    <row r="127" spans="1:41" ht="13.8" x14ac:dyDescent="0.3">
      <c r="A127" t="str">
        <f ca="1">ORÇAMENTO!C127</f>
        <v>S</v>
      </c>
      <c r="B127">
        <f ca="1">ORÇAMENTO!D127</f>
        <v>0</v>
      </c>
      <c r="C127" s="114" t="str">
        <f t="shared" ca="1" si="9"/>
        <v>F</v>
      </c>
      <c r="D127" s="117" t="str">
        <f ca="1">ORÇAMENTO!O127</f>
        <v>3.4.3.</v>
      </c>
      <c r="E127" s="163" t="str">
        <f t="shared" ca="1" si="8"/>
        <v>PLACA DE REGULAMENTAÇÃO OCTOGONAL LADO 0,25M</v>
      </c>
      <c r="F127" s="164" t="str">
        <f ca="1">IF(RegimeExecucao="Global","",ORÇAMENTO.Unidade)</f>
        <v>UN</v>
      </c>
      <c r="G127" s="122">
        <f ca="1">IF(RegimeExecucao="Global","",ORÇAMENTO!T127)</f>
        <v>1</v>
      </c>
      <c r="H127" s="122">
        <f ca="1">IF(RegimeExecucao="Global","",ORÇAMENTO!W127)</f>
        <v>902.38</v>
      </c>
      <c r="I127" s="125">
        <f ca="1">ORÇAMENTO!X127</f>
        <v>902.38</v>
      </c>
      <c r="J127" s="333" t="e" cm="1">
        <f t="array" aca="1" ref="J127" ca="1">_xlfn.SINGLE(IF($A127="S",IF(CAIXA.Modo,BM.AFAnterior,BM.MEDAnterior),IF(AND(_xlfn.SINGLE(RegimeExecucao)="Global",$I127&gt;0,COUNTIF($AB$13:$AM$13,BM.medicao-1)&gt;0),M127/$I127*100,0)))</f>
        <v>#NAME?</v>
      </c>
      <c r="K127" s="122" t="e">
        <f t="shared" ca="1" si="10"/>
        <v>#NAME?</v>
      </c>
      <c r="L127" s="334" t="e" cm="1">
        <f t="array" aca="1" ref="L127" ca="1">_xlfn.SINGLE(IF($A127="S",IF(CAIXA.Modo,BM.AFAcumulado,BM.MEDAcumulado),IF(AND(_xlfn.SINGLE(RegimeExecucao)="Global",$I127&gt;0,COUNTIF($AB$13:$AM$13,BM.medicao)&gt;0),O127/$I127*100,0)))</f>
        <v>#NAME?</v>
      </c>
      <c r="M127" s="335" t="e">
        <f ca="1">IF($A127="S",VTOTALBM,IF($A127=0,0,ROUND(SomaAgrupBM,15-13*ORÇAMENTO!$AF$11)))</f>
        <v>#NAME?</v>
      </c>
      <c r="N127" s="336" t="e">
        <f t="shared" ca="1" si="11"/>
        <v>#NAME?</v>
      </c>
      <c r="O127" s="125" t="e">
        <f ca="1">IF($A127="S",VTOTALBM,IF($A127=0,0,ROUND(SomaAgrupBM,15-13*ORÇAMENTO!$AF$11)))</f>
        <v>#NAME?</v>
      </c>
      <c r="Q127" s="337"/>
      <c r="R127" s="338"/>
      <c r="T127" s="117" t="e">
        <f t="shared" ca="1" si="12"/>
        <v>#NAME?</v>
      </c>
      <c r="U127" s="163" t="e">
        <f t="shared" ca="1" si="13"/>
        <v>#NAME?</v>
      </c>
      <c r="V127" s="164" t="e">
        <f ca="1">IF(AND($W127&gt;0,RegimeExecucao="Unitário"),$F127,"")</f>
        <v>#NAME?</v>
      </c>
      <c r="W127" s="454" t="e">
        <f ca="1">IF($Y127&gt;0,CHOOSE(MATCH(RegimeExecucao,{"Unitário","Global"},0),IF($A127="S",$Y127/$X127,""),($Y127/$X127)*100),0)</f>
        <v>#NAME?</v>
      </c>
      <c r="X127" s="339" t="e">
        <f ca="1">IF($Y127&gt;0,CHOOSE(MATCH(RegimeExecucao,{"Unitário","Global"},0),IF($A127="S",ROUND($H127,ORÇAMENTO!$AF$10),""),ROUND($I127,ORÇAMENTO!$AF$11)),"")</f>
        <v>#NAME?</v>
      </c>
      <c r="Y127" s="339" t="e">
        <f t="shared" ca="1" si="14"/>
        <v>#NAME?</v>
      </c>
      <c r="Z127" s="473"/>
      <c r="AB127" s="337"/>
      <c r="AC127" s="437"/>
      <c r="AD127" s="437"/>
      <c r="AE127" s="437"/>
      <c r="AF127" s="437"/>
      <c r="AG127" s="437"/>
      <c r="AH127" s="437"/>
      <c r="AI127" s="437"/>
      <c r="AJ127" s="437"/>
      <c r="AK127" s="437"/>
      <c r="AL127" s="437"/>
      <c r="AM127" s="338"/>
      <c r="AO127">
        <f ca="1">IF($A127="S",IF(BM!$I127=0,0,CHOOSE(MATCH(RegimeExecucao,{"Global","Unitário"},0),ROUND(ROUND(BM.MEDAcumulado,15-13*BM!$A$9)/100*BM!$I127,15-13*ORÇAMENTO!$AF$11),ROUND(ROUND(BM.MEDAcumulado,15-13*BM!$A$9)*ROUND(BM!$H127,15-13*ORÇAMENTO!$AF$10),15-13*ORÇAMENTO!$AF$11))),IF($A127=0,0,ROUND(SomaAgrupBM,15-13*ORÇAMENTO!$AF$11)))</f>
        <v>0</v>
      </c>
    </row>
    <row r="128" spans="1:41" ht="13.8" x14ac:dyDescent="0.3">
      <c r="A128">
        <f ca="1">ORÇAMENTO!C128</f>
        <v>2</v>
      </c>
      <c r="B128">
        <f ca="1">ORÇAMENTO!D128</f>
        <v>5</v>
      </c>
      <c r="C128" s="114" t="str">
        <f t="shared" ca="1" si="9"/>
        <v>F</v>
      </c>
      <c r="D128" s="117" t="str">
        <f ca="1">ORÇAMENTO!O128</f>
        <v>3.5.</v>
      </c>
      <c r="E128" s="163" t="str">
        <f t="shared" si="8"/>
        <v>ENSAIOS</v>
      </c>
      <c r="F128" s="164" t="str">
        <f ca="1">IF(RegimeExecucao="Global","",ORÇAMENTO.Unidade)</f>
        <v>-</v>
      </c>
      <c r="G128" s="122">
        <f ca="1">IF(RegimeExecucao="Global","",ORÇAMENTO!T128)</f>
        <v>0</v>
      </c>
      <c r="H128" s="122">
        <f ca="1">IF(RegimeExecucao="Global","",ORÇAMENTO!W128)</f>
        <v>0</v>
      </c>
      <c r="I128" s="125">
        <f ca="1">ORÇAMENTO!X128</f>
        <v>1131.9100000000001</v>
      </c>
      <c r="J128" s="333" t="e" cm="1">
        <f t="array" aca="1" ref="J128" ca="1">_xlfn.SINGLE(IF($A128="S",IF(CAIXA.Modo,BM.AFAnterior,BM.MEDAnterior),IF(AND(_xlfn.SINGLE(RegimeExecucao)="Global",$I128&gt;0,COUNTIF($AB$13:$AM$13,BM.medicao-1)&gt;0),M128/$I128*100,0)))</f>
        <v>#NAME?</v>
      </c>
      <c r="K128" s="122" t="e">
        <f t="shared" ca="1" si="10"/>
        <v>#NAME?</v>
      </c>
      <c r="L128" s="334" t="e" cm="1">
        <f t="array" aca="1" ref="L128" ca="1">_xlfn.SINGLE(IF($A128="S",IF(CAIXA.Modo,BM.AFAcumulado,BM.MEDAcumulado),IF(AND(_xlfn.SINGLE(RegimeExecucao)="Global",$I128&gt;0,COUNTIF($AB$13:$AM$13,BM.medicao)&gt;0),O128/$I128*100,0)))</f>
        <v>#NAME?</v>
      </c>
      <c r="M128" s="335" t="e">
        <f ca="1">IF($A128="S",VTOTALBM,IF($A128=0,0,ROUND(SomaAgrupBM,15-13*ORÇAMENTO!$AF$11)))</f>
        <v>#NAME?</v>
      </c>
      <c r="N128" s="336" t="e">
        <f t="shared" ca="1" si="11"/>
        <v>#NAME?</v>
      </c>
      <c r="O128" s="125" t="e">
        <f ca="1">IF($A128="S",VTOTALBM,IF($A128=0,0,ROUND(SomaAgrupBM,15-13*ORÇAMENTO!$AF$11)))</f>
        <v>#NAME?</v>
      </c>
      <c r="Q128" s="337"/>
      <c r="R128" s="338"/>
      <c r="T128" s="117" t="e">
        <f t="shared" ca="1" si="12"/>
        <v>#NAME?</v>
      </c>
      <c r="U128" s="163" t="e">
        <f t="shared" ca="1" si="13"/>
        <v>#NAME?</v>
      </c>
      <c r="V128" s="164" t="e">
        <f ca="1">IF(AND($W128&gt;0,RegimeExecucao="Unitário"),$F128,"")</f>
        <v>#NAME?</v>
      </c>
      <c r="W128" s="454" t="e">
        <f ca="1">IF($Y128&gt;0,CHOOSE(MATCH(RegimeExecucao,{"Unitário","Global"},0),IF($A128="S",$Y128/$X128,""),($Y128/$X128)*100),0)</f>
        <v>#NAME?</v>
      </c>
      <c r="X128" s="339" t="e">
        <f ca="1">IF($Y128&gt;0,CHOOSE(MATCH(RegimeExecucao,{"Unitário","Global"},0),IF($A128="S",ROUND($H128,ORÇAMENTO!$AF$10),""),ROUND($I128,ORÇAMENTO!$AF$11)),"")</f>
        <v>#NAME?</v>
      </c>
      <c r="Y128" s="339" t="e">
        <f t="shared" ca="1" si="14"/>
        <v>#NAME?</v>
      </c>
      <c r="Z128" s="473"/>
      <c r="AB128" s="337"/>
      <c r="AC128" s="437"/>
      <c r="AD128" s="437"/>
      <c r="AE128" s="437"/>
      <c r="AF128" s="437"/>
      <c r="AG128" s="437"/>
      <c r="AH128" s="437"/>
      <c r="AI128" s="437"/>
      <c r="AJ128" s="437"/>
      <c r="AK128" s="437"/>
      <c r="AL128" s="437"/>
      <c r="AM128" s="338"/>
      <c r="AO128">
        <f ca="1">IF($A128="S",IF(BM!$I128=0,0,CHOOSE(MATCH(RegimeExecucao,{"Global","Unitário"},0),ROUND(ROUND(BM.MEDAcumulado,15-13*BM!$A$9)/100*BM!$I128,15-13*ORÇAMENTO!$AF$11),ROUND(ROUND(BM.MEDAcumulado,15-13*BM!$A$9)*ROUND(BM!$H128,15-13*ORÇAMENTO!$AF$10),15-13*ORÇAMENTO!$AF$11))),IF($A128=0,0,ROUND(SomaAgrupBM,15-13*ORÇAMENTO!$AF$11)))</f>
        <v>0</v>
      </c>
    </row>
    <row r="129" spans="1:41" ht="26.4" x14ac:dyDescent="0.3">
      <c r="A129" t="str">
        <f ca="1">ORÇAMENTO!C129</f>
        <v>S</v>
      </c>
      <c r="B129">
        <f ca="1">ORÇAMENTO!D129</f>
        <v>0</v>
      </c>
      <c r="C129" s="114" t="str">
        <f t="shared" ca="1" si="9"/>
        <v>F</v>
      </c>
      <c r="D129" s="117" t="str">
        <f ca="1">ORÇAMENTO!O129</f>
        <v>3.5.1.</v>
      </c>
      <c r="E129" s="163" t="str">
        <f t="shared" ca="1" si="8"/>
        <v>ENSAIO DE DETERMINAÇÃO DO TEOR DE BETUME - SOXHLET - CIMENTO ASFALTICO DE PETROLEO</v>
      </c>
      <c r="F129" s="164" t="str">
        <f ca="1">IF(RegimeExecucao="Global","",ORÇAMENTO.Unidade)</f>
        <v>UN</v>
      </c>
      <c r="G129" s="122">
        <f ca="1">IF(RegimeExecucao="Global","",ORÇAMENTO!T129)</f>
        <v>1</v>
      </c>
      <c r="H129" s="122">
        <f ca="1">IF(RegimeExecucao="Global","",ORÇAMENTO!W129)</f>
        <v>260.79000000000002</v>
      </c>
      <c r="I129" s="125">
        <f ca="1">ORÇAMENTO!X129</f>
        <v>260.79000000000002</v>
      </c>
      <c r="J129" s="333" t="e" cm="1">
        <f t="array" aca="1" ref="J129" ca="1">_xlfn.SINGLE(IF($A129="S",IF(CAIXA.Modo,BM.AFAnterior,BM.MEDAnterior),IF(AND(_xlfn.SINGLE(RegimeExecucao)="Global",$I129&gt;0,COUNTIF($AB$13:$AM$13,BM.medicao-1)&gt;0),M129/$I129*100,0)))</f>
        <v>#NAME?</v>
      </c>
      <c r="K129" s="122" t="e">
        <f t="shared" ca="1" si="10"/>
        <v>#NAME?</v>
      </c>
      <c r="L129" s="334" t="e" cm="1">
        <f t="array" aca="1" ref="L129" ca="1">_xlfn.SINGLE(IF($A129="S",IF(CAIXA.Modo,BM.AFAcumulado,BM.MEDAcumulado),IF(AND(_xlfn.SINGLE(RegimeExecucao)="Global",$I129&gt;0,COUNTIF($AB$13:$AM$13,BM.medicao)&gt;0),O129/$I129*100,0)))</f>
        <v>#NAME?</v>
      </c>
      <c r="M129" s="335" t="e">
        <f ca="1">IF($A129="S",VTOTALBM,IF($A129=0,0,ROUND(SomaAgrupBM,15-13*ORÇAMENTO!$AF$11)))</f>
        <v>#NAME?</v>
      </c>
      <c r="N129" s="336" t="e">
        <f t="shared" ca="1" si="11"/>
        <v>#NAME?</v>
      </c>
      <c r="O129" s="125" t="e">
        <f ca="1">IF($A129="S",VTOTALBM,IF($A129=0,0,ROUND(SomaAgrupBM,15-13*ORÇAMENTO!$AF$11)))</f>
        <v>#NAME?</v>
      </c>
      <c r="Q129" s="337"/>
      <c r="R129" s="338"/>
      <c r="T129" s="117" t="e">
        <f t="shared" ca="1" si="12"/>
        <v>#NAME?</v>
      </c>
      <c r="U129" s="163" t="e">
        <f t="shared" ca="1" si="13"/>
        <v>#NAME?</v>
      </c>
      <c r="V129" s="164" t="e">
        <f ca="1">IF(AND($W129&gt;0,RegimeExecucao="Unitário"),$F129,"")</f>
        <v>#NAME?</v>
      </c>
      <c r="W129" s="454" t="e">
        <f ca="1">IF($Y129&gt;0,CHOOSE(MATCH(RegimeExecucao,{"Unitário","Global"},0),IF($A129="S",$Y129/$X129,""),($Y129/$X129)*100),0)</f>
        <v>#NAME?</v>
      </c>
      <c r="X129" s="339" t="e">
        <f ca="1">IF($Y129&gt;0,CHOOSE(MATCH(RegimeExecucao,{"Unitário","Global"},0),IF($A129="S",ROUND($H129,ORÇAMENTO!$AF$10),""),ROUND($I129,ORÇAMENTO!$AF$11)),"")</f>
        <v>#NAME?</v>
      </c>
      <c r="Y129" s="339" t="e">
        <f t="shared" ca="1" si="14"/>
        <v>#NAME?</v>
      </c>
      <c r="Z129" s="473"/>
      <c r="AB129" s="337"/>
      <c r="AC129" s="437"/>
      <c r="AD129" s="437"/>
      <c r="AE129" s="437"/>
      <c r="AF129" s="437"/>
      <c r="AG129" s="437"/>
      <c r="AH129" s="437"/>
      <c r="AI129" s="437"/>
      <c r="AJ129" s="437"/>
      <c r="AK129" s="437"/>
      <c r="AL129" s="437"/>
      <c r="AM129" s="338"/>
      <c r="AO129">
        <f ca="1">IF($A129="S",IF(BM!$I129=0,0,CHOOSE(MATCH(RegimeExecucao,{"Global","Unitário"},0),ROUND(ROUND(BM.MEDAcumulado,15-13*BM!$A$9)/100*BM!$I129,15-13*ORÇAMENTO!$AF$11),ROUND(ROUND(BM.MEDAcumulado,15-13*BM!$A$9)*ROUND(BM!$H129,15-13*ORÇAMENTO!$AF$10),15-13*ORÇAMENTO!$AF$11))),IF($A129=0,0,ROUND(SomaAgrupBM,15-13*ORÇAMENTO!$AF$11)))</f>
        <v>0</v>
      </c>
    </row>
    <row r="130" spans="1:41" ht="13.8" x14ac:dyDescent="0.3">
      <c r="A130" t="str">
        <f ca="1">ORÇAMENTO!C130</f>
        <v>S</v>
      </c>
      <c r="B130">
        <f ca="1">ORÇAMENTO!D130</f>
        <v>0</v>
      </c>
      <c r="C130" s="114" t="str">
        <f t="shared" ca="1" si="9"/>
        <v>F</v>
      </c>
      <c r="D130" s="117" t="str">
        <f ca="1">ORÇAMENTO!O130</f>
        <v>3.5.2.</v>
      </c>
      <c r="E130" s="163" t="str">
        <f t="shared" ca="1" si="8"/>
        <v xml:space="preserve">ENSAIO MARSHALL - MISTURA BETUMINOSA À QUENTE </v>
      </c>
      <c r="F130" s="164" t="str">
        <f ca="1">IF(RegimeExecucao="Global","",ORÇAMENTO.Unidade)</f>
        <v>UN</v>
      </c>
      <c r="G130" s="122">
        <f ca="1">IF(RegimeExecucao="Global","",ORÇAMENTO!T130)</f>
        <v>1</v>
      </c>
      <c r="H130" s="122">
        <f ca="1">IF(RegimeExecucao="Global","",ORÇAMENTO!W130)</f>
        <v>521.61</v>
      </c>
      <c r="I130" s="125">
        <f ca="1">ORÇAMENTO!X130</f>
        <v>521.61</v>
      </c>
      <c r="J130" s="333" t="e" cm="1">
        <f t="array" aca="1" ref="J130" ca="1">_xlfn.SINGLE(IF($A130="S",IF(CAIXA.Modo,BM.AFAnterior,BM.MEDAnterior),IF(AND(_xlfn.SINGLE(RegimeExecucao)="Global",$I130&gt;0,COUNTIF($AB$13:$AM$13,BM.medicao-1)&gt;0),M130/$I130*100,0)))</f>
        <v>#NAME?</v>
      </c>
      <c r="K130" s="122" t="e">
        <f t="shared" ca="1" si="10"/>
        <v>#NAME?</v>
      </c>
      <c r="L130" s="334" t="e" cm="1">
        <f t="array" aca="1" ref="L130" ca="1">_xlfn.SINGLE(IF($A130="S",IF(CAIXA.Modo,BM.AFAcumulado,BM.MEDAcumulado),IF(AND(_xlfn.SINGLE(RegimeExecucao)="Global",$I130&gt;0,COUNTIF($AB$13:$AM$13,BM.medicao)&gt;0),O130/$I130*100,0)))</f>
        <v>#NAME?</v>
      </c>
      <c r="M130" s="335" t="e">
        <f ca="1">IF($A130="S",VTOTALBM,IF($A130=0,0,ROUND(SomaAgrupBM,15-13*ORÇAMENTO!$AF$11)))</f>
        <v>#NAME?</v>
      </c>
      <c r="N130" s="336" t="e">
        <f t="shared" ca="1" si="11"/>
        <v>#NAME?</v>
      </c>
      <c r="O130" s="125" t="e">
        <f ca="1">IF($A130="S",VTOTALBM,IF($A130=0,0,ROUND(SomaAgrupBM,15-13*ORÇAMENTO!$AF$11)))</f>
        <v>#NAME?</v>
      </c>
      <c r="Q130" s="337"/>
      <c r="R130" s="338"/>
      <c r="T130" s="117" t="e">
        <f t="shared" ca="1" si="12"/>
        <v>#NAME?</v>
      </c>
      <c r="U130" s="163" t="e">
        <f t="shared" ca="1" si="13"/>
        <v>#NAME?</v>
      </c>
      <c r="V130" s="164" t="e">
        <f ca="1">IF(AND($W130&gt;0,RegimeExecucao="Unitário"),$F130,"")</f>
        <v>#NAME?</v>
      </c>
      <c r="W130" s="454" t="e">
        <f ca="1">IF($Y130&gt;0,CHOOSE(MATCH(RegimeExecucao,{"Unitário","Global"},0),IF($A130="S",$Y130/$X130,""),($Y130/$X130)*100),0)</f>
        <v>#NAME?</v>
      </c>
      <c r="X130" s="339" t="e">
        <f ca="1">IF($Y130&gt;0,CHOOSE(MATCH(RegimeExecucao,{"Unitário","Global"},0),IF($A130="S",ROUND($H130,ORÇAMENTO!$AF$10),""),ROUND($I130,ORÇAMENTO!$AF$11)),"")</f>
        <v>#NAME?</v>
      </c>
      <c r="Y130" s="339" t="e">
        <f t="shared" ca="1" si="14"/>
        <v>#NAME?</v>
      </c>
      <c r="Z130" s="473"/>
      <c r="AB130" s="337"/>
      <c r="AC130" s="437"/>
      <c r="AD130" s="437"/>
      <c r="AE130" s="437"/>
      <c r="AF130" s="437"/>
      <c r="AG130" s="437"/>
      <c r="AH130" s="437"/>
      <c r="AI130" s="437"/>
      <c r="AJ130" s="437"/>
      <c r="AK130" s="437"/>
      <c r="AL130" s="437"/>
      <c r="AM130" s="338"/>
      <c r="AO130">
        <f ca="1">IF($A130="S",IF(BM!$I130=0,0,CHOOSE(MATCH(RegimeExecucao,{"Global","Unitário"},0),ROUND(ROUND(BM.MEDAcumulado,15-13*BM!$A$9)/100*BM!$I130,15-13*ORÇAMENTO!$AF$11),ROUND(ROUND(BM.MEDAcumulado,15-13*BM!$A$9)*ROUND(BM!$H130,15-13*ORÇAMENTO!$AF$10),15-13*ORÇAMENTO!$AF$11))),IF($A130=0,0,ROUND(SomaAgrupBM,15-13*ORÇAMENTO!$AF$11)))</f>
        <v>0</v>
      </c>
    </row>
    <row r="131" spans="1:41" ht="39.6" x14ac:dyDescent="0.3">
      <c r="A131" t="str">
        <f ca="1">ORÇAMENTO!C131</f>
        <v>S</v>
      </c>
      <c r="B131">
        <f ca="1">ORÇAMENTO!D131</f>
        <v>0</v>
      </c>
      <c r="C131" s="114" t="str">
        <f t="shared" ca="1" si="9"/>
        <v>F</v>
      </c>
      <c r="D131" s="117" t="str">
        <f ca="1">ORÇAMENTO!O131</f>
        <v>3.5.3.</v>
      </c>
      <c r="E131" s="163" t="str">
        <f t="shared" ca="1" si="8"/>
        <v xml:space="preserve">ENSAIO DE CONTROLE DO GRAU DE COMPACTAÇÃO, DENSIDADE E ESPESSURA DA MASSA ASFÁLTICA COM COLETA ATRAVÉS DE SONDA ROTATIVA </v>
      </c>
      <c r="F131" s="164" t="str">
        <f ca="1">IF(RegimeExecucao="Global","",ORÇAMENTO.Unidade)</f>
        <v>UN</v>
      </c>
      <c r="G131" s="122">
        <f ca="1">IF(RegimeExecucao="Global","",ORÇAMENTO!T131)</f>
        <v>1</v>
      </c>
      <c r="H131" s="122">
        <f ca="1">IF(RegimeExecucao="Global","",ORÇAMENTO!W131)</f>
        <v>136.72999999999999</v>
      </c>
      <c r="I131" s="125">
        <f ca="1">ORÇAMENTO!X131</f>
        <v>136.72999999999999</v>
      </c>
      <c r="J131" s="333" t="e" cm="1">
        <f t="array" aca="1" ref="J131" ca="1">_xlfn.SINGLE(IF($A131="S",IF(CAIXA.Modo,BM.AFAnterior,BM.MEDAnterior),IF(AND(_xlfn.SINGLE(RegimeExecucao)="Global",$I131&gt;0,COUNTIF($AB$13:$AM$13,BM.medicao-1)&gt;0),M131/$I131*100,0)))</f>
        <v>#NAME?</v>
      </c>
      <c r="K131" s="122" t="e">
        <f t="shared" ca="1" si="10"/>
        <v>#NAME?</v>
      </c>
      <c r="L131" s="334" t="e" cm="1">
        <f t="array" aca="1" ref="L131" ca="1">_xlfn.SINGLE(IF($A131="S",IF(CAIXA.Modo,BM.AFAcumulado,BM.MEDAcumulado),IF(AND(_xlfn.SINGLE(RegimeExecucao)="Global",$I131&gt;0,COUNTIF($AB$13:$AM$13,BM.medicao)&gt;0),O131/$I131*100,0)))</f>
        <v>#NAME?</v>
      </c>
      <c r="M131" s="335" t="e">
        <f ca="1">IF($A131="S",VTOTALBM,IF($A131=0,0,ROUND(SomaAgrupBM,15-13*ORÇAMENTO!$AF$11)))</f>
        <v>#NAME?</v>
      </c>
      <c r="N131" s="336" t="e">
        <f t="shared" ca="1" si="11"/>
        <v>#NAME?</v>
      </c>
      <c r="O131" s="125" t="e">
        <f ca="1">IF($A131="S",VTOTALBM,IF($A131=0,0,ROUND(SomaAgrupBM,15-13*ORÇAMENTO!$AF$11)))</f>
        <v>#NAME?</v>
      </c>
      <c r="Q131" s="337"/>
      <c r="R131" s="338"/>
      <c r="T131" s="117" t="e">
        <f t="shared" ca="1" si="12"/>
        <v>#NAME?</v>
      </c>
      <c r="U131" s="163" t="e">
        <f t="shared" ca="1" si="13"/>
        <v>#NAME?</v>
      </c>
      <c r="V131" s="164" t="e">
        <f ca="1">IF(AND($W131&gt;0,RegimeExecucao="Unitário"),$F131,"")</f>
        <v>#NAME?</v>
      </c>
      <c r="W131" s="454" t="e">
        <f ca="1">IF($Y131&gt;0,CHOOSE(MATCH(RegimeExecucao,{"Unitário","Global"},0),IF($A131="S",$Y131/$X131,""),($Y131/$X131)*100),0)</f>
        <v>#NAME?</v>
      </c>
      <c r="X131" s="339" t="e">
        <f ca="1">IF($Y131&gt;0,CHOOSE(MATCH(RegimeExecucao,{"Unitário","Global"},0),IF($A131="S",ROUND($H131,ORÇAMENTO!$AF$10),""),ROUND($I131,ORÇAMENTO!$AF$11)),"")</f>
        <v>#NAME?</v>
      </c>
      <c r="Y131" s="339" t="e">
        <f t="shared" ca="1" si="14"/>
        <v>#NAME?</v>
      </c>
      <c r="Z131" s="473"/>
      <c r="AB131" s="337"/>
      <c r="AC131" s="437"/>
      <c r="AD131" s="437"/>
      <c r="AE131" s="437"/>
      <c r="AF131" s="437"/>
      <c r="AG131" s="437"/>
      <c r="AH131" s="437"/>
      <c r="AI131" s="437"/>
      <c r="AJ131" s="437"/>
      <c r="AK131" s="437"/>
      <c r="AL131" s="437"/>
      <c r="AM131" s="338"/>
      <c r="AO131">
        <f ca="1">IF($A131="S",IF(BM!$I131=0,0,CHOOSE(MATCH(RegimeExecucao,{"Global","Unitário"},0),ROUND(ROUND(BM.MEDAcumulado,15-13*BM!$A$9)/100*BM!$I131,15-13*ORÇAMENTO!$AF$11),ROUND(ROUND(BM.MEDAcumulado,15-13*BM!$A$9)*ROUND(BM!$H131,15-13*ORÇAMENTO!$AF$10),15-13*ORÇAMENTO!$AF$11))),IF($A131=0,0,ROUND(SomaAgrupBM,15-13*ORÇAMENTO!$AF$11)))</f>
        <v>0</v>
      </c>
    </row>
    <row r="132" spans="1:41" ht="13.8" x14ac:dyDescent="0.3">
      <c r="A132" t="str">
        <f ca="1">ORÇAMENTO!C132</f>
        <v>S</v>
      </c>
      <c r="B132">
        <f ca="1">ORÇAMENTO!D132</f>
        <v>0</v>
      </c>
      <c r="C132" s="114" t="str">
        <f t="shared" ca="1" si="9"/>
        <v>F</v>
      </c>
      <c r="D132" s="117" t="str">
        <f ca="1">ORÇAMENTO!O132</f>
        <v>3.5.4.</v>
      </c>
      <c r="E132" s="163" t="str">
        <f t="shared" ca="1" si="8"/>
        <v xml:space="preserve">ENSAIO BANDEJA DO LIGANTE DE PINTURA </v>
      </c>
      <c r="F132" s="164" t="str">
        <f ca="1">IF(RegimeExecucao="Global","",ORÇAMENTO.Unidade)</f>
        <v>UN</v>
      </c>
      <c r="G132" s="122">
        <f ca="1">IF(RegimeExecucao="Global","",ORÇAMENTO!T132)</f>
        <v>1</v>
      </c>
      <c r="H132" s="122">
        <f ca="1">IF(RegimeExecucao="Global","",ORÇAMENTO!W132)</f>
        <v>212.78</v>
      </c>
      <c r="I132" s="125">
        <f ca="1">ORÇAMENTO!X132</f>
        <v>212.78</v>
      </c>
      <c r="J132" s="333" t="e" cm="1">
        <f t="array" aca="1" ref="J132" ca="1">_xlfn.SINGLE(IF($A132="S",IF(CAIXA.Modo,BM.AFAnterior,BM.MEDAnterior),IF(AND(_xlfn.SINGLE(RegimeExecucao)="Global",$I132&gt;0,COUNTIF($AB$13:$AM$13,BM.medicao-1)&gt;0),M132/$I132*100,0)))</f>
        <v>#NAME?</v>
      </c>
      <c r="K132" s="122" t="e">
        <f t="shared" ca="1" si="10"/>
        <v>#NAME?</v>
      </c>
      <c r="L132" s="334" t="e" cm="1">
        <f t="array" aca="1" ref="L132" ca="1">_xlfn.SINGLE(IF($A132="S",IF(CAIXA.Modo,BM.AFAcumulado,BM.MEDAcumulado),IF(AND(_xlfn.SINGLE(RegimeExecucao)="Global",$I132&gt;0,COUNTIF($AB$13:$AM$13,BM.medicao)&gt;0),O132/$I132*100,0)))</f>
        <v>#NAME?</v>
      </c>
      <c r="M132" s="335" t="e">
        <f ca="1">IF($A132="S",VTOTALBM,IF($A132=0,0,ROUND(SomaAgrupBM,15-13*ORÇAMENTO!$AF$11)))</f>
        <v>#NAME?</v>
      </c>
      <c r="N132" s="336" t="e">
        <f t="shared" ca="1" si="11"/>
        <v>#NAME?</v>
      </c>
      <c r="O132" s="125" t="e">
        <f ca="1">IF($A132="S",VTOTALBM,IF($A132=0,0,ROUND(SomaAgrupBM,15-13*ORÇAMENTO!$AF$11)))</f>
        <v>#NAME?</v>
      </c>
      <c r="Q132" s="337"/>
      <c r="R132" s="338"/>
      <c r="T132" s="117" t="e">
        <f t="shared" ca="1" si="12"/>
        <v>#NAME?</v>
      </c>
      <c r="U132" s="163" t="e">
        <f t="shared" ca="1" si="13"/>
        <v>#NAME?</v>
      </c>
      <c r="V132" s="164" t="e">
        <f ca="1">IF(AND($W132&gt;0,RegimeExecucao="Unitário"),$F132,"")</f>
        <v>#NAME?</v>
      </c>
      <c r="W132" s="454" t="e">
        <f ca="1">IF($Y132&gt;0,CHOOSE(MATCH(RegimeExecucao,{"Unitário","Global"},0),IF($A132="S",$Y132/$X132,""),($Y132/$X132)*100),0)</f>
        <v>#NAME?</v>
      </c>
      <c r="X132" s="339" t="e">
        <f ca="1">IF($Y132&gt;0,CHOOSE(MATCH(RegimeExecucao,{"Unitário","Global"},0),IF($A132="S",ROUND($H132,ORÇAMENTO!$AF$10),""),ROUND($I132,ORÇAMENTO!$AF$11)),"")</f>
        <v>#NAME?</v>
      </c>
      <c r="Y132" s="339" t="e">
        <f t="shared" ca="1" si="14"/>
        <v>#NAME?</v>
      </c>
      <c r="Z132" s="473"/>
      <c r="AB132" s="337"/>
      <c r="AC132" s="437"/>
      <c r="AD132" s="437"/>
      <c r="AE132" s="437"/>
      <c r="AF132" s="437"/>
      <c r="AG132" s="437"/>
      <c r="AH132" s="437"/>
      <c r="AI132" s="437"/>
      <c r="AJ132" s="437"/>
      <c r="AK132" s="437"/>
      <c r="AL132" s="437"/>
      <c r="AM132" s="338"/>
      <c r="AO132">
        <f ca="1">IF($A132="S",IF(BM!$I132=0,0,CHOOSE(MATCH(RegimeExecucao,{"Global","Unitário"},0),ROUND(ROUND(BM.MEDAcumulado,15-13*BM!$A$9)/100*BM!$I132,15-13*ORÇAMENTO!$AF$11),ROUND(ROUND(BM.MEDAcumulado,15-13*BM!$A$9)*ROUND(BM!$H132,15-13*ORÇAMENTO!$AF$10),15-13*ORÇAMENTO!$AF$11))),IF($A132=0,0,ROUND(SomaAgrupBM,15-13*ORÇAMENTO!$AF$11)))</f>
        <v>0</v>
      </c>
    </row>
    <row r="133" spans="1:41" ht="13.8" x14ac:dyDescent="0.3">
      <c r="A133">
        <f ca="1">ORÇAMENTO!C133</f>
        <v>1</v>
      </c>
      <c r="B133">
        <f ca="1">ORÇAMENTO!D133</f>
        <v>32</v>
      </c>
      <c r="C133" s="114" t="str">
        <f t="shared" ca="1" si="9"/>
        <v>F</v>
      </c>
      <c r="D133" s="117" t="str">
        <f ca="1">ORÇAMENTO!O133</f>
        <v>4.</v>
      </c>
      <c r="E133" s="163" t="str">
        <f t="shared" si="8"/>
        <v>DISTRITO IND. MÁRIO ZANDONÁ (Trecho 5)</v>
      </c>
      <c r="F133" s="164" t="str">
        <f ca="1">IF(RegimeExecucao="Global","",ORÇAMENTO.Unidade)</f>
        <v>-</v>
      </c>
      <c r="G133" s="122">
        <f ca="1">IF(RegimeExecucao="Global","",ORÇAMENTO!T133)</f>
        <v>0</v>
      </c>
      <c r="H133" s="122">
        <f ca="1">IF(RegimeExecucao="Global","",ORÇAMENTO!W133)</f>
        <v>0</v>
      </c>
      <c r="I133" s="125">
        <f ca="1">ORÇAMENTO!X133</f>
        <v>404585.45</v>
      </c>
      <c r="J133" s="333" t="e" cm="1">
        <f t="array" aca="1" ref="J133" ca="1">_xlfn.SINGLE(IF($A133="S",IF(CAIXA.Modo,BM.AFAnterior,BM.MEDAnterior),IF(AND(_xlfn.SINGLE(RegimeExecucao)="Global",$I133&gt;0,COUNTIF($AB$13:$AM$13,BM.medicao-1)&gt;0),M133/$I133*100,0)))</f>
        <v>#NAME?</v>
      </c>
      <c r="K133" s="122" t="e">
        <f t="shared" ca="1" si="10"/>
        <v>#NAME?</v>
      </c>
      <c r="L133" s="334" t="e" cm="1">
        <f t="array" aca="1" ref="L133" ca="1">_xlfn.SINGLE(IF($A133="S",IF(CAIXA.Modo,BM.AFAcumulado,BM.MEDAcumulado),IF(AND(_xlfn.SINGLE(RegimeExecucao)="Global",$I133&gt;0,COUNTIF($AB$13:$AM$13,BM.medicao)&gt;0),O133/$I133*100,0)))</f>
        <v>#NAME?</v>
      </c>
      <c r="M133" s="335" t="e">
        <f ca="1">IF($A133="S",VTOTALBM,IF($A133=0,0,ROUND(SomaAgrupBM,15-13*ORÇAMENTO!$AF$11)))</f>
        <v>#NAME?</v>
      </c>
      <c r="N133" s="336" t="e">
        <f t="shared" ca="1" si="11"/>
        <v>#NAME?</v>
      </c>
      <c r="O133" s="125" t="e">
        <f ca="1">IF($A133="S",VTOTALBM,IF($A133=0,0,ROUND(SomaAgrupBM,15-13*ORÇAMENTO!$AF$11)))</f>
        <v>#NAME?</v>
      </c>
      <c r="Q133" s="337"/>
      <c r="R133" s="338"/>
      <c r="T133" s="117" t="e">
        <f t="shared" ca="1" si="12"/>
        <v>#NAME?</v>
      </c>
      <c r="U133" s="163" t="e">
        <f t="shared" ca="1" si="13"/>
        <v>#NAME?</v>
      </c>
      <c r="V133" s="164" t="e">
        <f ca="1">IF(AND($W133&gt;0,RegimeExecucao="Unitário"),$F133,"")</f>
        <v>#NAME?</v>
      </c>
      <c r="W133" s="454" t="e">
        <f ca="1">IF($Y133&gt;0,CHOOSE(MATCH(RegimeExecucao,{"Unitário","Global"},0),IF($A133="S",$Y133/$X133,""),($Y133/$X133)*100),0)</f>
        <v>#NAME?</v>
      </c>
      <c r="X133" s="339" t="e">
        <f ca="1">IF($Y133&gt;0,CHOOSE(MATCH(RegimeExecucao,{"Unitário","Global"},0),IF($A133="S",ROUND($H133,ORÇAMENTO!$AF$10),""),ROUND($I133,ORÇAMENTO!$AF$11)),"")</f>
        <v>#NAME?</v>
      </c>
      <c r="Y133" s="339" t="e">
        <f t="shared" ca="1" si="14"/>
        <v>#NAME?</v>
      </c>
      <c r="Z133" s="473"/>
      <c r="AB133" s="337"/>
      <c r="AC133" s="437"/>
      <c r="AD133" s="437"/>
      <c r="AE133" s="437"/>
      <c r="AF133" s="437"/>
      <c r="AG133" s="437"/>
      <c r="AH133" s="437"/>
      <c r="AI133" s="437"/>
      <c r="AJ133" s="437"/>
      <c r="AK133" s="437"/>
      <c r="AL133" s="437"/>
      <c r="AM133" s="338"/>
      <c r="AO133">
        <f ca="1">IF($A133="S",IF(BM!$I133=0,0,CHOOSE(MATCH(RegimeExecucao,{"Global","Unitário"},0),ROUND(ROUND(BM.MEDAcumulado,15-13*BM!$A$9)/100*BM!$I133,15-13*ORÇAMENTO!$AF$11),ROUND(ROUND(BM.MEDAcumulado,15-13*BM!$A$9)*ROUND(BM!$H133,15-13*ORÇAMENTO!$AF$10),15-13*ORÇAMENTO!$AF$11))),IF($A133=0,0,ROUND(SomaAgrupBM,15-13*ORÇAMENTO!$AF$11)))</f>
        <v>0</v>
      </c>
    </row>
    <row r="134" spans="1:41" ht="13.8" x14ac:dyDescent="0.3">
      <c r="A134">
        <f ca="1">ORÇAMENTO!C134</f>
        <v>2</v>
      </c>
      <c r="B134">
        <f ca="1">ORÇAMENTO!D134</f>
        <v>7</v>
      </c>
      <c r="C134" s="114" t="str">
        <f t="shared" ca="1" si="9"/>
        <v>F</v>
      </c>
      <c r="D134" s="117" t="str">
        <f ca="1">ORÇAMENTO!O134</f>
        <v>4.1.</v>
      </c>
      <c r="E134" s="163" t="str">
        <f t="shared" si="8"/>
        <v>DRENAGEM</v>
      </c>
      <c r="F134" s="164" t="str">
        <f ca="1">IF(RegimeExecucao="Global","",ORÇAMENTO.Unidade)</f>
        <v>-</v>
      </c>
      <c r="G134" s="122">
        <f ca="1">IF(RegimeExecucao="Global","",ORÇAMENTO!T134)</f>
        <v>0</v>
      </c>
      <c r="H134" s="122">
        <f ca="1">IF(RegimeExecucao="Global","",ORÇAMENTO!W134)</f>
        <v>0</v>
      </c>
      <c r="I134" s="125">
        <f ca="1">ORÇAMENTO!X134</f>
        <v>53617.29</v>
      </c>
      <c r="J134" s="333" t="e" cm="1">
        <f t="array" aca="1" ref="J134" ca="1">_xlfn.SINGLE(IF($A134="S",IF(CAIXA.Modo,BM.AFAnterior,BM.MEDAnterior),IF(AND(_xlfn.SINGLE(RegimeExecucao)="Global",$I134&gt;0,COUNTIF($AB$13:$AM$13,BM.medicao-1)&gt;0),M134/$I134*100,0)))</f>
        <v>#NAME?</v>
      </c>
      <c r="K134" s="122" t="e">
        <f t="shared" ca="1" si="10"/>
        <v>#NAME?</v>
      </c>
      <c r="L134" s="334" t="e" cm="1">
        <f t="array" aca="1" ref="L134" ca="1">_xlfn.SINGLE(IF($A134="S",IF(CAIXA.Modo,BM.AFAcumulado,BM.MEDAcumulado),IF(AND(_xlfn.SINGLE(RegimeExecucao)="Global",$I134&gt;0,COUNTIF($AB$13:$AM$13,BM.medicao)&gt;0),O134/$I134*100,0)))</f>
        <v>#NAME?</v>
      </c>
      <c r="M134" s="335" t="e">
        <f ca="1">IF($A134="S",VTOTALBM,IF($A134=0,0,ROUND(SomaAgrupBM,15-13*ORÇAMENTO!$AF$11)))</f>
        <v>#NAME?</v>
      </c>
      <c r="N134" s="336" t="e">
        <f t="shared" ca="1" si="11"/>
        <v>#NAME?</v>
      </c>
      <c r="O134" s="125" t="e">
        <f ca="1">IF($A134="S",VTOTALBM,IF($A134=0,0,ROUND(SomaAgrupBM,15-13*ORÇAMENTO!$AF$11)))</f>
        <v>#NAME?</v>
      </c>
      <c r="Q134" s="337"/>
      <c r="R134" s="338"/>
      <c r="T134" s="117" t="e">
        <f t="shared" ca="1" si="12"/>
        <v>#NAME?</v>
      </c>
      <c r="U134" s="163" t="e">
        <f t="shared" ca="1" si="13"/>
        <v>#NAME?</v>
      </c>
      <c r="V134" s="164" t="e">
        <f ca="1">IF(AND($W134&gt;0,RegimeExecucao="Unitário"),$F134,"")</f>
        <v>#NAME?</v>
      </c>
      <c r="W134" s="454" t="e">
        <f ca="1">IF($Y134&gt;0,CHOOSE(MATCH(RegimeExecucao,{"Unitário","Global"},0),IF($A134="S",$Y134/$X134,""),($Y134/$X134)*100),0)</f>
        <v>#NAME?</v>
      </c>
      <c r="X134" s="339" t="e">
        <f ca="1">IF($Y134&gt;0,CHOOSE(MATCH(RegimeExecucao,{"Unitário","Global"},0),IF($A134="S",ROUND($H134,ORÇAMENTO!$AF$10),""),ROUND($I134,ORÇAMENTO!$AF$11)),"")</f>
        <v>#NAME?</v>
      </c>
      <c r="Y134" s="339" t="e">
        <f t="shared" ca="1" si="14"/>
        <v>#NAME?</v>
      </c>
      <c r="Z134" s="473"/>
      <c r="AB134" s="337"/>
      <c r="AC134" s="437"/>
      <c r="AD134" s="437"/>
      <c r="AE134" s="437"/>
      <c r="AF134" s="437"/>
      <c r="AG134" s="437"/>
      <c r="AH134" s="437"/>
      <c r="AI134" s="437"/>
      <c r="AJ134" s="437"/>
      <c r="AK134" s="437"/>
      <c r="AL134" s="437"/>
      <c r="AM134" s="338"/>
      <c r="AO134">
        <f ca="1">IF($A134="S",IF(BM!$I134=0,0,CHOOSE(MATCH(RegimeExecucao,{"Global","Unitário"},0),ROUND(ROUND(BM.MEDAcumulado,15-13*BM!$A$9)/100*BM!$I134,15-13*ORÇAMENTO!$AF$11),ROUND(ROUND(BM.MEDAcumulado,15-13*BM!$A$9)*ROUND(BM!$H134,15-13*ORÇAMENTO!$AF$10),15-13*ORÇAMENTO!$AF$11))),IF($A134=0,0,ROUND(SomaAgrupBM,15-13*ORÇAMENTO!$AF$11)))</f>
        <v>0</v>
      </c>
    </row>
    <row r="135" spans="1:41" ht="13.8" x14ac:dyDescent="0.3">
      <c r="A135" t="str">
        <f ca="1">ORÇAMENTO!C135</f>
        <v>S</v>
      </c>
      <c r="B135">
        <f ca="1">ORÇAMENTO!D135</f>
        <v>0</v>
      </c>
      <c r="C135" s="114" t="str">
        <f t="shared" ca="1" si="9"/>
        <v>F</v>
      </c>
      <c r="D135" s="117" t="str">
        <f ca="1">ORÇAMENTO!O135</f>
        <v>4.1.1.</v>
      </c>
      <c r="E135" s="163" t="str">
        <f t="shared" ca="1" si="8"/>
        <v>Escavação mecânica com retroescavadeira em material de 1ª categoria</v>
      </c>
      <c r="F135" s="164" t="str">
        <f ca="1">IF(RegimeExecucao="Global","",ORÇAMENTO.Unidade)</f>
        <v>m³</v>
      </c>
      <c r="G135" s="122">
        <f ca="1">IF(RegimeExecucao="Global","",ORÇAMENTO!T135)</f>
        <v>62.72</v>
      </c>
      <c r="H135" s="122">
        <f ca="1">IF(RegimeExecucao="Global","",ORÇAMENTO!W135)</f>
        <v>9.06</v>
      </c>
      <c r="I135" s="125">
        <f ca="1">ORÇAMENTO!X135</f>
        <v>568.24</v>
      </c>
      <c r="J135" s="333" t="e" cm="1">
        <f t="array" aca="1" ref="J135" ca="1">_xlfn.SINGLE(IF($A135="S",IF(CAIXA.Modo,BM.AFAnterior,BM.MEDAnterior),IF(AND(_xlfn.SINGLE(RegimeExecucao)="Global",$I135&gt;0,COUNTIF($AB$13:$AM$13,BM.medicao-1)&gt;0),M135/$I135*100,0)))</f>
        <v>#NAME?</v>
      </c>
      <c r="K135" s="122" t="e">
        <f t="shared" ca="1" si="10"/>
        <v>#NAME?</v>
      </c>
      <c r="L135" s="334" t="e" cm="1">
        <f t="array" aca="1" ref="L135" ca="1">_xlfn.SINGLE(IF($A135="S",IF(CAIXA.Modo,BM.AFAcumulado,BM.MEDAcumulado),IF(AND(_xlfn.SINGLE(RegimeExecucao)="Global",$I135&gt;0,COUNTIF($AB$13:$AM$13,BM.medicao)&gt;0),O135/$I135*100,0)))</f>
        <v>#NAME?</v>
      </c>
      <c r="M135" s="335" t="e">
        <f ca="1">IF($A135="S",VTOTALBM,IF($A135=0,0,ROUND(SomaAgrupBM,15-13*ORÇAMENTO!$AF$11)))</f>
        <v>#NAME?</v>
      </c>
      <c r="N135" s="336" t="e">
        <f t="shared" ca="1" si="11"/>
        <v>#NAME?</v>
      </c>
      <c r="O135" s="125" t="e">
        <f ca="1">IF($A135="S",VTOTALBM,IF($A135=0,0,ROUND(SomaAgrupBM,15-13*ORÇAMENTO!$AF$11)))</f>
        <v>#NAME?</v>
      </c>
      <c r="Q135" s="337"/>
      <c r="R135" s="338"/>
      <c r="T135" s="117" t="e">
        <f t="shared" ca="1" si="12"/>
        <v>#NAME?</v>
      </c>
      <c r="U135" s="163" t="e">
        <f t="shared" ca="1" si="13"/>
        <v>#NAME?</v>
      </c>
      <c r="V135" s="164" t="e">
        <f ca="1">IF(AND($W135&gt;0,RegimeExecucao="Unitário"),$F135,"")</f>
        <v>#NAME?</v>
      </c>
      <c r="W135" s="454" t="e">
        <f ca="1">IF($Y135&gt;0,CHOOSE(MATCH(RegimeExecucao,{"Unitário","Global"},0),IF($A135="S",$Y135/$X135,""),($Y135/$X135)*100),0)</f>
        <v>#NAME?</v>
      </c>
      <c r="X135" s="339" t="e">
        <f ca="1">IF($Y135&gt;0,CHOOSE(MATCH(RegimeExecucao,{"Unitário","Global"},0),IF($A135="S",ROUND($H135,ORÇAMENTO!$AF$10),""),ROUND($I135,ORÇAMENTO!$AF$11)),"")</f>
        <v>#NAME?</v>
      </c>
      <c r="Y135" s="339" t="e">
        <f t="shared" ca="1" si="14"/>
        <v>#NAME?</v>
      </c>
      <c r="Z135" s="473"/>
      <c r="AB135" s="337"/>
      <c r="AC135" s="437"/>
      <c r="AD135" s="437"/>
      <c r="AE135" s="437"/>
      <c r="AF135" s="437"/>
      <c r="AG135" s="437"/>
      <c r="AH135" s="437"/>
      <c r="AI135" s="437"/>
      <c r="AJ135" s="437"/>
      <c r="AK135" s="437"/>
      <c r="AL135" s="437"/>
      <c r="AM135" s="338"/>
      <c r="AO135">
        <f ca="1">IF($A135="S",IF(BM!$I135=0,0,CHOOSE(MATCH(RegimeExecucao,{"Global","Unitário"},0),ROUND(ROUND(BM.MEDAcumulado,15-13*BM!$A$9)/100*BM!$I135,15-13*ORÇAMENTO!$AF$11),ROUND(ROUND(BM.MEDAcumulado,15-13*BM!$A$9)*ROUND(BM!$H135,15-13*ORÇAMENTO!$AF$10),15-13*ORÇAMENTO!$AF$11))),IF($A135=0,0,ROUND(SomaAgrupBM,15-13*ORÇAMENTO!$AF$11)))</f>
        <v>0</v>
      </c>
    </row>
    <row r="136" spans="1:41" ht="26.4" x14ac:dyDescent="0.3">
      <c r="A136" t="str">
        <f ca="1">ORÇAMENTO!C136</f>
        <v>S</v>
      </c>
      <c r="B136">
        <f ca="1">ORÇAMENTO!D136</f>
        <v>0</v>
      </c>
      <c r="C136" s="114" t="str">
        <f t="shared" ca="1" si="9"/>
        <v>F</v>
      </c>
      <c r="D136" s="117" t="str">
        <f ca="1">ORÇAMENTO!O136</f>
        <v>4.1.2.</v>
      </c>
      <c r="E136" s="163" t="str">
        <f t="shared" ca="1" si="8"/>
        <v>Tubo de concreto PA1 comercial para drenagem - D = 0,40 m - fornecimento e instalação</v>
      </c>
      <c r="F136" s="164" t="str">
        <f ca="1">IF(RegimeExecucao="Global","",ORÇAMENTO.Unidade)</f>
        <v>M</v>
      </c>
      <c r="G136" s="122">
        <f ca="1">IF(RegimeExecucao="Global","",ORÇAMENTO!T136)</f>
        <v>98</v>
      </c>
      <c r="H136" s="122">
        <f ca="1">IF(RegimeExecucao="Global","",ORÇAMENTO!W136)</f>
        <v>375.85</v>
      </c>
      <c r="I136" s="125">
        <f ca="1">ORÇAMENTO!X136</f>
        <v>36833.300000000003</v>
      </c>
      <c r="J136" s="333" t="e" cm="1">
        <f t="array" aca="1" ref="J136" ca="1">_xlfn.SINGLE(IF($A136="S",IF(CAIXA.Modo,BM.AFAnterior,BM.MEDAnterior),IF(AND(_xlfn.SINGLE(RegimeExecucao)="Global",$I136&gt;0,COUNTIF($AB$13:$AM$13,BM.medicao-1)&gt;0),M136/$I136*100,0)))</f>
        <v>#NAME?</v>
      </c>
      <c r="K136" s="122" t="e">
        <f t="shared" ca="1" si="10"/>
        <v>#NAME?</v>
      </c>
      <c r="L136" s="334" t="e" cm="1">
        <f t="array" aca="1" ref="L136" ca="1">_xlfn.SINGLE(IF($A136="S",IF(CAIXA.Modo,BM.AFAcumulado,BM.MEDAcumulado),IF(AND(_xlfn.SINGLE(RegimeExecucao)="Global",$I136&gt;0,COUNTIF($AB$13:$AM$13,BM.medicao)&gt;0),O136/$I136*100,0)))</f>
        <v>#NAME?</v>
      </c>
      <c r="M136" s="335" t="e">
        <f ca="1">IF($A136="S",VTOTALBM,IF($A136=0,0,ROUND(SomaAgrupBM,15-13*ORÇAMENTO!$AF$11)))</f>
        <v>#NAME?</v>
      </c>
      <c r="N136" s="336" t="e">
        <f t="shared" ca="1" si="11"/>
        <v>#NAME?</v>
      </c>
      <c r="O136" s="125" t="e">
        <f ca="1">IF($A136="S",VTOTALBM,IF($A136=0,0,ROUND(SomaAgrupBM,15-13*ORÇAMENTO!$AF$11)))</f>
        <v>#NAME?</v>
      </c>
      <c r="Q136" s="337"/>
      <c r="R136" s="338"/>
      <c r="T136" s="117" t="e">
        <f t="shared" ca="1" si="12"/>
        <v>#NAME?</v>
      </c>
      <c r="U136" s="163" t="e">
        <f t="shared" ca="1" si="13"/>
        <v>#NAME?</v>
      </c>
      <c r="V136" s="164" t="e">
        <f ca="1">IF(AND($W136&gt;0,RegimeExecucao="Unitário"),$F136,"")</f>
        <v>#NAME?</v>
      </c>
      <c r="W136" s="454" t="e">
        <f ca="1">IF($Y136&gt;0,CHOOSE(MATCH(RegimeExecucao,{"Unitário","Global"},0),IF($A136="S",$Y136/$X136,""),($Y136/$X136)*100),0)</f>
        <v>#NAME?</v>
      </c>
      <c r="X136" s="339" t="e">
        <f ca="1">IF($Y136&gt;0,CHOOSE(MATCH(RegimeExecucao,{"Unitário","Global"},0),IF($A136="S",ROUND($H136,ORÇAMENTO!$AF$10),""),ROUND($I136,ORÇAMENTO!$AF$11)),"")</f>
        <v>#NAME?</v>
      </c>
      <c r="Y136" s="339" t="e">
        <f t="shared" ca="1" si="14"/>
        <v>#NAME?</v>
      </c>
      <c r="Z136" s="473"/>
      <c r="AB136" s="337"/>
      <c r="AC136" s="437"/>
      <c r="AD136" s="437"/>
      <c r="AE136" s="437"/>
      <c r="AF136" s="437"/>
      <c r="AG136" s="437"/>
      <c r="AH136" s="437"/>
      <c r="AI136" s="437"/>
      <c r="AJ136" s="437"/>
      <c r="AK136" s="437"/>
      <c r="AL136" s="437"/>
      <c r="AM136" s="338"/>
      <c r="AO136">
        <f ca="1">IF($A136="S",IF(BM!$I136=0,0,CHOOSE(MATCH(RegimeExecucao,{"Global","Unitário"},0),ROUND(ROUND(BM.MEDAcumulado,15-13*BM!$A$9)/100*BM!$I136,15-13*ORÇAMENTO!$AF$11),ROUND(ROUND(BM.MEDAcumulado,15-13*BM!$A$9)*ROUND(BM!$H136,15-13*ORÇAMENTO!$AF$10),15-13*ORÇAMENTO!$AF$11))),IF($A136=0,0,ROUND(SomaAgrupBM,15-13*ORÇAMENTO!$AF$11)))</f>
        <v>0</v>
      </c>
    </row>
    <row r="137" spans="1:41" ht="13.8" x14ac:dyDescent="0.3">
      <c r="A137" t="str">
        <f ca="1">ORÇAMENTO!C137</f>
        <v>S</v>
      </c>
      <c r="B137">
        <f ca="1">ORÇAMENTO!D137</f>
        <v>0</v>
      </c>
      <c r="C137" s="114" t="str">
        <f t="shared" ca="1" si="9"/>
        <v>F</v>
      </c>
      <c r="D137" s="117" t="str">
        <f ca="1">ORÇAMENTO!O137</f>
        <v>4.1.3.</v>
      </c>
      <c r="E137" s="163" t="str">
        <f t="shared" ca="1" si="8"/>
        <v>Reaterro e compactação com soquete vibratório</v>
      </c>
      <c r="F137" s="164" t="str">
        <f ca="1">IF(RegimeExecucao="Global","",ORÇAMENTO.Unidade)</f>
        <v>m³</v>
      </c>
      <c r="G137" s="122">
        <f ca="1">IF(RegimeExecucao="Global","",ORÇAMENTO!T137)</f>
        <v>43.12</v>
      </c>
      <c r="H137" s="122">
        <f ca="1">IF(RegimeExecucao="Global","",ORÇAMENTO!W137)</f>
        <v>24.68</v>
      </c>
      <c r="I137" s="125">
        <f ca="1">ORÇAMENTO!X137</f>
        <v>1064.2</v>
      </c>
      <c r="J137" s="333" t="e" cm="1">
        <f t="array" aca="1" ref="J137" ca="1">_xlfn.SINGLE(IF($A137="S",IF(CAIXA.Modo,BM.AFAnterior,BM.MEDAnterior),IF(AND(_xlfn.SINGLE(RegimeExecucao)="Global",$I137&gt;0,COUNTIF($AB$13:$AM$13,BM.medicao-1)&gt;0),M137/$I137*100,0)))</f>
        <v>#NAME?</v>
      </c>
      <c r="K137" s="122" t="e">
        <f t="shared" ca="1" si="10"/>
        <v>#NAME?</v>
      </c>
      <c r="L137" s="334" t="e" cm="1">
        <f t="array" aca="1" ref="L137" ca="1">_xlfn.SINGLE(IF($A137="S",IF(CAIXA.Modo,BM.AFAcumulado,BM.MEDAcumulado),IF(AND(_xlfn.SINGLE(RegimeExecucao)="Global",$I137&gt;0,COUNTIF($AB$13:$AM$13,BM.medicao)&gt;0),O137/$I137*100,0)))</f>
        <v>#NAME?</v>
      </c>
      <c r="M137" s="335" t="e">
        <f ca="1">IF($A137="S",VTOTALBM,IF($A137=0,0,ROUND(SomaAgrupBM,15-13*ORÇAMENTO!$AF$11)))</f>
        <v>#NAME?</v>
      </c>
      <c r="N137" s="336" t="e">
        <f t="shared" ca="1" si="11"/>
        <v>#NAME?</v>
      </c>
      <c r="O137" s="125" t="e">
        <f ca="1">IF($A137="S",VTOTALBM,IF($A137=0,0,ROUND(SomaAgrupBM,15-13*ORÇAMENTO!$AF$11)))</f>
        <v>#NAME?</v>
      </c>
      <c r="Q137" s="337"/>
      <c r="R137" s="338"/>
      <c r="T137" s="117" t="e">
        <f t="shared" ca="1" si="12"/>
        <v>#NAME?</v>
      </c>
      <c r="U137" s="163" t="e">
        <f t="shared" ca="1" si="13"/>
        <v>#NAME?</v>
      </c>
      <c r="V137" s="164" t="e">
        <f ca="1">IF(AND($W137&gt;0,RegimeExecucao="Unitário"),$F137,"")</f>
        <v>#NAME?</v>
      </c>
      <c r="W137" s="454" t="e">
        <f ca="1">IF($Y137&gt;0,CHOOSE(MATCH(RegimeExecucao,{"Unitário","Global"},0),IF($A137="S",$Y137/$X137,""),($Y137/$X137)*100),0)</f>
        <v>#NAME?</v>
      </c>
      <c r="X137" s="339" t="e">
        <f ca="1">IF($Y137&gt;0,CHOOSE(MATCH(RegimeExecucao,{"Unitário","Global"},0),IF($A137="S",ROUND($H137,ORÇAMENTO!$AF$10),""),ROUND($I137,ORÇAMENTO!$AF$11)),"")</f>
        <v>#NAME?</v>
      </c>
      <c r="Y137" s="339" t="e">
        <f t="shared" ca="1" si="14"/>
        <v>#NAME?</v>
      </c>
      <c r="Z137" s="473"/>
      <c r="AB137" s="337"/>
      <c r="AC137" s="437"/>
      <c r="AD137" s="437"/>
      <c r="AE137" s="437"/>
      <c r="AF137" s="437"/>
      <c r="AG137" s="437"/>
      <c r="AH137" s="437"/>
      <c r="AI137" s="437"/>
      <c r="AJ137" s="437"/>
      <c r="AK137" s="437"/>
      <c r="AL137" s="437"/>
      <c r="AM137" s="338"/>
      <c r="AO137">
        <f ca="1">IF($A137="S",IF(BM!$I137=0,0,CHOOSE(MATCH(RegimeExecucao,{"Global","Unitário"},0),ROUND(ROUND(BM.MEDAcumulado,15-13*BM!$A$9)/100*BM!$I137,15-13*ORÇAMENTO!$AF$11),ROUND(ROUND(BM.MEDAcumulado,15-13*BM!$A$9)*ROUND(BM!$H137,15-13*ORÇAMENTO!$AF$10),15-13*ORÇAMENTO!$AF$11))),IF($A137=0,0,ROUND(SomaAgrupBM,15-13*ORÇAMENTO!$AF$11)))</f>
        <v>0</v>
      </c>
    </row>
    <row r="138" spans="1:41" ht="26.4" x14ac:dyDescent="0.3">
      <c r="A138" t="str">
        <f ca="1">ORÇAMENTO!C138</f>
        <v>S</v>
      </c>
      <c r="B138">
        <f ca="1">ORÇAMENTO!D138</f>
        <v>0</v>
      </c>
      <c r="C138" s="114" t="str">
        <f t="shared" ca="1" si="9"/>
        <v>F</v>
      </c>
      <c r="D138" s="117" t="str">
        <f ca="1">ORÇAMENTO!O138</f>
        <v>4.1.4.</v>
      </c>
      <c r="E138" s="163" t="str">
        <f t="shared" ca="1" si="8"/>
        <v>Boca de lobo combinada - chapéu e grelha simples - BLC 01 - areia e brita comerciais</v>
      </c>
      <c r="F138" s="164" t="str">
        <f ca="1">IF(RegimeExecucao="Global","",ORÇAMENTO.Unidade)</f>
        <v>un</v>
      </c>
      <c r="G138" s="122">
        <f ca="1">IF(RegimeExecucao="Global","",ORÇAMENTO!T138)</f>
        <v>1</v>
      </c>
      <c r="H138" s="122">
        <f ca="1">IF(RegimeExecucao="Global","",ORÇAMENTO!W138)</f>
        <v>2982.3</v>
      </c>
      <c r="I138" s="125">
        <f ca="1">ORÇAMENTO!X138</f>
        <v>2982.3</v>
      </c>
      <c r="J138" s="333" t="e" cm="1">
        <f t="array" aca="1" ref="J138" ca="1">_xlfn.SINGLE(IF($A138="S",IF(CAIXA.Modo,BM.AFAnterior,BM.MEDAnterior),IF(AND(_xlfn.SINGLE(RegimeExecucao)="Global",$I138&gt;0,COUNTIF($AB$13:$AM$13,BM.medicao-1)&gt;0),M138/$I138*100,0)))</f>
        <v>#NAME?</v>
      </c>
      <c r="K138" s="122" t="e">
        <f t="shared" ca="1" si="10"/>
        <v>#NAME?</v>
      </c>
      <c r="L138" s="334" t="e" cm="1">
        <f t="array" aca="1" ref="L138" ca="1">_xlfn.SINGLE(IF($A138="S",IF(CAIXA.Modo,BM.AFAcumulado,BM.MEDAcumulado),IF(AND(_xlfn.SINGLE(RegimeExecucao)="Global",$I138&gt;0,COUNTIF($AB$13:$AM$13,BM.medicao)&gt;0),O138/$I138*100,0)))</f>
        <v>#NAME?</v>
      </c>
      <c r="M138" s="335" t="e">
        <f ca="1">IF($A138="S",VTOTALBM,IF($A138=0,0,ROUND(SomaAgrupBM,15-13*ORÇAMENTO!$AF$11)))</f>
        <v>#NAME?</v>
      </c>
      <c r="N138" s="336" t="e">
        <f t="shared" ca="1" si="11"/>
        <v>#NAME?</v>
      </c>
      <c r="O138" s="125" t="e">
        <f ca="1">IF($A138="S",VTOTALBM,IF($A138=0,0,ROUND(SomaAgrupBM,15-13*ORÇAMENTO!$AF$11)))</f>
        <v>#NAME?</v>
      </c>
      <c r="Q138" s="337"/>
      <c r="R138" s="338"/>
      <c r="T138" s="117" t="e">
        <f t="shared" ca="1" si="12"/>
        <v>#NAME?</v>
      </c>
      <c r="U138" s="163" t="e">
        <f t="shared" ca="1" si="13"/>
        <v>#NAME?</v>
      </c>
      <c r="V138" s="164" t="e">
        <f ca="1">IF(AND($W138&gt;0,RegimeExecucao="Unitário"),$F138,"")</f>
        <v>#NAME?</v>
      </c>
      <c r="W138" s="454" t="e">
        <f ca="1">IF($Y138&gt;0,CHOOSE(MATCH(RegimeExecucao,{"Unitário","Global"},0),IF($A138="S",$Y138/$X138,""),($Y138/$X138)*100),0)</f>
        <v>#NAME?</v>
      </c>
      <c r="X138" s="339" t="e">
        <f ca="1">IF($Y138&gt;0,CHOOSE(MATCH(RegimeExecucao,{"Unitário","Global"},0),IF($A138="S",ROUND($H138,ORÇAMENTO!$AF$10),""),ROUND($I138,ORÇAMENTO!$AF$11)),"")</f>
        <v>#NAME?</v>
      </c>
      <c r="Y138" s="339" t="e">
        <f t="shared" ca="1" si="14"/>
        <v>#NAME?</v>
      </c>
      <c r="Z138" s="473"/>
      <c r="AB138" s="337"/>
      <c r="AC138" s="437"/>
      <c r="AD138" s="437"/>
      <c r="AE138" s="437"/>
      <c r="AF138" s="437"/>
      <c r="AG138" s="437"/>
      <c r="AH138" s="437"/>
      <c r="AI138" s="437"/>
      <c r="AJ138" s="437"/>
      <c r="AK138" s="437"/>
      <c r="AL138" s="437"/>
      <c r="AM138" s="338"/>
      <c r="AO138">
        <f ca="1">IF($A138="S",IF(BM!$I138=0,0,CHOOSE(MATCH(RegimeExecucao,{"Global","Unitário"},0),ROUND(ROUND(BM.MEDAcumulado,15-13*BM!$A$9)/100*BM!$I138,15-13*ORÇAMENTO!$AF$11),ROUND(ROUND(BM.MEDAcumulado,15-13*BM!$A$9)*ROUND(BM!$H138,15-13*ORÇAMENTO!$AF$10),15-13*ORÇAMENTO!$AF$11))),IF($A138=0,0,ROUND(SomaAgrupBM,15-13*ORÇAMENTO!$AF$11)))</f>
        <v>0</v>
      </c>
    </row>
    <row r="139" spans="1:41" ht="26.4" x14ac:dyDescent="0.3">
      <c r="A139" t="str">
        <f ca="1">ORÇAMENTO!C139</f>
        <v>S</v>
      </c>
      <c r="B139">
        <f ca="1">ORÇAMENTO!D139</f>
        <v>0</v>
      </c>
      <c r="C139" s="114" t="str">
        <f t="shared" ca="1" si="9"/>
        <v>F</v>
      </c>
      <c r="D139" s="117" t="str">
        <f ca="1">ORÇAMENTO!O139</f>
        <v>4.1.5.</v>
      </c>
      <c r="E139" s="163" t="str">
        <f t="shared" ca="1" si="8"/>
        <v>Meio-fio de concreto - MFC 05 moldado no local com extrusora e concreto usinado - areia e brita comerciais</v>
      </c>
      <c r="F139" s="164" t="str">
        <f ca="1">IF(RegimeExecucao="Global","",ORÇAMENTO.Unidade)</f>
        <v>m</v>
      </c>
      <c r="G139" s="122">
        <f ca="1">IF(RegimeExecucao="Global","",ORÇAMENTO!T139)</f>
        <v>390</v>
      </c>
      <c r="H139" s="122">
        <f ca="1">IF(RegimeExecucao="Global","",ORÇAMENTO!W139)</f>
        <v>29.33</v>
      </c>
      <c r="I139" s="125">
        <f ca="1">ORÇAMENTO!X139</f>
        <v>11438.7</v>
      </c>
      <c r="J139" s="333" t="e" cm="1">
        <f t="array" aca="1" ref="J139" ca="1">_xlfn.SINGLE(IF($A139="S",IF(CAIXA.Modo,BM.AFAnterior,BM.MEDAnterior),IF(AND(_xlfn.SINGLE(RegimeExecucao)="Global",$I139&gt;0,COUNTIF($AB$13:$AM$13,BM.medicao-1)&gt;0),M139/$I139*100,0)))</f>
        <v>#NAME?</v>
      </c>
      <c r="K139" s="122" t="e">
        <f t="shared" ca="1" si="10"/>
        <v>#NAME?</v>
      </c>
      <c r="L139" s="334" t="e" cm="1">
        <f t="array" aca="1" ref="L139" ca="1">_xlfn.SINGLE(IF($A139="S",IF(CAIXA.Modo,BM.AFAcumulado,BM.MEDAcumulado),IF(AND(_xlfn.SINGLE(RegimeExecucao)="Global",$I139&gt;0,COUNTIF($AB$13:$AM$13,BM.medicao)&gt;0),O139/$I139*100,0)))</f>
        <v>#NAME?</v>
      </c>
      <c r="M139" s="335" t="e">
        <f ca="1">IF($A139="S",VTOTALBM,IF($A139=0,0,ROUND(SomaAgrupBM,15-13*ORÇAMENTO!$AF$11)))</f>
        <v>#NAME?</v>
      </c>
      <c r="N139" s="336" t="e">
        <f t="shared" ca="1" si="11"/>
        <v>#NAME?</v>
      </c>
      <c r="O139" s="125" t="e">
        <f ca="1">IF($A139="S",VTOTALBM,IF($A139=0,0,ROUND(SomaAgrupBM,15-13*ORÇAMENTO!$AF$11)))</f>
        <v>#NAME?</v>
      </c>
      <c r="Q139" s="337"/>
      <c r="R139" s="338"/>
      <c r="T139" s="117" t="e">
        <f t="shared" ca="1" si="12"/>
        <v>#NAME?</v>
      </c>
      <c r="U139" s="163" t="e">
        <f t="shared" ca="1" si="13"/>
        <v>#NAME?</v>
      </c>
      <c r="V139" s="164" t="e">
        <f ca="1">IF(AND($W139&gt;0,RegimeExecucao="Unitário"),$F139,"")</f>
        <v>#NAME?</v>
      </c>
      <c r="W139" s="454" t="e">
        <f ca="1">IF($Y139&gt;0,CHOOSE(MATCH(RegimeExecucao,{"Unitário","Global"},0),IF($A139="S",$Y139/$X139,""),($Y139/$X139)*100),0)</f>
        <v>#NAME?</v>
      </c>
      <c r="X139" s="339" t="e">
        <f ca="1">IF($Y139&gt;0,CHOOSE(MATCH(RegimeExecucao,{"Unitário","Global"},0),IF($A139="S",ROUND($H139,ORÇAMENTO!$AF$10),""),ROUND($I139,ORÇAMENTO!$AF$11)),"")</f>
        <v>#NAME?</v>
      </c>
      <c r="Y139" s="339" t="e">
        <f t="shared" ca="1" si="14"/>
        <v>#NAME?</v>
      </c>
      <c r="Z139" s="473"/>
      <c r="AB139" s="337"/>
      <c r="AC139" s="437"/>
      <c r="AD139" s="437"/>
      <c r="AE139" s="437"/>
      <c r="AF139" s="437"/>
      <c r="AG139" s="437"/>
      <c r="AH139" s="437"/>
      <c r="AI139" s="437"/>
      <c r="AJ139" s="437"/>
      <c r="AK139" s="437"/>
      <c r="AL139" s="437"/>
      <c r="AM139" s="338"/>
      <c r="AO139">
        <f ca="1">IF($A139="S",IF(BM!$I139=0,0,CHOOSE(MATCH(RegimeExecucao,{"Global","Unitário"},0),ROUND(ROUND(BM.MEDAcumulado,15-13*BM!$A$9)/100*BM!$I139,15-13*ORÇAMENTO!$AF$11),ROUND(ROUND(BM.MEDAcumulado,15-13*BM!$A$9)*ROUND(BM!$H139,15-13*ORÇAMENTO!$AF$10),15-13*ORÇAMENTO!$AF$11))),IF($A139=0,0,ROUND(SomaAgrupBM,15-13*ORÇAMENTO!$AF$11)))</f>
        <v>0</v>
      </c>
    </row>
    <row r="140" spans="1:41" ht="13.8" x14ac:dyDescent="0.3">
      <c r="A140" t="str">
        <f ca="1">ORÇAMENTO!C140</f>
        <v>S</v>
      </c>
      <c r="B140">
        <f ca="1">ORÇAMENTO!D140</f>
        <v>0</v>
      </c>
      <c r="C140" s="114" t="str">
        <f t="shared" ca="1" si="9"/>
        <v>F</v>
      </c>
      <c r="D140" s="117" t="str">
        <f ca="1">ORÇAMENTO!O140</f>
        <v>4.1.6.</v>
      </c>
      <c r="E140" s="163" t="str">
        <f t="shared" ca="1" si="8"/>
        <v>Caiação manual com fixador de cal</v>
      </c>
      <c r="F140" s="164" t="str">
        <f ca="1">IF(RegimeExecucao="Global","",ORÇAMENTO.Unidade)</f>
        <v>m²</v>
      </c>
      <c r="G140" s="122">
        <f ca="1">IF(RegimeExecucao="Global","",ORÇAMENTO!T140)</f>
        <v>163.80000000000001</v>
      </c>
      <c r="H140" s="122">
        <f ca="1">IF(RegimeExecucao="Global","",ORÇAMENTO!W140)</f>
        <v>4.46</v>
      </c>
      <c r="I140" s="125">
        <f ca="1">ORÇAMENTO!X140</f>
        <v>730.55</v>
      </c>
      <c r="J140" s="333" t="e" cm="1">
        <f t="array" aca="1" ref="J140" ca="1">_xlfn.SINGLE(IF($A140="S",IF(CAIXA.Modo,BM.AFAnterior,BM.MEDAnterior),IF(AND(_xlfn.SINGLE(RegimeExecucao)="Global",$I140&gt;0,COUNTIF($AB$13:$AM$13,BM.medicao-1)&gt;0),M140/$I140*100,0)))</f>
        <v>#NAME?</v>
      </c>
      <c r="K140" s="122" t="e">
        <f t="shared" ca="1" si="10"/>
        <v>#NAME?</v>
      </c>
      <c r="L140" s="334" t="e" cm="1">
        <f t="array" aca="1" ref="L140" ca="1">_xlfn.SINGLE(IF($A140="S",IF(CAIXA.Modo,BM.AFAcumulado,BM.MEDAcumulado),IF(AND(_xlfn.SINGLE(RegimeExecucao)="Global",$I140&gt;0,COUNTIF($AB$13:$AM$13,BM.medicao)&gt;0),O140/$I140*100,0)))</f>
        <v>#NAME?</v>
      </c>
      <c r="M140" s="335" t="e">
        <f ca="1">IF($A140="S",VTOTALBM,IF($A140=0,0,ROUND(SomaAgrupBM,15-13*ORÇAMENTO!$AF$11)))</f>
        <v>#NAME?</v>
      </c>
      <c r="N140" s="336" t="e">
        <f t="shared" ca="1" si="11"/>
        <v>#NAME?</v>
      </c>
      <c r="O140" s="125" t="e">
        <f ca="1">IF($A140="S",VTOTALBM,IF($A140=0,0,ROUND(SomaAgrupBM,15-13*ORÇAMENTO!$AF$11)))</f>
        <v>#NAME?</v>
      </c>
      <c r="Q140" s="337"/>
      <c r="R140" s="338"/>
      <c r="T140" s="117" t="e">
        <f t="shared" ca="1" si="12"/>
        <v>#NAME?</v>
      </c>
      <c r="U140" s="163" t="e">
        <f t="shared" ca="1" si="13"/>
        <v>#NAME?</v>
      </c>
      <c r="V140" s="164" t="e">
        <f ca="1">IF(AND($W140&gt;0,RegimeExecucao="Unitário"),$F140,"")</f>
        <v>#NAME?</v>
      </c>
      <c r="W140" s="454" t="e">
        <f ca="1">IF($Y140&gt;0,CHOOSE(MATCH(RegimeExecucao,{"Unitário","Global"},0),IF($A140="S",$Y140/$X140,""),($Y140/$X140)*100),0)</f>
        <v>#NAME?</v>
      </c>
      <c r="X140" s="339" t="e">
        <f ca="1">IF($Y140&gt;0,CHOOSE(MATCH(RegimeExecucao,{"Unitário","Global"},0),IF($A140="S",ROUND($H140,ORÇAMENTO!$AF$10),""),ROUND($I140,ORÇAMENTO!$AF$11)),"")</f>
        <v>#NAME?</v>
      </c>
      <c r="Y140" s="339" t="e">
        <f t="shared" ca="1" si="14"/>
        <v>#NAME?</v>
      </c>
      <c r="Z140" s="473"/>
      <c r="AB140" s="337"/>
      <c r="AC140" s="437"/>
      <c r="AD140" s="437"/>
      <c r="AE140" s="437"/>
      <c r="AF140" s="437"/>
      <c r="AG140" s="437"/>
      <c r="AH140" s="437"/>
      <c r="AI140" s="437"/>
      <c r="AJ140" s="437"/>
      <c r="AK140" s="437"/>
      <c r="AL140" s="437"/>
      <c r="AM140" s="338"/>
      <c r="AO140">
        <f ca="1">IF($A140="S",IF(BM!$I140=0,0,CHOOSE(MATCH(RegimeExecucao,{"Global","Unitário"},0),ROUND(ROUND(BM.MEDAcumulado,15-13*BM!$A$9)/100*BM!$I140,15-13*ORÇAMENTO!$AF$11),ROUND(ROUND(BM.MEDAcumulado,15-13*BM!$A$9)*ROUND(BM!$H140,15-13*ORÇAMENTO!$AF$10),15-13*ORÇAMENTO!$AF$11))),IF($A140=0,0,ROUND(SomaAgrupBM,15-13*ORÇAMENTO!$AF$11)))</f>
        <v>0</v>
      </c>
    </row>
    <row r="141" spans="1:41" ht="13.8" x14ac:dyDescent="0.3">
      <c r="A141">
        <f ca="1">ORÇAMENTO!C141</f>
        <v>2</v>
      </c>
      <c r="B141">
        <f ca="1">ORÇAMENTO!D141</f>
        <v>15</v>
      </c>
      <c r="C141" s="114" t="str">
        <f t="shared" ca="1" si="9"/>
        <v>F</v>
      </c>
      <c r="D141" s="117" t="str">
        <f ca="1">ORÇAMENTO!O141</f>
        <v>4.2.</v>
      </c>
      <c r="E141" s="163" t="str">
        <f t="shared" si="8"/>
        <v>PAVIMENTAÇÃO</v>
      </c>
      <c r="F141" s="164" t="str">
        <f ca="1">IF(RegimeExecucao="Global","",ORÇAMENTO.Unidade)</f>
        <v>-</v>
      </c>
      <c r="G141" s="122">
        <f ca="1">IF(RegimeExecucao="Global","",ORÇAMENTO!T141)</f>
        <v>0</v>
      </c>
      <c r="H141" s="122">
        <f ca="1">IF(RegimeExecucao="Global","",ORÇAMENTO!W141)</f>
        <v>0</v>
      </c>
      <c r="I141" s="125">
        <f ca="1">ORÇAMENTO!X141</f>
        <v>346698.34</v>
      </c>
      <c r="J141" s="333" t="e" cm="1">
        <f t="array" aca="1" ref="J141" ca="1">_xlfn.SINGLE(IF($A141="S",IF(CAIXA.Modo,BM.AFAnterior,BM.MEDAnterior),IF(AND(_xlfn.SINGLE(RegimeExecucao)="Global",$I141&gt;0,COUNTIF($AB$13:$AM$13,BM.medicao-1)&gt;0),M141/$I141*100,0)))</f>
        <v>#NAME?</v>
      </c>
      <c r="K141" s="122" t="e">
        <f t="shared" ca="1" si="10"/>
        <v>#NAME?</v>
      </c>
      <c r="L141" s="334" t="e" cm="1">
        <f t="array" aca="1" ref="L141" ca="1">_xlfn.SINGLE(IF($A141="S",IF(CAIXA.Modo,BM.AFAcumulado,BM.MEDAcumulado),IF(AND(_xlfn.SINGLE(RegimeExecucao)="Global",$I141&gt;0,COUNTIF($AB$13:$AM$13,BM.medicao)&gt;0),O141/$I141*100,0)))</f>
        <v>#NAME?</v>
      </c>
      <c r="M141" s="335" t="e">
        <f ca="1">IF($A141="S",VTOTALBM,IF($A141=0,0,ROUND(SomaAgrupBM,15-13*ORÇAMENTO!$AF$11)))</f>
        <v>#NAME?</v>
      </c>
      <c r="N141" s="336" t="e">
        <f t="shared" ca="1" si="11"/>
        <v>#NAME?</v>
      </c>
      <c r="O141" s="125" t="e">
        <f ca="1">IF($A141="S",VTOTALBM,IF($A141=0,0,ROUND(SomaAgrupBM,15-13*ORÇAMENTO!$AF$11)))</f>
        <v>#NAME?</v>
      </c>
      <c r="Q141" s="337"/>
      <c r="R141" s="338"/>
      <c r="T141" s="117" t="e">
        <f t="shared" ca="1" si="12"/>
        <v>#NAME?</v>
      </c>
      <c r="U141" s="163" t="e">
        <f t="shared" ca="1" si="13"/>
        <v>#NAME?</v>
      </c>
      <c r="V141" s="164" t="e">
        <f ca="1">IF(AND($W141&gt;0,RegimeExecucao="Unitário"),$F141,"")</f>
        <v>#NAME?</v>
      </c>
      <c r="W141" s="454" t="e">
        <f ca="1">IF($Y141&gt;0,CHOOSE(MATCH(RegimeExecucao,{"Unitário","Global"},0),IF($A141="S",$Y141/$X141,""),($Y141/$X141)*100),0)</f>
        <v>#NAME?</v>
      </c>
      <c r="X141" s="339" t="e">
        <f ca="1">IF($Y141&gt;0,CHOOSE(MATCH(RegimeExecucao,{"Unitário","Global"},0),IF($A141="S",ROUND($H141,ORÇAMENTO!$AF$10),""),ROUND($I141,ORÇAMENTO!$AF$11)),"")</f>
        <v>#NAME?</v>
      </c>
      <c r="Y141" s="339" t="e">
        <f t="shared" ca="1" si="14"/>
        <v>#NAME?</v>
      </c>
      <c r="Z141" s="473"/>
      <c r="AB141" s="337"/>
      <c r="AC141" s="437"/>
      <c r="AD141" s="437"/>
      <c r="AE141" s="437"/>
      <c r="AF141" s="437"/>
      <c r="AG141" s="437"/>
      <c r="AH141" s="437"/>
      <c r="AI141" s="437"/>
      <c r="AJ141" s="437"/>
      <c r="AK141" s="437"/>
      <c r="AL141" s="437"/>
      <c r="AM141" s="338"/>
      <c r="AO141">
        <f ca="1">IF($A141="S",IF(BM!$I141=0,0,CHOOSE(MATCH(RegimeExecucao,{"Global","Unitário"},0),ROUND(ROUND(BM.MEDAcumulado,15-13*BM!$A$9)/100*BM!$I141,15-13*ORÇAMENTO!$AF$11),ROUND(ROUND(BM.MEDAcumulado,15-13*BM!$A$9)*ROUND(BM!$H141,15-13*ORÇAMENTO!$AF$10),15-13*ORÇAMENTO!$AF$11))),IF($A141=0,0,ROUND(SomaAgrupBM,15-13*ORÇAMENTO!$AF$11)))</f>
        <v>0</v>
      </c>
    </row>
    <row r="142" spans="1:41" ht="26.4" x14ac:dyDescent="0.3">
      <c r="A142" t="str">
        <f ca="1">ORÇAMENTO!C142</f>
        <v>S</v>
      </c>
      <c r="B142">
        <f ca="1">ORÇAMENTO!D142</f>
        <v>0</v>
      </c>
      <c r="C142" s="114" t="str">
        <f t="shared" ca="1" si="1"/>
        <v>F</v>
      </c>
      <c r="D142" s="117" t="str">
        <f ca="1">ORÇAMENTO!O142</f>
        <v>4.2.1.</v>
      </c>
      <c r="E142" s="163" t="str">
        <f t="shared" ca="1" si="2"/>
        <v>Base ou sub-base de macadame seco com brita comercial - 100% Proctor modificado</v>
      </c>
      <c r="F142" s="164" t="str">
        <f ca="1">IF(RegimeExecucao="Global","",ORÇAMENTO.Unidade)</f>
        <v>m³</v>
      </c>
      <c r="G142" s="122">
        <f ca="1">IF(RegimeExecucao="Global","",ORÇAMENTO!T142)</f>
        <v>341.1</v>
      </c>
      <c r="H142" s="122">
        <f ca="1">IF(RegimeExecucao="Global","",ORÇAMENTO!W142)</f>
        <v>244.52</v>
      </c>
      <c r="I142" s="125">
        <f ca="1">ORÇAMENTO!X142</f>
        <v>83405.77</v>
      </c>
      <c r="J142" s="333" t="e" cm="1">
        <f t="array" aca="1" ref="J142" ca="1">_xlfn.SINGLE(IF($A142="S",IF(CAIXA.Modo,BM.AFAnterior,BM.MEDAnterior),IF(AND(_xlfn.SINGLE(RegimeExecucao)="Global",$I142&gt;0,COUNTIF($AB$13:$AM$13,BM.medicao-1)&gt;0),M142/$I142*100,0)))</f>
        <v>#NAME?</v>
      </c>
      <c r="K142" s="122" t="e">
        <f t="shared" ca="1" si="3"/>
        <v>#NAME?</v>
      </c>
      <c r="L142" s="334" t="e" cm="1">
        <f t="array" aca="1" ref="L142" ca="1">_xlfn.SINGLE(IF($A142="S",IF(CAIXA.Modo,BM.AFAcumulado,BM.MEDAcumulado),IF(AND(_xlfn.SINGLE(RegimeExecucao)="Global",$I142&gt;0,COUNTIF($AB$13:$AM$13,BM.medicao)&gt;0),O142/$I142*100,0)))</f>
        <v>#NAME?</v>
      </c>
      <c r="M142" s="335" t="e">
        <f ca="1">IF($A142="S",VTOTALBM,IF($A142=0,0,ROUND(SomaAgrupBM,15-13*ORÇAMENTO!$AF$11)))</f>
        <v>#NAME?</v>
      </c>
      <c r="N142" s="336" t="e">
        <f t="shared" ca="1" si="4"/>
        <v>#NAME?</v>
      </c>
      <c r="O142" s="125" t="e">
        <f ca="1">IF($A142="S",VTOTALBM,IF($A142=0,0,ROUND(SomaAgrupBM,15-13*ORÇAMENTO!$AF$11)))</f>
        <v>#NAME?</v>
      </c>
      <c r="Q142" s="337"/>
      <c r="R142" s="338"/>
      <c r="T142" s="117" t="e">
        <f t="shared" ca="1" si="5"/>
        <v>#NAME?</v>
      </c>
      <c r="U142" s="163" t="e">
        <f t="shared" ca="1" si="6"/>
        <v>#NAME?</v>
      </c>
      <c r="V142" s="164" t="e">
        <f ca="1">IF(AND($W142&gt;0,RegimeExecucao="Unitário"),$F142,"")</f>
        <v>#NAME?</v>
      </c>
      <c r="W142" s="454" t="e">
        <f ca="1">IF($Y142&gt;0,CHOOSE(MATCH(RegimeExecucao,{"Unitário","Global"},0),IF($A142="S",$Y142/$X142,""),($Y142/$X142)*100),0)</f>
        <v>#NAME?</v>
      </c>
      <c r="X142" s="339" t="e">
        <f ca="1">IF($Y142&gt;0,CHOOSE(MATCH(RegimeExecucao,{"Unitário","Global"},0),IF($A142="S",ROUND($H142,ORÇAMENTO!$AF$10),""),ROUND($I142,ORÇAMENTO!$AF$11)),"")</f>
        <v>#NAME?</v>
      </c>
      <c r="Y142" s="339" t="e">
        <f t="shared" ca="1" si="7"/>
        <v>#NAME?</v>
      </c>
      <c r="Z142" s="473"/>
      <c r="AB142" s="337"/>
      <c r="AC142" s="437"/>
      <c r="AD142" s="437"/>
      <c r="AE142" s="437"/>
      <c r="AF142" s="437"/>
      <c r="AG142" s="437"/>
      <c r="AH142" s="437"/>
      <c r="AI142" s="437"/>
      <c r="AJ142" s="437"/>
      <c r="AK142" s="437"/>
      <c r="AL142" s="437"/>
      <c r="AM142" s="338"/>
      <c r="AO142">
        <f ca="1">IF($A142="S",IF(BM!$I142=0,0,CHOOSE(MATCH(RegimeExecucao,{"Global","Unitário"},0),ROUND(ROUND(BM.MEDAcumulado,15-13*BM!$A$9)/100*BM!$I142,15-13*ORÇAMENTO!$AF$11),ROUND(ROUND(BM.MEDAcumulado,15-13*BM!$A$9)*ROUND(BM!$H142,15-13*ORÇAMENTO!$AF$10),15-13*ORÇAMENTO!$AF$11))),IF($A142=0,0,ROUND(SomaAgrupBM,15-13*ORÇAMENTO!$AF$11)))</f>
        <v>0</v>
      </c>
    </row>
    <row r="143" spans="1:41" ht="13.8" x14ac:dyDescent="0.3">
      <c r="A143" t="str">
        <f ca="1">ORÇAMENTO!C143</f>
        <v>S</v>
      </c>
      <c r="B143">
        <f ca="1">ORÇAMENTO!D143</f>
        <v>0</v>
      </c>
      <c r="C143" s="114" t="str">
        <f t="shared" ca="1" si="1"/>
        <v>F</v>
      </c>
      <c r="D143" s="117" t="str">
        <f ca="1">ORÇAMENTO!O143</f>
        <v>4.2.2.</v>
      </c>
      <c r="E143" s="163" t="str">
        <f t="shared" ca="1" si="2"/>
        <v>Transporte com caminhão basculante de 10 m³ - rodovia pavimentada</v>
      </c>
      <c r="F143" s="164" t="str">
        <f ca="1">IF(RegimeExecucao="Global","",ORÇAMENTO.Unidade)</f>
        <v>tkm</v>
      </c>
      <c r="G143" s="122">
        <f ca="1">IF(RegimeExecucao="Global","",ORÇAMENTO!T143)</f>
        <v>10744.65</v>
      </c>
      <c r="H143" s="122">
        <f ca="1">IF(RegimeExecucao="Global","",ORÇAMENTO!W143)</f>
        <v>1.01</v>
      </c>
      <c r="I143" s="125">
        <f ca="1">ORÇAMENTO!X143</f>
        <v>10852.1</v>
      </c>
      <c r="J143" s="333" t="e" cm="1">
        <f t="array" aca="1" ref="J143" ca="1">_xlfn.SINGLE(IF($A143="S",IF(CAIXA.Modo,BM.AFAnterior,BM.MEDAnterior),IF(AND(_xlfn.SINGLE(RegimeExecucao)="Global",$I143&gt;0,COUNTIF($AB$13:$AM$13,BM.medicao-1)&gt;0),M143/$I143*100,0)))</f>
        <v>#NAME?</v>
      </c>
      <c r="K143" s="122" t="e">
        <f t="shared" ca="1" si="3"/>
        <v>#NAME?</v>
      </c>
      <c r="L143" s="334" t="e" cm="1">
        <f t="array" aca="1" ref="L143" ca="1">_xlfn.SINGLE(IF($A143="S",IF(CAIXA.Modo,BM.AFAcumulado,BM.MEDAcumulado),IF(AND(_xlfn.SINGLE(RegimeExecucao)="Global",$I143&gt;0,COUNTIF($AB$13:$AM$13,BM.medicao)&gt;0),O143/$I143*100,0)))</f>
        <v>#NAME?</v>
      </c>
      <c r="M143" s="335" t="e">
        <f ca="1">IF($A143="S",VTOTALBM,IF($A143=0,0,ROUND(SomaAgrupBM,15-13*ORÇAMENTO!$AF$11)))</f>
        <v>#NAME?</v>
      </c>
      <c r="N143" s="336" t="e">
        <f t="shared" ca="1" si="4"/>
        <v>#NAME?</v>
      </c>
      <c r="O143" s="125" t="e">
        <f ca="1">IF($A143="S",VTOTALBM,IF($A143=0,0,ROUND(SomaAgrupBM,15-13*ORÇAMENTO!$AF$11)))</f>
        <v>#NAME?</v>
      </c>
      <c r="Q143" s="337"/>
      <c r="R143" s="338"/>
      <c r="T143" s="117" t="e">
        <f t="shared" ca="1" si="5"/>
        <v>#NAME?</v>
      </c>
      <c r="U143" s="163" t="e">
        <f t="shared" ca="1" si="6"/>
        <v>#NAME?</v>
      </c>
      <c r="V143" s="164" t="e">
        <f ca="1">IF(AND($W143&gt;0,RegimeExecucao="Unitário"),$F143,"")</f>
        <v>#NAME?</v>
      </c>
      <c r="W143" s="454" t="e">
        <f ca="1">IF($Y143&gt;0,CHOOSE(MATCH(RegimeExecucao,{"Unitário","Global"},0),IF($A143="S",$Y143/$X143,""),($Y143/$X143)*100),0)</f>
        <v>#NAME?</v>
      </c>
      <c r="X143" s="339" t="e">
        <f ca="1">IF($Y143&gt;0,CHOOSE(MATCH(RegimeExecucao,{"Unitário","Global"},0),IF($A143="S",ROUND($H143,ORÇAMENTO!$AF$10),""),ROUND($I143,ORÇAMENTO!$AF$11)),"")</f>
        <v>#NAME?</v>
      </c>
      <c r="Y143" s="339" t="e">
        <f t="shared" ca="1" si="7"/>
        <v>#NAME?</v>
      </c>
      <c r="Z143" s="473"/>
      <c r="AB143" s="337"/>
      <c r="AC143" s="437"/>
      <c r="AD143" s="437"/>
      <c r="AE143" s="437"/>
      <c r="AF143" s="437"/>
      <c r="AG143" s="437"/>
      <c r="AH143" s="437"/>
      <c r="AI143" s="437"/>
      <c r="AJ143" s="437"/>
      <c r="AK143" s="437"/>
      <c r="AL143" s="437"/>
      <c r="AM143" s="338"/>
      <c r="AO143">
        <f ca="1">IF($A143="S",IF(BM!$I143=0,0,CHOOSE(MATCH(RegimeExecucao,{"Global","Unitário"},0),ROUND(ROUND(BM.MEDAcumulado,15-13*BM!$A$9)/100*BM!$I143,15-13*ORÇAMENTO!$AF$11),ROUND(ROUND(BM.MEDAcumulado,15-13*BM!$A$9)*ROUND(BM!$H143,15-13*ORÇAMENTO!$AF$10),15-13*ORÇAMENTO!$AF$11))),IF($A143=0,0,ROUND(SomaAgrupBM,15-13*ORÇAMENTO!$AF$11)))</f>
        <v>0</v>
      </c>
    </row>
    <row r="144" spans="1:41" ht="26.4" x14ac:dyDescent="0.3">
      <c r="A144" t="str">
        <f ca="1">ORÇAMENTO!C144</f>
        <v>S</v>
      </c>
      <c r="B144">
        <f ca="1">ORÇAMENTO!D144</f>
        <v>0</v>
      </c>
      <c r="C144" s="114" t="str">
        <f t="shared" ca="1" si="1"/>
        <v>F</v>
      </c>
      <c r="D144" s="117" t="str">
        <f ca="1">ORÇAMENTO!O144</f>
        <v>4.2.3.</v>
      </c>
      <c r="E144" s="163" t="str">
        <f t="shared" ca="1" si="2"/>
        <v>Base ou sub-base de brita graduada com brita comercial - 100% Proctor modificado</v>
      </c>
      <c r="F144" s="164" t="str">
        <f ca="1">IF(RegimeExecucao="Global","",ORÇAMENTO.Unidade)</f>
        <v>m³</v>
      </c>
      <c r="G144" s="122">
        <f ca="1">IF(RegimeExecucao="Global","",ORÇAMENTO!T144)</f>
        <v>272.88</v>
      </c>
      <c r="H144" s="122">
        <f ca="1">IF(RegimeExecucao="Global","",ORÇAMENTO!W144)</f>
        <v>291.70999999999998</v>
      </c>
      <c r="I144" s="125">
        <f ca="1">ORÇAMENTO!X144</f>
        <v>79601.820000000007</v>
      </c>
      <c r="J144" s="333" t="e" cm="1">
        <f t="array" aca="1" ref="J144" ca="1">_xlfn.SINGLE(IF($A144="S",IF(CAIXA.Modo,BM.AFAnterior,BM.MEDAnterior),IF(AND(_xlfn.SINGLE(RegimeExecucao)="Global",$I144&gt;0,COUNTIF($AB$13:$AM$13,BM.medicao-1)&gt;0),M144/$I144*100,0)))</f>
        <v>#NAME?</v>
      </c>
      <c r="K144" s="122" t="e">
        <f t="shared" ca="1" si="3"/>
        <v>#NAME?</v>
      </c>
      <c r="L144" s="334" t="e" cm="1">
        <f t="array" aca="1" ref="L144" ca="1">_xlfn.SINGLE(IF($A144="S",IF(CAIXA.Modo,BM.AFAcumulado,BM.MEDAcumulado),IF(AND(_xlfn.SINGLE(RegimeExecucao)="Global",$I144&gt;0,COUNTIF($AB$13:$AM$13,BM.medicao)&gt;0),O144/$I144*100,0)))</f>
        <v>#NAME?</v>
      </c>
      <c r="M144" s="335" t="e">
        <f ca="1">IF($A144="S",VTOTALBM,IF($A144=0,0,ROUND(SomaAgrupBM,15-13*ORÇAMENTO!$AF$11)))</f>
        <v>#NAME?</v>
      </c>
      <c r="N144" s="336" t="e">
        <f t="shared" ca="1" si="4"/>
        <v>#NAME?</v>
      </c>
      <c r="O144" s="125" t="e">
        <f ca="1">IF($A144="S",VTOTALBM,IF($A144=0,0,ROUND(SomaAgrupBM,15-13*ORÇAMENTO!$AF$11)))</f>
        <v>#NAME?</v>
      </c>
      <c r="Q144" s="337"/>
      <c r="R144" s="338"/>
      <c r="T144" s="117" t="e">
        <f t="shared" ca="1" si="5"/>
        <v>#NAME?</v>
      </c>
      <c r="U144" s="163" t="e">
        <f t="shared" ca="1" si="6"/>
        <v>#NAME?</v>
      </c>
      <c r="V144" s="164" t="e">
        <f ca="1">IF(AND($W144&gt;0,RegimeExecucao="Unitário"),$F144,"")</f>
        <v>#NAME?</v>
      </c>
      <c r="W144" s="454" t="e">
        <f ca="1">IF($Y144&gt;0,CHOOSE(MATCH(RegimeExecucao,{"Unitário","Global"},0),IF($A144="S",$Y144/$X144,""),($Y144/$X144)*100),0)</f>
        <v>#NAME?</v>
      </c>
      <c r="X144" s="339" t="e">
        <f ca="1">IF($Y144&gt;0,CHOOSE(MATCH(RegimeExecucao,{"Unitário","Global"},0),IF($A144="S",ROUND($H144,ORÇAMENTO!$AF$10),""),ROUND($I144,ORÇAMENTO!$AF$11)),"")</f>
        <v>#NAME?</v>
      </c>
      <c r="Y144" s="339" t="e">
        <f t="shared" ca="1" si="7"/>
        <v>#NAME?</v>
      </c>
      <c r="Z144" s="473"/>
      <c r="AB144" s="337"/>
      <c r="AC144" s="437"/>
      <c r="AD144" s="437"/>
      <c r="AE144" s="437"/>
      <c r="AF144" s="437"/>
      <c r="AG144" s="437"/>
      <c r="AH144" s="437"/>
      <c r="AI144" s="437"/>
      <c r="AJ144" s="437"/>
      <c r="AK144" s="437"/>
      <c r="AL144" s="437"/>
      <c r="AM144" s="338"/>
      <c r="AO144">
        <f ca="1">IF($A144="S",IF(BM!$I144=0,0,CHOOSE(MATCH(RegimeExecucao,{"Global","Unitário"},0),ROUND(ROUND(BM.MEDAcumulado,15-13*BM!$A$9)/100*BM!$I144,15-13*ORÇAMENTO!$AF$11),ROUND(ROUND(BM.MEDAcumulado,15-13*BM!$A$9)*ROUND(BM!$H144,15-13*ORÇAMENTO!$AF$10),15-13*ORÇAMENTO!$AF$11))),IF($A144=0,0,ROUND(SomaAgrupBM,15-13*ORÇAMENTO!$AF$11)))</f>
        <v>0</v>
      </c>
    </row>
    <row r="145" spans="1:41" ht="13.8" x14ac:dyDescent="0.3">
      <c r="A145" t="str">
        <f ca="1">ORÇAMENTO!C145</f>
        <v>S</v>
      </c>
      <c r="B145">
        <f ca="1">ORÇAMENTO!D145</f>
        <v>0</v>
      </c>
      <c r="C145" s="114" t="str">
        <f t="shared" ca="1" si="1"/>
        <v>F</v>
      </c>
      <c r="D145" s="117" t="str">
        <f ca="1">ORÇAMENTO!O145</f>
        <v>4.2.4.</v>
      </c>
      <c r="E145" s="163" t="str">
        <f t="shared" ca="1" si="2"/>
        <v>Transporte com caminhão basculante de 10 m³ - rodovia pavimentada</v>
      </c>
      <c r="F145" s="164" t="str">
        <f ca="1">IF(RegimeExecucao="Global","",ORÇAMENTO.Unidade)</f>
        <v>tkm</v>
      </c>
      <c r="G145" s="122">
        <f ca="1">IF(RegimeExecucao="Global","",ORÇAMENTO!T145)</f>
        <v>8595.7199999999993</v>
      </c>
      <c r="H145" s="122">
        <f ca="1">IF(RegimeExecucao="Global","",ORÇAMENTO!W145)</f>
        <v>1.01</v>
      </c>
      <c r="I145" s="125">
        <f ca="1">ORÇAMENTO!X145</f>
        <v>8681.68</v>
      </c>
      <c r="J145" s="333" t="e" cm="1">
        <f t="array" aca="1" ref="J145" ca="1">_xlfn.SINGLE(IF($A145="S",IF(CAIXA.Modo,BM.AFAnterior,BM.MEDAnterior),IF(AND(_xlfn.SINGLE(RegimeExecucao)="Global",$I145&gt;0,COUNTIF($AB$13:$AM$13,BM.medicao-1)&gt;0),M145/$I145*100,0)))</f>
        <v>#NAME?</v>
      </c>
      <c r="K145" s="122" t="e">
        <f t="shared" ca="1" si="3"/>
        <v>#NAME?</v>
      </c>
      <c r="L145" s="334" t="e" cm="1">
        <f t="array" aca="1" ref="L145" ca="1">_xlfn.SINGLE(IF($A145="S",IF(CAIXA.Modo,BM.AFAcumulado,BM.MEDAcumulado),IF(AND(_xlfn.SINGLE(RegimeExecucao)="Global",$I145&gt;0,COUNTIF($AB$13:$AM$13,BM.medicao)&gt;0),O145/$I145*100,0)))</f>
        <v>#NAME?</v>
      </c>
      <c r="M145" s="335" t="e">
        <f ca="1">IF($A145="S",VTOTALBM,IF($A145=0,0,ROUND(SomaAgrupBM,15-13*ORÇAMENTO!$AF$11)))</f>
        <v>#NAME?</v>
      </c>
      <c r="N145" s="336" t="e">
        <f t="shared" ca="1" si="4"/>
        <v>#NAME?</v>
      </c>
      <c r="O145" s="125" t="e">
        <f ca="1">IF($A145="S",VTOTALBM,IF($A145=0,0,ROUND(SomaAgrupBM,15-13*ORÇAMENTO!$AF$11)))</f>
        <v>#NAME?</v>
      </c>
      <c r="Q145" s="337"/>
      <c r="R145" s="338"/>
      <c r="T145" s="117" t="e">
        <f t="shared" ca="1" si="5"/>
        <v>#NAME?</v>
      </c>
      <c r="U145" s="163" t="e">
        <f t="shared" ca="1" si="6"/>
        <v>#NAME?</v>
      </c>
      <c r="V145" s="164" t="e">
        <f ca="1">IF(AND($W145&gt;0,RegimeExecucao="Unitário"),$F145,"")</f>
        <v>#NAME?</v>
      </c>
      <c r="W145" s="454" t="e">
        <f ca="1">IF($Y145&gt;0,CHOOSE(MATCH(RegimeExecucao,{"Unitário","Global"},0),IF($A145="S",$Y145/$X145,""),($Y145/$X145)*100),0)</f>
        <v>#NAME?</v>
      </c>
      <c r="X145" s="339" t="e">
        <f ca="1">IF($Y145&gt;0,CHOOSE(MATCH(RegimeExecucao,{"Unitário","Global"},0),IF($A145="S",ROUND($H145,ORÇAMENTO!$AF$10),""),ROUND($I145,ORÇAMENTO!$AF$11)),"")</f>
        <v>#NAME?</v>
      </c>
      <c r="Y145" s="339" t="e">
        <f t="shared" ca="1" si="7"/>
        <v>#NAME?</v>
      </c>
      <c r="Z145" s="473"/>
      <c r="AB145" s="337"/>
      <c r="AC145" s="437"/>
      <c r="AD145" s="437"/>
      <c r="AE145" s="437"/>
      <c r="AF145" s="437"/>
      <c r="AG145" s="437"/>
      <c r="AH145" s="437"/>
      <c r="AI145" s="437"/>
      <c r="AJ145" s="437"/>
      <c r="AK145" s="437"/>
      <c r="AL145" s="437"/>
      <c r="AM145" s="338"/>
      <c r="AO145">
        <f ca="1">IF($A145="S",IF(BM!$I145=0,0,CHOOSE(MATCH(RegimeExecucao,{"Global","Unitário"},0),ROUND(ROUND(BM.MEDAcumulado,15-13*BM!$A$9)/100*BM!$I145,15-13*ORÇAMENTO!$AF$11),ROUND(ROUND(BM.MEDAcumulado,15-13*BM!$A$9)*ROUND(BM!$H145,15-13*ORÇAMENTO!$AF$10),15-13*ORÇAMENTO!$AF$11))),IF($A145=0,0,ROUND(SomaAgrupBM,15-13*ORÇAMENTO!$AF$11)))</f>
        <v>0</v>
      </c>
    </row>
    <row r="146" spans="1:41" ht="13.8" x14ac:dyDescent="0.3">
      <c r="A146" t="str">
        <f ca="1">ORÇAMENTO!C146</f>
        <v>S</v>
      </c>
      <c r="B146">
        <f ca="1">ORÇAMENTO!D146</f>
        <v>0</v>
      </c>
      <c r="C146" s="114" t="str">
        <f t="shared" ca="1" si="1"/>
        <v>F</v>
      </c>
      <c r="D146" s="117" t="str">
        <f ca="1">ORÇAMENTO!O146</f>
        <v>4.2.5.</v>
      </c>
      <c r="E146" s="163" t="str">
        <f t="shared" ca="1" si="2"/>
        <v>Imprimação com emulsão asfáltica</v>
      </c>
      <c r="F146" s="164" t="str">
        <f ca="1">IF(RegimeExecucao="Global","",ORÇAMENTO.Unidade)</f>
        <v>m²</v>
      </c>
      <c r="G146" s="122">
        <f ca="1">IF(RegimeExecucao="Global","",ORÇAMENTO!T146)</f>
        <v>2274</v>
      </c>
      <c r="H146" s="122">
        <f ca="1">IF(RegimeExecucao="Global","",ORÇAMENTO!W146)</f>
        <v>0.81</v>
      </c>
      <c r="I146" s="125">
        <f ca="1">ORÇAMENTO!X146</f>
        <v>1841.94</v>
      </c>
      <c r="J146" s="333" t="e" cm="1">
        <f t="array" aca="1" ref="J146" ca="1">_xlfn.SINGLE(IF($A146="S",IF(CAIXA.Modo,BM.AFAnterior,BM.MEDAnterior),IF(AND(_xlfn.SINGLE(RegimeExecucao)="Global",$I146&gt;0,COUNTIF($AB$13:$AM$13,BM.medicao-1)&gt;0),M146/$I146*100,0)))</f>
        <v>#NAME?</v>
      </c>
      <c r="K146" s="122" t="e">
        <f t="shared" ca="1" si="3"/>
        <v>#NAME?</v>
      </c>
      <c r="L146" s="334" t="e" cm="1">
        <f t="array" aca="1" ref="L146" ca="1">_xlfn.SINGLE(IF($A146="S",IF(CAIXA.Modo,BM.AFAcumulado,BM.MEDAcumulado),IF(AND(_xlfn.SINGLE(RegimeExecucao)="Global",$I146&gt;0,COUNTIF($AB$13:$AM$13,BM.medicao)&gt;0),O146/$I146*100,0)))</f>
        <v>#NAME?</v>
      </c>
      <c r="M146" s="335" t="e">
        <f ca="1">IF($A146="S",VTOTALBM,IF($A146=0,0,ROUND(SomaAgrupBM,15-13*ORÇAMENTO!$AF$11)))</f>
        <v>#NAME?</v>
      </c>
      <c r="N146" s="336" t="e">
        <f t="shared" ca="1" si="4"/>
        <v>#NAME?</v>
      </c>
      <c r="O146" s="125" t="e">
        <f ca="1">IF($A146="S",VTOTALBM,IF($A146=0,0,ROUND(SomaAgrupBM,15-13*ORÇAMENTO!$AF$11)))</f>
        <v>#NAME?</v>
      </c>
      <c r="Q146" s="337"/>
      <c r="R146" s="338"/>
      <c r="T146" s="117" t="e">
        <f t="shared" ca="1" si="5"/>
        <v>#NAME?</v>
      </c>
      <c r="U146" s="163" t="e">
        <f t="shared" ca="1" si="6"/>
        <v>#NAME?</v>
      </c>
      <c r="V146" s="164" t="e">
        <f ca="1">IF(AND($W146&gt;0,RegimeExecucao="Unitário"),$F146,"")</f>
        <v>#NAME?</v>
      </c>
      <c r="W146" s="454" t="e">
        <f ca="1">IF($Y146&gt;0,CHOOSE(MATCH(RegimeExecucao,{"Unitário","Global"},0),IF($A146="S",$Y146/$X146,""),($Y146/$X146)*100),0)</f>
        <v>#NAME?</v>
      </c>
      <c r="X146" s="339" t="e">
        <f ca="1">IF($Y146&gt;0,CHOOSE(MATCH(RegimeExecucao,{"Unitário","Global"},0),IF($A146="S",ROUND($H146,ORÇAMENTO!$AF$10),""),ROUND($I146,ORÇAMENTO!$AF$11)),"")</f>
        <v>#NAME?</v>
      </c>
      <c r="Y146" s="339" t="e">
        <f t="shared" ca="1" si="7"/>
        <v>#NAME?</v>
      </c>
      <c r="Z146" s="473"/>
      <c r="AB146" s="337"/>
      <c r="AC146" s="437"/>
      <c r="AD146" s="437"/>
      <c r="AE146" s="437"/>
      <c r="AF146" s="437"/>
      <c r="AG146" s="437"/>
      <c r="AH146" s="437"/>
      <c r="AI146" s="437"/>
      <c r="AJ146" s="437"/>
      <c r="AK146" s="437"/>
      <c r="AL146" s="437"/>
      <c r="AM146" s="338"/>
      <c r="AO146">
        <f ca="1">IF($A146="S",IF(BM!$I146=0,0,CHOOSE(MATCH(RegimeExecucao,{"Global","Unitário"},0),ROUND(ROUND(BM.MEDAcumulado,15-13*BM!$A$9)/100*BM!$I146,15-13*ORÇAMENTO!$AF$11),ROUND(ROUND(BM.MEDAcumulado,15-13*BM!$A$9)*ROUND(BM!$H146,15-13*ORÇAMENTO!$AF$10),15-13*ORÇAMENTO!$AF$11))),IF($A146=0,0,ROUND(SomaAgrupBM,15-13*ORÇAMENTO!$AF$11)))</f>
        <v>0</v>
      </c>
    </row>
    <row r="147" spans="1:41" ht="26.4" x14ac:dyDescent="0.3">
      <c r="A147" t="str">
        <f ca="1">ORÇAMENTO!C147</f>
        <v>S</v>
      </c>
      <c r="B147">
        <f ca="1">ORÇAMENTO!D147</f>
        <v>0</v>
      </c>
      <c r="C147" s="114" t="str">
        <f t="shared" ca="1" si="1"/>
        <v>F</v>
      </c>
      <c r="D147" s="117" t="str">
        <f ca="1">ORÇAMENTO!O147</f>
        <v>4.2.6.</v>
      </c>
      <c r="E147" s="163" t="str">
        <f t="shared" ca="1" si="2"/>
        <v>EMULSÃO ASFÁLTICA PARA SERVIÇO DE IMPRIMAÇÃO COLETADO NA ANP ACRESCIDO DE IMPOSTOS (ICMS, PIS, COFINS)</v>
      </c>
      <c r="F147" s="164" t="str">
        <f ca="1">IF(RegimeExecucao="Global","",ORÇAMENTO.Unidade)</f>
        <v>KG</v>
      </c>
      <c r="G147" s="122">
        <f ca="1">IF(RegimeExecucao="Global","",ORÇAMENTO!T147)</f>
        <v>2956.2</v>
      </c>
      <c r="H147" s="122">
        <f ca="1">IF(RegimeExecucao="Global","",ORÇAMENTO!W147)</f>
        <v>3.96</v>
      </c>
      <c r="I147" s="125">
        <f ca="1">ORÇAMENTO!X147</f>
        <v>11706.55</v>
      </c>
      <c r="J147" s="333" t="e" cm="1">
        <f t="array" aca="1" ref="J147" ca="1">_xlfn.SINGLE(IF($A147="S",IF(CAIXA.Modo,BM.AFAnterior,BM.MEDAnterior),IF(AND(_xlfn.SINGLE(RegimeExecucao)="Global",$I147&gt;0,COUNTIF($AB$13:$AM$13,BM.medicao-1)&gt;0),M147/$I147*100,0)))</f>
        <v>#NAME?</v>
      </c>
      <c r="K147" s="122" t="e">
        <f t="shared" ca="1" si="3"/>
        <v>#NAME?</v>
      </c>
      <c r="L147" s="334" t="e" cm="1">
        <f t="array" aca="1" ref="L147" ca="1">_xlfn.SINGLE(IF($A147="S",IF(CAIXA.Modo,BM.AFAcumulado,BM.MEDAcumulado),IF(AND(_xlfn.SINGLE(RegimeExecucao)="Global",$I147&gt;0,COUNTIF($AB$13:$AM$13,BM.medicao)&gt;0),O147/$I147*100,0)))</f>
        <v>#NAME?</v>
      </c>
      <c r="M147" s="335" t="e">
        <f ca="1">IF($A147="S",VTOTALBM,IF($A147=0,0,ROUND(SomaAgrupBM,15-13*ORÇAMENTO!$AF$11)))</f>
        <v>#NAME?</v>
      </c>
      <c r="N147" s="336" t="e">
        <f t="shared" ca="1" si="4"/>
        <v>#NAME?</v>
      </c>
      <c r="O147" s="125" t="e">
        <f ca="1">IF($A147="S",VTOTALBM,IF($A147=0,0,ROUND(SomaAgrupBM,15-13*ORÇAMENTO!$AF$11)))</f>
        <v>#NAME?</v>
      </c>
      <c r="Q147" s="337"/>
      <c r="R147" s="338"/>
      <c r="T147" s="117" t="e">
        <f t="shared" ca="1" si="5"/>
        <v>#NAME?</v>
      </c>
      <c r="U147" s="163" t="e">
        <f t="shared" ca="1" si="6"/>
        <v>#NAME?</v>
      </c>
      <c r="V147" s="164" t="e">
        <f ca="1">IF(AND($W147&gt;0,RegimeExecucao="Unitário"),$F147,"")</f>
        <v>#NAME?</v>
      </c>
      <c r="W147" s="454" t="e">
        <f ca="1">IF($Y147&gt;0,CHOOSE(MATCH(RegimeExecucao,{"Unitário","Global"},0),IF($A147="S",$Y147/$X147,""),($Y147/$X147)*100),0)</f>
        <v>#NAME?</v>
      </c>
      <c r="X147" s="339" t="e">
        <f ca="1">IF($Y147&gt;0,CHOOSE(MATCH(RegimeExecucao,{"Unitário","Global"},0),IF($A147="S",ROUND($H147,ORÇAMENTO!$AF$10),""),ROUND($I147,ORÇAMENTO!$AF$11)),"")</f>
        <v>#NAME?</v>
      </c>
      <c r="Y147" s="339" t="e">
        <f t="shared" ca="1" si="7"/>
        <v>#NAME?</v>
      </c>
      <c r="Z147" s="473"/>
      <c r="AB147" s="337"/>
      <c r="AC147" s="437"/>
      <c r="AD147" s="437"/>
      <c r="AE147" s="437"/>
      <c r="AF147" s="437"/>
      <c r="AG147" s="437"/>
      <c r="AH147" s="437"/>
      <c r="AI147" s="437"/>
      <c r="AJ147" s="437"/>
      <c r="AK147" s="437"/>
      <c r="AL147" s="437"/>
      <c r="AM147" s="338"/>
      <c r="AO147">
        <f ca="1">IF($A147="S",IF(BM!$I147=0,0,CHOOSE(MATCH(RegimeExecucao,{"Global","Unitário"},0),ROUND(ROUND(BM.MEDAcumulado,15-13*BM!$A$9)/100*BM!$I147,15-13*ORÇAMENTO!$AF$11),ROUND(ROUND(BM.MEDAcumulado,15-13*BM!$A$9)*ROUND(BM!$H147,15-13*ORÇAMENTO!$AF$10),15-13*ORÇAMENTO!$AF$11))),IF($A147=0,0,ROUND(SomaAgrupBM,15-13*ORÇAMENTO!$AF$11)))</f>
        <v>0</v>
      </c>
    </row>
    <row r="148" spans="1:41" ht="26.4" x14ac:dyDescent="0.3">
      <c r="A148" t="str">
        <f ca="1">ORÇAMENTO!C148</f>
        <v>S</v>
      </c>
      <c r="B148">
        <f ca="1">ORÇAMENTO!D148</f>
        <v>0</v>
      </c>
      <c r="C148" s="114" t="str">
        <f t="shared" ca="1" si="1"/>
        <v>F</v>
      </c>
      <c r="D148" s="117" t="str">
        <f ca="1">ORÇAMENTO!O148</f>
        <v>4.2.7.</v>
      </c>
      <c r="E148" s="163" t="str">
        <f t="shared" ca="1" si="2"/>
        <v>Transporte de material betuminoso com caminhão tanque distribuidor - rodovia pavimentada</v>
      </c>
      <c r="F148" s="164" t="str">
        <f ca="1">IF(RegimeExecucao="Global","",ORÇAMENTO.Unidade)</f>
        <v>tkm</v>
      </c>
      <c r="G148" s="122">
        <f ca="1">IF(RegimeExecucao="Global","",ORÇAMENTO!T148)</f>
        <v>996.23</v>
      </c>
      <c r="H148" s="122">
        <f ca="1">IF(RegimeExecucao="Global","",ORÇAMENTO!W148)</f>
        <v>2.5499999999999998</v>
      </c>
      <c r="I148" s="125">
        <f ca="1">ORÇAMENTO!X148</f>
        <v>2540.39</v>
      </c>
      <c r="J148" s="333" t="e" cm="1">
        <f t="array" aca="1" ref="J148" ca="1">_xlfn.SINGLE(IF($A148="S",IF(CAIXA.Modo,BM.AFAnterior,BM.MEDAnterior),IF(AND(_xlfn.SINGLE(RegimeExecucao)="Global",$I148&gt;0,COUNTIF($AB$13:$AM$13,BM.medicao-1)&gt;0),M148/$I148*100,0)))</f>
        <v>#NAME?</v>
      </c>
      <c r="K148" s="122" t="e">
        <f t="shared" ca="1" si="3"/>
        <v>#NAME?</v>
      </c>
      <c r="L148" s="334" t="e" cm="1">
        <f t="array" aca="1" ref="L148" ca="1">_xlfn.SINGLE(IF($A148="S",IF(CAIXA.Modo,BM.AFAcumulado,BM.MEDAcumulado),IF(AND(_xlfn.SINGLE(RegimeExecucao)="Global",$I148&gt;0,COUNTIF($AB$13:$AM$13,BM.medicao)&gt;0),O148/$I148*100,0)))</f>
        <v>#NAME?</v>
      </c>
      <c r="M148" s="335" t="e">
        <f ca="1">IF($A148="S",VTOTALBM,IF($A148=0,0,ROUND(SomaAgrupBM,15-13*ORÇAMENTO!$AF$11)))</f>
        <v>#NAME?</v>
      </c>
      <c r="N148" s="336" t="e">
        <f t="shared" ca="1" si="4"/>
        <v>#NAME?</v>
      </c>
      <c r="O148" s="125" t="e">
        <f ca="1">IF($A148="S",VTOTALBM,IF($A148=0,0,ROUND(SomaAgrupBM,15-13*ORÇAMENTO!$AF$11)))</f>
        <v>#NAME?</v>
      </c>
      <c r="Q148" s="337"/>
      <c r="R148" s="338"/>
      <c r="T148" s="117" t="e">
        <f t="shared" ca="1" si="5"/>
        <v>#NAME?</v>
      </c>
      <c r="U148" s="163" t="e">
        <f t="shared" ca="1" si="6"/>
        <v>#NAME?</v>
      </c>
      <c r="V148" s="164" t="e">
        <f ca="1">IF(AND($W148&gt;0,RegimeExecucao="Unitário"),$F148,"")</f>
        <v>#NAME?</v>
      </c>
      <c r="W148" s="454" t="e">
        <f ca="1">IF($Y148&gt;0,CHOOSE(MATCH(RegimeExecucao,{"Unitário","Global"},0),IF($A148="S",$Y148/$X148,""),($Y148/$X148)*100),0)</f>
        <v>#NAME?</v>
      </c>
      <c r="X148" s="339" t="e">
        <f ca="1">IF($Y148&gt;0,CHOOSE(MATCH(RegimeExecucao,{"Unitário","Global"},0),IF($A148="S",ROUND($H148,ORÇAMENTO!$AF$10),""),ROUND($I148,ORÇAMENTO!$AF$11)),"")</f>
        <v>#NAME?</v>
      </c>
      <c r="Y148" s="339" t="e">
        <f t="shared" ca="1" si="7"/>
        <v>#NAME?</v>
      </c>
      <c r="Z148" s="473"/>
      <c r="AB148" s="337"/>
      <c r="AC148" s="437"/>
      <c r="AD148" s="437"/>
      <c r="AE148" s="437"/>
      <c r="AF148" s="437"/>
      <c r="AG148" s="437"/>
      <c r="AH148" s="437"/>
      <c r="AI148" s="437"/>
      <c r="AJ148" s="437"/>
      <c r="AK148" s="437"/>
      <c r="AL148" s="437"/>
      <c r="AM148" s="338"/>
      <c r="AO148">
        <f ca="1">IF($A148="S",IF(BM!$I148=0,0,CHOOSE(MATCH(RegimeExecucao,{"Global","Unitário"},0),ROUND(ROUND(BM.MEDAcumulado,15-13*BM!$A$9)/100*BM!$I148,15-13*ORÇAMENTO!$AF$11),ROUND(ROUND(BM.MEDAcumulado,15-13*BM!$A$9)*ROUND(BM!$H148,15-13*ORÇAMENTO!$AF$10),15-13*ORÇAMENTO!$AF$11))),IF($A148=0,0,ROUND(SomaAgrupBM,15-13*ORÇAMENTO!$AF$11)))</f>
        <v>0</v>
      </c>
    </row>
    <row r="149" spans="1:41" ht="13.8" x14ac:dyDescent="0.3">
      <c r="A149" t="str">
        <f ca="1">ORÇAMENTO!C149</f>
        <v>S</v>
      </c>
      <c r="B149">
        <f ca="1">ORÇAMENTO!D149</f>
        <v>0</v>
      </c>
      <c r="C149" s="114" t="str">
        <f t="shared" ca="1" si="1"/>
        <v>F</v>
      </c>
      <c r="D149" s="117" t="str">
        <f ca="1">ORÇAMENTO!O149</f>
        <v>4.2.8.</v>
      </c>
      <c r="E149" s="163" t="str">
        <f t="shared" ca="1" si="2"/>
        <v>Pintura de ligação</v>
      </c>
      <c r="F149" s="164" t="str">
        <f ca="1">IF(RegimeExecucao="Global","",ORÇAMENTO.Unidade)</f>
        <v>m²</v>
      </c>
      <c r="G149" s="122">
        <f ca="1">IF(RegimeExecucao="Global","",ORÇAMENTO!T149)</f>
        <v>2274</v>
      </c>
      <c r="H149" s="122">
        <f ca="1">IF(RegimeExecucao="Global","",ORÇAMENTO!W149)</f>
        <v>0.56999999999999995</v>
      </c>
      <c r="I149" s="125">
        <f ca="1">ORÇAMENTO!X149</f>
        <v>1296.18</v>
      </c>
      <c r="J149" s="333" t="e" cm="1">
        <f t="array" aca="1" ref="J149" ca="1">_xlfn.SINGLE(IF($A149="S",IF(CAIXA.Modo,BM.AFAnterior,BM.MEDAnterior),IF(AND(_xlfn.SINGLE(RegimeExecucao)="Global",$I149&gt;0,COUNTIF($AB$13:$AM$13,BM.medicao-1)&gt;0),M149/$I149*100,0)))</f>
        <v>#NAME?</v>
      </c>
      <c r="K149" s="122" t="e">
        <f t="shared" ca="1" si="3"/>
        <v>#NAME?</v>
      </c>
      <c r="L149" s="334" t="e" cm="1">
        <f t="array" aca="1" ref="L149" ca="1">_xlfn.SINGLE(IF($A149="S",IF(CAIXA.Modo,BM.AFAcumulado,BM.MEDAcumulado),IF(AND(_xlfn.SINGLE(RegimeExecucao)="Global",$I149&gt;0,COUNTIF($AB$13:$AM$13,BM.medicao)&gt;0),O149/$I149*100,0)))</f>
        <v>#NAME?</v>
      </c>
      <c r="M149" s="335" t="e">
        <f ca="1">IF($A149="S",VTOTALBM,IF($A149=0,0,ROUND(SomaAgrupBM,15-13*ORÇAMENTO!$AF$11)))</f>
        <v>#NAME?</v>
      </c>
      <c r="N149" s="336" t="e">
        <f t="shared" ca="1" si="4"/>
        <v>#NAME?</v>
      </c>
      <c r="O149" s="125" t="e">
        <f ca="1">IF($A149="S",VTOTALBM,IF($A149=0,0,ROUND(SomaAgrupBM,15-13*ORÇAMENTO!$AF$11)))</f>
        <v>#NAME?</v>
      </c>
      <c r="Q149" s="337"/>
      <c r="R149" s="338"/>
      <c r="T149" s="117" t="e">
        <f t="shared" ca="1" si="5"/>
        <v>#NAME?</v>
      </c>
      <c r="U149" s="163" t="e">
        <f t="shared" ca="1" si="6"/>
        <v>#NAME?</v>
      </c>
      <c r="V149" s="164" t="e">
        <f ca="1">IF(AND($W149&gt;0,RegimeExecucao="Unitário"),$F149,"")</f>
        <v>#NAME?</v>
      </c>
      <c r="W149" s="454" t="e">
        <f ca="1">IF($Y149&gt;0,CHOOSE(MATCH(RegimeExecucao,{"Unitário","Global"},0),IF($A149="S",$Y149/$X149,""),($Y149/$X149)*100),0)</f>
        <v>#NAME?</v>
      </c>
      <c r="X149" s="339" t="e">
        <f ca="1">IF($Y149&gt;0,CHOOSE(MATCH(RegimeExecucao,{"Unitário","Global"},0),IF($A149="S",ROUND($H149,ORÇAMENTO!$AF$10),""),ROUND($I149,ORÇAMENTO!$AF$11)),"")</f>
        <v>#NAME?</v>
      </c>
      <c r="Y149" s="339" t="e">
        <f t="shared" ca="1" si="7"/>
        <v>#NAME?</v>
      </c>
      <c r="Z149" s="473"/>
      <c r="AB149" s="337"/>
      <c r="AC149" s="437"/>
      <c r="AD149" s="437"/>
      <c r="AE149" s="437"/>
      <c r="AF149" s="437"/>
      <c r="AG149" s="437"/>
      <c r="AH149" s="437"/>
      <c r="AI149" s="437"/>
      <c r="AJ149" s="437"/>
      <c r="AK149" s="437"/>
      <c r="AL149" s="437"/>
      <c r="AM149" s="338"/>
      <c r="AO149">
        <f ca="1">IF($A149="S",IF(BM!$I149=0,0,CHOOSE(MATCH(RegimeExecucao,{"Global","Unitário"},0),ROUND(ROUND(BM.MEDAcumulado,15-13*BM!$A$9)/100*BM!$I149,15-13*ORÇAMENTO!$AF$11),ROUND(ROUND(BM.MEDAcumulado,15-13*BM!$A$9)*ROUND(BM!$H149,15-13*ORÇAMENTO!$AF$10),15-13*ORÇAMENTO!$AF$11))),IF($A149=0,0,ROUND(SomaAgrupBM,15-13*ORÇAMENTO!$AF$11)))</f>
        <v>0</v>
      </c>
    </row>
    <row r="150" spans="1:41" ht="26.4" x14ac:dyDescent="0.3">
      <c r="A150" t="str">
        <f ca="1">ORÇAMENTO!C150</f>
        <v>S</v>
      </c>
      <c r="B150">
        <f ca="1">ORÇAMENTO!D150</f>
        <v>0</v>
      </c>
      <c r="C150" s="114" t="str">
        <f t="shared" ca="1" si="1"/>
        <v>F</v>
      </c>
      <c r="D150" s="117" t="str">
        <f ca="1">ORÇAMENTO!O150</f>
        <v>4.2.9.</v>
      </c>
      <c r="E150" s="163" t="str">
        <f t="shared" ca="1" si="2"/>
        <v>EMULSÃO ASFÁLTICA RR-1C COLETADO NA ANP, ACRESCIDO DE IMPOSTOS (ICMS, PIS, COFINS)</v>
      </c>
      <c r="F150" s="164" t="str">
        <f ca="1">IF(RegimeExecucao="Global","",ORÇAMENTO.Unidade)</f>
        <v>KG</v>
      </c>
      <c r="G150" s="122">
        <f ca="1">IF(RegimeExecucao="Global","",ORÇAMENTO!T150)</f>
        <v>1023.3</v>
      </c>
      <c r="H150" s="122">
        <f ca="1">IF(RegimeExecucao="Global","",ORÇAMENTO!W150)</f>
        <v>4.21</v>
      </c>
      <c r="I150" s="125">
        <f ca="1">ORÇAMENTO!X150</f>
        <v>4308.09</v>
      </c>
      <c r="J150" s="333" t="e" cm="1">
        <f t="array" aca="1" ref="J150" ca="1">_xlfn.SINGLE(IF($A150="S",IF(CAIXA.Modo,BM.AFAnterior,BM.MEDAnterior),IF(AND(_xlfn.SINGLE(RegimeExecucao)="Global",$I150&gt;0,COUNTIF($AB$13:$AM$13,BM.medicao-1)&gt;0),M150/$I150*100,0)))</f>
        <v>#NAME?</v>
      </c>
      <c r="K150" s="122" t="e">
        <f t="shared" ca="1" si="3"/>
        <v>#NAME?</v>
      </c>
      <c r="L150" s="334" t="e" cm="1">
        <f t="array" aca="1" ref="L150" ca="1">_xlfn.SINGLE(IF($A150="S",IF(CAIXA.Modo,BM.AFAcumulado,BM.MEDAcumulado),IF(AND(_xlfn.SINGLE(RegimeExecucao)="Global",$I150&gt;0,COUNTIF($AB$13:$AM$13,BM.medicao)&gt;0),O150/$I150*100,0)))</f>
        <v>#NAME?</v>
      </c>
      <c r="M150" s="335" t="e">
        <f ca="1">IF($A150="S",VTOTALBM,IF($A150=0,0,ROUND(SomaAgrupBM,15-13*ORÇAMENTO!$AF$11)))</f>
        <v>#NAME?</v>
      </c>
      <c r="N150" s="336" t="e">
        <f t="shared" ca="1" si="4"/>
        <v>#NAME?</v>
      </c>
      <c r="O150" s="125" t="e">
        <f ca="1">IF($A150="S",VTOTALBM,IF($A150=0,0,ROUND(SomaAgrupBM,15-13*ORÇAMENTO!$AF$11)))</f>
        <v>#NAME?</v>
      </c>
      <c r="Q150" s="337"/>
      <c r="R150" s="338"/>
      <c r="T150" s="117" t="e">
        <f t="shared" ca="1" si="5"/>
        <v>#NAME?</v>
      </c>
      <c r="U150" s="163" t="e">
        <f t="shared" ca="1" si="6"/>
        <v>#NAME?</v>
      </c>
      <c r="V150" s="164" t="e">
        <f ca="1">IF(AND($W150&gt;0,RegimeExecucao="Unitário"),$F150,"")</f>
        <v>#NAME?</v>
      </c>
      <c r="W150" s="454" t="e">
        <f ca="1">IF($Y150&gt;0,CHOOSE(MATCH(RegimeExecucao,{"Unitário","Global"},0),IF($A150="S",$Y150/$X150,""),($Y150/$X150)*100),0)</f>
        <v>#NAME?</v>
      </c>
      <c r="X150" s="339" t="e">
        <f ca="1">IF($Y150&gt;0,CHOOSE(MATCH(RegimeExecucao,{"Unitário","Global"},0),IF($A150="S",ROUND($H150,ORÇAMENTO!$AF$10),""),ROUND($I150,ORÇAMENTO!$AF$11)),"")</f>
        <v>#NAME?</v>
      </c>
      <c r="Y150" s="339" t="e">
        <f t="shared" ca="1" si="7"/>
        <v>#NAME?</v>
      </c>
      <c r="Z150" s="473"/>
      <c r="AB150" s="337"/>
      <c r="AC150" s="437"/>
      <c r="AD150" s="437"/>
      <c r="AE150" s="437"/>
      <c r="AF150" s="437"/>
      <c r="AG150" s="437"/>
      <c r="AH150" s="437"/>
      <c r="AI150" s="437"/>
      <c r="AJ150" s="437"/>
      <c r="AK150" s="437"/>
      <c r="AL150" s="437"/>
      <c r="AM150" s="338"/>
      <c r="AO150">
        <f ca="1">IF($A150="S",IF(BM!$I150=0,0,CHOOSE(MATCH(RegimeExecucao,{"Global","Unitário"},0),ROUND(ROUND(BM.MEDAcumulado,15-13*BM!$A$9)/100*BM!$I150,15-13*ORÇAMENTO!$AF$11),ROUND(ROUND(BM.MEDAcumulado,15-13*BM!$A$9)*ROUND(BM!$H150,15-13*ORÇAMENTO!$AF$10),15-13*ORÇAMENTO!$AF$11))),IF($A150=0,0,ROUND(SomaAgrupBM,15-13*ORÇAMENTO!$AF$11)))</f>
        <v>0</v>
      </c>
    </row>
    <row r="151" spans="1:41" ht="26.4" x14ac:dyDescent="0.3">
      <c r="A151" t="str">
        <f ca="1">ORÇAMENTO!C151</f>
        <v>S</v>
      </c>
      <c r="B151">
        <f ca="1">ORÇAMENTO!D151</f>
        <v>0</v>
      </c>
      <c r="C151" s="114" t="str">
        <f t="shared" ca="1" si="1"/>
        <v>F</v>
      </c>
      <c r="D151" s="117" t="str">
        <f ca="1">ORÇAMENTO!O151</f>
        <v>4.2.10.</v>
      </c>
      <c r="E151" s="163" t="str">
        <f t="shared" ca="1" si="2"/>
        <v>Transporte de material betuminoso com caminhão tanque distribuidor - rodovia pavimentada</v>
      </c>
      <c r="F151" s="164" t="str">
        <f ca="1">IF(RegimeExecucao="Global","",ORÇAMENTO.Unidade)</f>
        <v>tkm</v>
      </c>
      <c r="G151" s="122">
        <f ca="1">IF(RegimeExecucao="Global","",ORÇAMENTO!T151)</f>
        <v>344.85</v>
      </c>
      <c r="H151" s="122">
        <f ca="1">IF(RegimeExecucao="Global","",ORÇAMENTO!W151)</f>
        <v>2.5499999999999998</v>
      </c>
      <c r="I151" s="125">
        <f ca="1">ORÇAMENTO!X151</f>
        <v>879.37</v>
      </c>
      <c r="J151" s="333" t="e" cm="1">
        <f t="array" aca="1" ref="J151" ca="1">_xlfn.SINGLE(IF($A151="S",IF(CAIXA.Modo,BM.AFAnterior,BM.MEDAnterior),IF(AND(_xlfn.SINGLE(RegimeExecucao)="Global",$I151&gt;0,COUNTIF($AB$13:$AM$13,BM.medicao-1)&gt;0),M151/$I151*100,0)))</f>
        <v>#NAME?</v>
      </c>
      <c r="K151" s="122" t="e">
        <f t="shared" ca="1" si="3"/>
        <v>#NAME?</v>
      </c>
      <c r="L151" s="334" t="e" cm="1">
        <f t="array" aca="1" ref="L151" ca="1">_xlfn.SINGLE(IF($A151="S",IF(CAIXA.Modo,BM.AFAcumulado,BM.MEDAcumulado),IF(AND(_xlfn.SINGLE(RegimeExecucao)="Global",$I151&gt;0,COUNTIF($AB$13:$AM$13,BM.medicao)&gt;0),O151/$I151*100,0)))</f>
        <v>#NAME?</v>
      </c>
      <c r="M151" s="335" t="e">
        <f ca="1">IF($A151="S",VTOTALBM,IF($A151=0,0,ROUND(SomaAgrupBM,15-13*ORÇAMENTO!$AF$11)))</f>
        <v>#NAME?</v>
      </c>
      <c r="N151" s="336" t="e">
        <f t="shared" ca="1" si="4"/>
        <v>#NAME?</v>
      </c>
      <c r="O151" s="125" t="e">
        <f ca="1">IF($A151="S",VTOTALBM,IF($A151=0,0,ROUND(SomaAgrupBM,15-13*ORÇAMENTO!$AF$11)))</f>
        <v>#NAME?</v>
      </c>
      <c r="Q151" s="337"/>
      <c r="R151" s="338"/>
      <c r="T151" s="117" t="e">
        <f t="shared" ca="1" si="5"/>
        <v>#NAME?</v>
      </c>
      <c r="U151" s="163" t="e">
        <f t="shared" ca="1" si="6"/>
        <v>#NAME?</v>
      </c>
      <c r="V151" s="164" t="e">
        <f ca="1">IF(AND($W151&gt;0,RegimeExecucao="Unitário"),$F151,"")</f>
        <v>#NAME?</v>
      </c>
      <c r="W151" s="454" t="e">
        <f ca="1">IF($Y151&gt;0,CHOOSE(MATCH(RegimeExecucao,{"Unitário","Global"},0),IF($A151="S",$Y151/$X151,""),($Y151/$X151)*100),0)</f>
        <v>#NAME?</v>
      </c>
      <c r="X151" s="339" t="e">
        <f ca="1">IF($Y151&gt;0,CHOOSE(MATCH(RegimeExecucao,{"Unitário","Global"},0),IF($A151="S",ROUND($H151,ORÇAMENTO!$AF$10),""),ROUND($I151,ORÇAMENTO!$AF$11)),"")</f>
        <v>#NAME?</v>
      </c>
      <c r="Y151" s="339" t="e">
        <f t="shared" ca="1" si="7"/>
        <v>#NAME?</v>
      </c>
      <c r="Z151" s="473"/>
      <c r="AB151" s="337"/>
      <c r="AC151" s="437"/>
      <c r="AD151" s="437"/>
      <c r="AE151" s="437"/>
      <c r="AF151" s="437"/>
      <c r="AG151" s="437"/>
      <c r="AH151" s="437"/>
      <c r="AI151" s="437"/>
      <c r="AJ151" s="437"/>
      <c r="AK151" s="437"/>
      <c r="AL151" s="437"/>
      <c r="AM151" s="338"/>
      <c r="AO151">
        <f ca="1">IF($A151="S",IF(BM!$I151=0,0,CHOOSE(MATCH(RegimeExecucao,{"Global","Unitário"},0),ROUND(ROUND(BM.MEDAcumulado,15-13*BM!$A$9)/100*BM!$I151,15-13*ORÇAMENTO!$AF$11),ROUND(ROUND(BM.MEDAcumulado,15-13*BM!$A$9)*ROUND(BM!$H151,15-13*ORÇAMENTO!$AF$10),15-13*ORÇAMENTO!$AF$11))),IF($A151=0,0,ROUND(SomaAgrupBM,15-13*ORÇAMENTO!$AF$11)))</f>
        <v>0</v>
      </c>
    </row>
    <row r="152" spans="1:41" ht="13.8" x14ac:dyDescent="0.3">
      <c r="A152" t="str">
        <f ca="1">ORÇAMENTO!C152</f>
        <v>S</v>
      </c>
      <c r="B152">
        <f ca="1">ORÇAMENTO!D152</f>
        <v>0</v>
      </c>
      <c r="C152" s="114" t="str">
        <f t="shared" ca="1" si="1"/>
        <v>F</v>
      </c>
      <c r="D152" s="117" t="str">
        <f ca="1">ORÇAMENTO!O152</f>
        <v>4.2.11.</v>
      </c>
      <c r="E152" s="163" t="str">
        <f t="shared" ca="1" si="2"/>
        <v>Concreto asfáltico - faixa C-12,5 - areia e brita comerciais</v>
      </c>
      <c r="F152" s="164" t="str">
        <f ca="1">IF(RegimeExecucao="Global","",ORÇAMENTO.Unidade)</f>
        <v>t</v>
      </c>
      <c r="G152" s="122">
        <f ca="1">IF(RegimeExecucao="Global","",ORÇAMENTO!T152)</f>
        <v>228.3</v>
      </c>
      <c r="H152" s="122">
        <f ca="1">IF(RegimeExecucao="Global","",ORÇAMENTO!W152)</f>
        <v>233.91</v>
      </c>
      <c r="I152" s="125">
        <f ca="1">ORÇAMENTO!X152</f>
        <v>53401.65</v>
      </c>
      <c r="J152" s="333" t="e" cm="1">
        <f t="array" aca="1" ref="J152" ca="1">_xlfn.SINGLE(IF($A152="S",IF(CAIXA.Modo,BM.AFAnterior,BM.MEDAnterior),IF(AND(_xlfn.SINGLE(RegimeExecucao)="Global",$I152&gt;0,COUNTIF($AB$13:$AM$13,BM.medicao-1)&gt;0),M152/$I152*100,0)))</f>
        <v>#NAME?</v>
      </c>
      <c r="K152" s="122" t="e">
        <f t="shared" ca="1" si="3"/>
        <v>#NAME?</v>
      </c>
      <c r="L152" s="334" t="e" cm="1">
        <f t="array" aca="1" ref="L152" ca="1">_xlfn.SINGLE(IF($A152="S",IF(CAIXA.Modo,BM.AFAcumulado,BM.MEDAcumulado),IF(AND(_xlfn.SINGLE(RegimeExecucao)="Global",$I152&gt;0,COUNTIF($AB$13:$AM$13,BM.medicao)&gt;0),O152/$I152*100,0)))</f>
        <v>#NAME?</v>
      </c>
      <c r="M152" s="335" t="e">
        <f ca="1">IF($A152="S",VTOTALBM,IF($A152=0,0,ROUND(SomaAgrupBM,15-13*ORÇAMENTO!$AF$11)))</f>
        <v>#NAME?</v>
      </c>
      <c r="N152" s="336" t="e">
        <f t="shared" ca="1" si="4"/>
        <v>#NAME?</v>
      </c>
      <c r="O152" s="125" t="e">
        <f ca="1">IF($A152="S",VTOTALBM,IF($A152=0,0,ROUND(SomaAgrupBM,15-13*ORÇAMENTO!$AF$11)))</f>
        <v>#NAME?</v>
      </c>
      <c r="Q152" s="337"/>
      <c r="R152" s="338"/>
      <c r="T152" s="117" t="e">
        <f t="shared" ca="1" si="5"/>
        <v>#NAME?</v>
      </c>
      <c r="U152" s="163" t="e">
        <f t="shared" ca="1" si="6"/>
        <v>#NAME?</v>
      </c>
      <c r="V152" s="164" t="e">
        <f ca="1">IF(AND($W152&gt;0,RegimeExecucao="Unitário"),$F152,"")</f>
        <v>#NAME?</v>
      </c>
      <c r="W152" s="454" t="e">
        <f ca="1">IF($Y152&gt;0,CHOOSE(MATCH(RegimeExecucao,{"Unitário","Global"},0),IF($A152="S",$Y152/$X152,""),($Y152/$X152)*100),0)</f>
        <v>#NAME?</v>
      </c>
      <c r="X152" s="339" t="e">
        <f ca="1">IF($Y152&gt;0,CHOOSE(MATCH(RegimeExecucao,{"Unitário","Global"},0),IF($A152="S",ROUND($H152,ORÇAMENTO!$AF$10),""),ROUND($I152,ORÇAMENTO!$AF$11)),"")</f>
        <v>#NAME?</v>
      </c>
      <c r="Y152" s="339" t="e">
        <f t="shared" ca="1" si="7"/>
        <v>#NAME?</v>
      </c>
      <c r="Z152" s="473"/>
      <c r="AB152" s="337"/>
      <c r="AC152" s="437"/>
      <c r="AD152" s="437"/>
      <c r="AE152" s="437"/>
      <c r="AF152" s="437"/>
      <c r="AG152" s="437"/>
      <c r="AH152" s="437"/>
      <c r="AI152" s="437"/>
      <c r="AJ152" s="437"/>
      <c r="AK152" s="437"/>
      <c r="AL152" s="437"/>
      <c r="AM152" s="338"/>
      <c r="AO152">
        <f ca="1">IF($A152="S",IF(BM!$I152=0,0,CHOOSE(MATCH(RegimeExecucao,{"Global","Unitário"},0),ROUND(ROUND(BM.MEDAcumulado,15-13*BM!$A$9)/100*BM!$I152,15-13*ORÇAMENTO!$AF$11),ROUND(ROUND(BM.MEDAcumulado,15-13*BM!$A$9)*ROUND(BM!$H152,15-13*ORÇAMENTO!$AF$10),15-13*ORÇAMENTO!$AF$11))),IF($A152=0,0,ROUND(SomaAgrupBM,15-13*ORÇAMENTO!$AF$11)))</f>
        <v>0</v>
      </c>
    </row>
    <row r="153" spans="1:41" ht="13.8" x14ac:dyDescent="0.3">
      <c r="A153" t="str">
        <f ca="1">ORÇAMENTO!C153</f>
        <v>S</v>
      </c>
      <c r="B153">
        <f ca="1">ORÇAMENTO!D153</f>
        <v>0</v>
      </c>
      <c r="C153" s="114" t="str">
        <f t="shared" ca="1" si="1"/>
        <v>F</v>
      </c>
      <c r="D153" s="117" t="str">
        <f ca="1">ORÇAMENTO!O153</f>
        <v>4.2.12.</v>
      </c>
      <c r="E153" s="163" t="str">
        <f t="shared" ca="1" si="2"/>
        <v>Transporte com caminhão basculante de 10 m³ - rodovia pavimentada</v>
      </c>
      <c r="F153" s="164" t="str">
        <f ca="1">IF(RegimeExecucao="Global","",ORÇAMENTO.Unidade)</f>
        <v>tkm</v>
      </c>
      <c r="G153" s="122">
        <f ca="1">IF(RegimeExecucao="Global","",ORÇAMENTO!T153)</f>
        <v>4794.3</v>
      </c>
      <c r="H153" s="122">
        <f ca="1">IF(RegimeExecucao="Global","",ORÇAMENTO!W153)</f>
        <v>1.01</v>
      </c>
      <c r="I153" s="125">
        <f ca="1">ORÇAMENTO!X153</f>
        <v>4842.24</v>
      </c>
      <c r="J153" s="333" t="e" cm="1">
        <f t="array" aca="1" ref="J153" ca="1">_xlfn.SINGLE(IF($A153="S",IF(CAIXA.Modo,BM.AFAnterior,BM.MEDAnterior),IF(AND(_xlfn.SINGLE(RegimeExecucao)="Global",$I153&gt;0,COUNTIF($AB$13:$AM$13,BM.medicao-1)&gt;0),M153/$I153*100,0)))</f>
        <v>#NAME?</v>
      </c>
      <c r="K153" s="122" t="e">
        <f t="shared" ca="1" si="3"/>
        <v>#NAME?</v>
      </c>
      <c r="L153" s="334" t="e" cm="1">
        <f t="array" aca="1" ref="L153" ca="1">_xlfn.SINGLE(IF($A153="S",IF(CAIXA.Modo,BM.AFAcumulado,BM.MEDAcumulado),IF(AND(_xlfn.SINGLE(RegimeExecucao)="Global",$I153&gt;0,COUNTIF($AB$13:$AM$13,BM.medicao)&gt;0),O153/$I153*100,0)))</f>
        <v>#NAME?</v>
      </c>
      <c r="M153" s="335" t="e">
        <f ca="1">IF($A153="S",VTOTALBM,IF($A153=0,0,ROUND(SomaAgrupBM,15-13*ORÇAMENTO!$AF$11)))</f>
        <v>#NAME?</v>
      </c>
      <c r="N153" s="336" t="e">
        <f t="shared" ca="1" si="4"/>
        <v>#NAME?</v>
      </c>
      <c r="O153" s="125" t="e">
        <f ca="1">IF($A153="S",VTOTALBM,IF($A153=0,0,ROUND(SomaAgrupBM,15-13*ORÇAMENTO!$AF$11)))</f>
        <v>#NAME?</v>
      </c>
      <c r="Q153" s="337"/>
      <c r="R153" s="338"/>
      <c r="T153" s="117" t="e">
        <f t="shared" ca="1" si="5"/>
        <v>#NAME?</v>
      </c>
      <c r="U153" s="163" t="e">
        <f t="shared" ca="1" si="6"/>
        <v>#NAME?</v>
      </c>
      <c r="V153" s="164" t="e">
        <f ca="1">IF(AND($W153&gt;0,RegimeExecucao="Unitário"),$F153,"")</f>
        <v>#NAME?</v>
      </c>
      <c r="W153" s="454" t="e">
        <f ca="1">IF($Y153&gt;0,CHOOSE(MATCH(RegimeExecucao,{"Unitário","Global"},0),IF($A153="S",$Y153/$X153,""),($Y153/$X153)*100),0)</f>
        <v>#NAME?</v>
      </c>
      <c r="X153" s="339" t="e">
        <f ca="1">IF($Y153&gt;0,CHOOSE(MATCH(RegimeExecucao,{"Unitário","Global"},0),IF($A153="S",ROUND($H153,ORÇAMENTO!$AF$10),""),ROUND($I153,ORÇAMENTO!$AF$11)),"")</f>
        <v>#NAME?</v>
      </c>
      <c r="Y153" s="339" t="e">
        <f t="shared" ca="1" si="7"/>
        <v>#NAME?</v>
      </c>
      <c r="Z153" s="473"/>
      <c r="AB153" s="337"/>
      <c r="AC153" s="437"/>
      <c r="AD153" s="437"/>
      <c r="AE153" s="437"/>
      <c r="AF153" s="437"/>
      <c r="AG153" s="437"/>
      <c r="AH153" s="437"/>
      <c r="AI153" s="437"/>
      <c r="AJ153" s="437"/>
      <c r="AK153" s="437"/>
      <c r="AL153" s="437"/>
      <c r="AM153" s="338"/>
      <c r="AO153">
        <f ca="1">IF($A153="S",IF(BM!$I153=0,0,CHOOSE(MATCH(RegimeExecucao,{"Global","Unitário"},0),ROUND(ROUND(BM.MEDAcumulado,15-13*BM!$A$9)/100*BM!$I153,15-13*ORÇAMENTO!$AF$11),ROUND(ROUND(BM.MEDAcumulado,15-13*BM!$A$9)*ROUND(BM!$H153,15-13*ORÇAMENTO!$AF$10),15-13*ORÇAMENTO!$AF$11))),IF($A153=0,0,ROUND(SomaAgrupBM,15-13*ORÇAMENTO!$AF$11)))</f>
        <v>0</v>
      </c>
    </row>
    <row r="154" spans="1:41" ht="26.4" x14ac:dyDescent="0.3">
      <c r="A154" t="str">
        <f ca="1">ORÇAMENTO!C154</f>
        <v>S</v>
      </c>
      <c r="B154">
        <f ca="1">ORÇAMENTO!D154</f>
        <v>0</v>
      </c>
      <c r="C154" s="114" t="str">
        <f t="shared" ca="1" si="1"/>
        <v>F</v>
      </c>
      <c r="D154" s="117" t="str">
        <f ca="1">ORÇAMENTO!O154</f>
        <v>4.2.13.</v>
      </c>
      <c r="E154" s="163" t="str">
        <f t="shared" ca="1" si="2"/>
        <v>CIMENTO ASFÁLTICO CAP 50-70, COLETADO NA ANP, ACRESCIDO DE IMPOSTOS (ICMS, PIS, CONFINS)</v>
      </c>
      <c r="F154" s="164" t="str">
        <f ca="1">IF(RegimeExecucao="Global","",ORÇAMENTO.Unidade)</f>
        <v>KG</v>
      </c>
      <c r="G154" s="122">
        <f ca="1">IF(RegimeExecucao="Global","",ORÇAMENTO!T154)</f>
        <v>12922.32</v>
      </c>
      <c r="H154" s="122">
        <f ca="1">IF(RegimeExecucao="Global","",ORÇAMENTO!W154)</f>
        <v>5.59</v>
      </c>
      <c r="I154" s="125">
        <f ca="1">ORÇAMENTO!X154</f>
        <v>72235.77</v>
      </c>
      <c r="J154" s="333" t="e" cm="1">
        <f t="array" aca="1" ref="J154" ca="1">_xlfn.SINGLE(IF($A154="S",IF(CAIXA.Modo,BM.AFAnterior,BM.MEDAnterior),IF(AND(_xlfn.SINGLE(RegimeExecucao)="Global",$I154&gt;0,COUNTIF($AB$13:$AM$13,BM.medicao-1)&gt;0),M154/$I154*100,0)))</f>
        <v>#NAME?</v>
      </c>
      <c r="K154" s="122" t="e">
        <f t="shared" ca="1" si="3"/>
        <v>#NAME?</v>
      </c>
      <c r="L154" s="334" t="e" cm="1">
        <f t="array" aca="1" ref="L154" ca="1">_xlfn.SINGLE(IF($A154="S",IF(CAIXA.Modo,BM.AFAcumulado,BM.MEDAcumulado),IF(AND(_xlfn.SINGLE(RegimeExecucao)="Global",$I154&gt;0,COUNTIF($AB$13:$AM$13,BM.medicao)&gt;0),O154/$I154*100,0)))</f>
        <v>#NAME?</v>
      </c>
      <c r="M154" s="335" t="e">
        <f ca="1">IF($A154="S",VTOTALBM,IF($A154=0,0,ROUND(SomaAgrupBM,15-13*ORÇAMENTO!$AF$11)))</f>
        <v>#NAME?</v>
      </c>
      <c r="N154" s="336" t="e">
        <f t="shared" ca="1" si="4"/>
        <v>#NAME?</v>
      </c>
      <c r="O154" s="125" t="e">
        <f ca="1">IF($A154="S",VTOTALBM,IF($A154=0,0,ROUND(SomaAgrupBM,15-13*ORÇAMENTO!$AF$11)))</f>
        <v>#NAME?</v>
      </c>
      <c r="Q154" s="337"/>
      <c r="R154" s="338"/>
      <c r="T154" s="117" t="e">
        <f t="shared" ca="1" si="5"/>
        <v>#NAME?</v>
      </c>
      <c r="U154" s="163" t="e">
        <f t="shared" ca="1" si="6"/>
        <v>#NAME?</v>
      </c>
      <c r="V154" s="164" t="e">
        <f ca="1">IF(AND($W154&gt;0,RegimeExecucao="Unitário"),$F154,"")</f>
        <v>#NAME?</v>
      </c>
      <c r="W154" s="454" t="e">
        <f ca="1">IF($Y154&gt;0,CHOOSE(MATCH(RegimeExecucao,{"Unitário","Global"},0),IF($A154="S",$Y154/$X154,""),($Y154/$X154)*100),0)</f>
        <v>#NAME?</v>
      </c>
      <c r="X154" s="339" t="e">
        <f ca="1">IF($Y154&gt;0,CHOOSE(MATCH(RegimeExecucao,{"Unitário","Global"},0),IF($A154="S",ROUND($H154,ORÇAMENTO!$AF$10),""),ROUND($I154,ORÇAMENTO!$AF$11)),"")</f>
        <v>#NAME?</v>
      </c>
      <c r="Y154" s="339" t="e">
        <f t="shared" ca="1" si="7"/>
        <v>#NAME?</v>
      </c>
      <c r="Z154" s="473"/>
      <c r="AB154" s="337"/>
      <c r="AC154" s="437"/>
      <c r="AD154" s="437"/>
      <c r="AE154" s="437"/>
      <c r="AF154" s="437"/>
      <c r="AG154" s="437"/>
      <c r="AH154" s="437"/>
      <c r="AI154" s="437"/>
      <c r="AJ154" s="437"/>
      <c r="AK154" s="437"/>
      <c r="AL154" s="437"/>
      <c r="AM154" s="338"/>
      <c r="AO154">
        <f ca="1">IF($A154="S",IF(BM!$I154=0,0,CHOOSE(MATCH(RegimeExecucao,{"Global","Unitário"},0),ROUND(ROUND(BM.MEDAcumulado,15-13*BM!$A$9)/100*BM!$I154,15-13*ORÇAMENTO!$AF$11),ROUND(ROUND(BM.MEDAcumulado,15-13*BM!$A$9)*ROUND(BM!$H154,15-13*ORÇAMENTO!$AF$10),15-13*ORÇAMENTO!$AF$11))),IF($A154=0,0,ROUND(SomaAgrupBM,15-13*ORÇAMENTO!$AF$11)))</f>
        <v>0</v>
      </c>
    </row>
    <row r="155" spans="1:41" ht="26.4" x14ac:dyDescent="0.3">
      <c r="A155" t="str">
        <f ca="1">ORÇAMENTO!C155</f>
        <v>S</v>
      </c>
      <c r="B155">
        <f ca="1">ORÇAMENTO!D155</f>
        <v>0</v>
      </c>
      <c r="C155" s="114" t="str">
        <f t="shared" ca="1" si="1"/>
        <v>F</v>
      </c>
      <c r="D155" s="117" t="str">
        <f ca="1">ORÇAMENTO!O155</f>
        <v>4.2.14.</v>
      </c>
      <c r="E155" s="163" t="str">
        <f t="shared" ca="1" si="2"/>
        <v>Transporte de material betuminoso com caminhão tanque distribuidor - rodovia pavimentada</v>
      </c>
      <c r="F155" s="164" t="str">
        <f ca="1">IF(RegimeExecucao="Global","",ORÇAMENTO.Unidade)</f>
        <v>tkm</v>
      </c>
      <c r="G155" s="122">
        <f ca="1">IF(RegimeExecucao="Global","",ORÇAMENTO!T155)</f>
        <v>4354.82</v>
      </c>
      <c r="H155" s="122">
        <f ca="1">IF(RegimeExecucao="Global","",ORÇAMENTO!W155)</f>
        <v>2.5499999999999998</v>
      </c>
      <c r="I155" s="125">
        <f ca="1">ORÇAMENTO!X155</f>
        <v>11104.79</v>
      </c>
      <c r="J155" s="333" t="e" cm="1">
        <f t="array" aca="1" ref="J155" ca="1">_xlfn.SINGLE(IF($A155="S",IF(CAIXA.Modo,BM.AFAnterior,BM.MEDAnterior),IF(AND(_xlfn.SINGLE(RegimeExecucao)="Global",$I155&gt;0,COUNTIF($AB$13:$AM$13,BM.medicao-1)&gt;0),M155/$I155*100,0)))</f>
        <v>#NAME?</v>
      </c>
      <c r="K155" s="122" t="e">
        <f t="shared" ca="1" si="3"/>
        <v>#NAME?</v>
      </c>
      <c r="L155" s="334" t="e" cm="1">
        <f t="array" aca="1" ref="L155" ca="1">_xlfn.SINGLE(IF($A155="S",IF(CAIXA.Modo,BM.AFAcumulado,BM.MEDAcumulado),IF(AND(_xlfn.SINGLE(RegimeExecucao)="Global",$I155&gt;0,COUNTIF($AB$13:$AM$13,BM.medicao)&gt;0),O155/$I155*100,0)))</f>
        <v>#NAME?</v>
      </c>
      <c r="M155" s="335" t="e">
        <f ca="1">IF($A155="S",VTOTALBM,IF($A155=0,0,ROUND(SomaAgrupBM,15-13*ORÇAMENTO!$AF$11)))</f>
        <v>#NAME?</v>
      </c>
      <c r="N155" s="336" t="e">
        <f t="shared" ca="1" si="4"/>
        <v>#NAME?</v>
      </c>
      <c r="O155" s="125" t="e">
        <f ca="1">IF($A155="S",VTOTALBM,IF($A155=0,0,ROUND(SomaAgrupBM,15-13*ORÇAMENTO!$AF$11)))</f>
        <v>#NAME?</v>
      </c>
      <c r="Q155" s="337"/>
      <c r="R155" s="338"/>
      <c r="T155" s="117" t="e">
        <f t="shared" ca="1" si="5"/>
        <v>#NAME?</v>
      </c>
      <c r="U155" s="163" t="e">
        <f t="shared" ca="1" si="6"/>
        <v>#NAME?</v>
      </c>
      <c r="V155" s="164" t="e">
        <f ca="1">IF(AND($W155&gt;0,RegimeExecucao="Unitário"),$F155,"")</f>
        <v>#NAME?</v>
      </c>
      <c r="W155" s="454" t="e">
        <f ca="1">IF($Y155&gt;0,CHOOSE(MATCH(RegimeExecucao,{"Unitário","Global"},0),IF($A155="S",$Y155/$X155,""),($Y155/$X155)*100),0)</f>
        <v>#NAME?</v>
      </c>
      <c r="X155" s="339" t="e">
        <f ca="1">IF($Y155&gt;0,CHOOSE(MATCH(RegimeExecucao,{"Unitário","Global"},0),IF($A155="S",ROUND($H155,ORÇAMENTO!$AF$10),""),ROUND($I155,ORÇAMENTO!$AF$11)),"")</f>
        <v>#NAME?</v>
      </c>
      <c r="Y155" s="339" t="e">
        <f t="shared" ca="1" si="7"/>
        <v>#NAME?</v>
      </c>
      <c r="Z155" s="473"/>
      <c r="AB155" s="337"/>
      <c r="AC155" s="437"/>
      <c r="AD155" s="437"/>
      <c r="AE155" s="437"/>
      <c r="AF155" s="437"/>
      <c r="AG155" s="437"/>
      <c r="AH155" s="437"/>
      <c r="AI155" s="437"/>
      <c r="AJ155" s="437"/>
      <c r="AK155" s="437"/>
      <c r="AL155" s="437"/>
      <c r="AM155" s="338"/>
      <c r="AO155">
        <f ca="1">IF($A155="S",IF(BM!$I155=0,0,CHOOSE(MATCH(RegimeExecucao,{"Global","Unitário"},0),ROUND(ROUND(BM.MEDAcumulado,15-13*BM!$A$9)/100*BM!$I155,15-13*ORÇAMENTO!$AF$11),ROUND(ROUND(BM.MEDAcumulado,15-13*BM!$A$9)*ROUND(BM!$H155,15-13*ORÇAMENTO!$AF$10),15-13*ORÇAMENTO!$AF$11))),IF($A155=0,0,ROUND(SomaAgrupBM,15-13*ORÇAMENTO!$AF$11)))</f>
        <v>0</v>
      </c>
    </row>
    <row r="156" spans="1:41" ht="13.8" x14ac:dyDescent="0.3">
      <c r="A156">
        <f ca="1">ORÇAMENTO!C156</f>
        <v>2</v>
      </c>
      <c r="B156">
        <f ca="1">ORÇAMENTO!D156</f>
        <v>2</v>
      </c>
      <c r="C156" s="114" t="str">
        <f t="shared" ca="1" si="1"/>
        <v>F</v>
      </c>
      <c r="D156" s="117" t="str">
        <f ca="1">ORÇAMENTO!O156</f>
        <v>4.3.</v>
      </c>
      <c r="E156" s="163" t="str">
        <f t="shared" si="2"/>
        <v>SINALIZAÇÃO</v>
      </c>
      <c r="F156" s="164" t="str">
        <f ca="1">IF(RegimeExecucao="Global","",ORÇAMENTO.Unidade)</f>
        <v>-</v>
      </c>
      <c r="G156" s="122">
        <f ca="1">IF(RegimeExecucao="Global","",ORÇAMENTO!T156)</f>
        <v>0</v>
      </c>
      <c r="H156" s="122">
        <f ca="1">IF(RegimeExecucao="Global","",ORÇAMENTO!W156)</f>
        <v>0</v>
      </c>
      <c r="I156" s="125">
        <f ca="1">ORÇAMENTO!X156</f>
        <v>963.71</v>
      </c>
      <c r="J156" s="333" t="e" cm="1">
        <f t="array" aca="1" ref="J156" ca="1">_xlfn.SINGLE(IF($A156="S",IF(CAIXA.Modo,BM.AFAnterior,BM.MEDAnterior),IF(AND(_xlfn.SINGLE(RegimeExecucao)="Global",$I156&gt;0,COUNTIF($AB$13:$AM$13,BM.medicao-1)&gt;0),M156/$I156*100,0)))</f>
        <v>#NAME?</v>
      </c>
      <c r="K156" s="122" t="e">
        <f t="shared" ca="1" si="3"/>
        <v>#NAME?</v>
      </c>
      <c r="L156" s="334" t="e" cm="1">
        <f t="array" aca="1" ref="L156" ca="1">_xlfn.SINGLE(IF($A156="S",IF(CAIXA.Modo,BM.AFAcumulado,BM.MEDAcumulado),IF(AND(_xlfn.SINGLE(RegimeExecucao)="Global",$I156&gt;0,COUNTIF($AB$13:$AM$13,BM.medicao)&gt;0),O156/$I156*100,0)))</f>
        <v>#NAME?</v>
      </c>
      <c r="M156" s="335" t="e">
        <f ca="1">IF($A156="S",VTOTALBM,IF($A156=0,0,ROUND(SomaAgrupBM,15-13*ORÇAMENTO!$AF$11)))</f>
        <v>#NAME?</v>
      </c>
      <c r="N156" s="336" t="e">
        <f t="shared" ca="1" si="4"/>
        <v>#NAME?</v>
      </c>
      <c r="O156" s="125" t="e">
        <f ca="1">IF($A156="S",VTOTALBM,IF($A156=0,0,ROUND(SomaAgrupBM,15-13*ORÇAMENTO!$AF$11)))</f>
        <v>#NAME?</v>
      </c>
      <c r="Q156" s="337"/>
      <c r="R156" s="338"/>
      <c r="T156" s="117" t="e">
        <f t="shared" ca="1" si="5"/>
        <v>#NAME?</v>
      </c>
      <c r="U156" s="163" t="e">
        <f t="shared" ca="1" si="6"/>
        <v>#NAME?</v>
      </c>
      <c r="V156" s="164" t="e">
        <f ca="1">IF(AND($W156&gt;0,RegimeExecucao="Unitário"),$F156,"")</f>
        <v>#NAME?</v>
      </c>
      <c r="W156" s="454" t="e">
        <f ca="1">IF($Y156&gt;0,CHOOSE(MATCH(RegimeExecucao,{"Unitário","Global"},0),IF($A156="S",$Y156/$X156,""),($Y156/$X156)*100),0)</f>
        <v>#NAME?</v>
      </c>
      <c r="X156" s="339" t="e">
        <f ca="1">IF($Y156&gt;0,CHOOSE(MATCH(RegimeExecucao,{"Unitário","Global"},0),IF($A156="S",ROUND($H156,ORÇAMENTO!$AF$10),""),ROUND($I156,ORÇAMENTO!$AF$11)),"")</f>
        <v>#NAME?</v>
      </c>
      <c r="Y156" s="339" t="e">
        <f t="shared" ca="1" si="7"/>
        <v>#NAME?</v>
      </c>
      <c r="Z156" s="473"/>
      <c r="AB156" s="337"/>
      <c r="AC156" s="437"/>
      <c r="AD156" s="437"/>
      <c r="AE156" s="437"/>
      <c r="AF156" s="437"/>
      <c r="AG156" s="437"/>
      <c r="AH156" s="437"/>
      <c r="AI156" s="437"/>
      <c r="AJ156" s="437"/>
      <c r="AK156" s="437"/>
      <c r="AL156" s="437"/>
      <c r="AM156" s="338"/>
      <c r="AO156">
        <f ca="1">IF($A156="S",IF(BM!$I156=0,0,CHOOSE(MATCH(RegimeExecucao,{"Global","Unitário"},0),ROUND(ROUND(BM.MEDAcumulado,15-13*BM!$A$9)/100*BM!$I156,15-13*ORÇAMENTO!$AF$11),ROUND(ROUND(BM.MEDAcumulado,15-13*BM!$A$9)*ROUND(BM!$H156,15-13*ORÇAMENTO!$AF$10),15-13*ORÇAMENTO!$AF$11))),IF($A156=0,0,ROUND(SomaAgrupBM,15-13*ORÇAMENTO!$AF$11)))</f>
        <v>0</v>
      </c>
    </row>
    <row r="157" spans="1:41" ht="13.8" x14ac:dyDescent="0.3">
      <c r="A157" t="str">
        <f ca="1">ORÇAMENTO!C157</f>
        <v>S</v>
      </c>
      <c r="B157">
        <f ca="1">ORÇAMENTO!D157</f>
        <v>0</v>
      </c>
      <c r="C157" s="114" t="str">
        <f t="shared" ca="1" si="1"/>
        <v>F</v>
      </c>
      <c r="D157" s="117" t="str">
        <f ca="1">ORÇAMENTO!O157</f>
        <v>4.3.1.</v>
      </c>
      <c r="E157" s="163" t="str">
        <f t="shared" ca="1" si="2"/>
        <v>PLACA DE ADVERTÊNCIA QUADRADA LADO 0,60M</v>
      </c>
      <c r="F157" s="164" t="str">
        <f ca="1">IF(RegimeExecucao="Global","",ORÇAMENTO.Unidade)</f>
        <v>UN</v>
      </c>
      <c r="G157" s="122">
        <f ca="1">IF(RegimeExecucao="Global","",ORÇAMENTO!T157)</f>
        <v>1</v>
      </c>
      <c r="H157" s="122">
        <f ca="1">IF(RegimeExecucao="Global","",ORÇAMENTO!W157)</f>
        <v>963.71</v>
      </c>
      <c r="I157" s="125">
        <f ca="1">ORÇAMENTO!X157</f>
        <v>963.71</v>
      </c>
      <c r="J157" s="333" t="e" cm="1">
        <f t="array" aca="1" ref="J157" ca="1">_xlfn.SINGLE(IF($A157="S",IF(CAIXA.Modo,BM.AFAnterior,BM.MEDAnterior),IF(AND(_xlfn.SINGLE(RegimeExecucao)="Global",$I157&gt;0,COUNTIF($AB$13:$AM$13,BM.medicao-1)&gt;0),M157/$I157*100,0)))</f>
        <v>#NAME?</v>
      </c>
      <c r="K157" s="122" t="e">
        <f t="shared" ca="1" si="3"/>
        <v>#NAME?</v>
      </c>
      <c r="L157" s="334" t="e" cm="1">
        <f t="array" aca="1" ref="L157" ca="1">_xlfn.SINGLE(IF($A157="S",IF(CAIXA.Modo,BM.AFAcumulado,BM.MEDAcumulado),IF(AND(_xlfn.SINGLE(RegimeExecucao)="Global",$I157&gt;0,COUNTIF($AB$13:$AM$13,BM.medicao)&gt;0),O157/$I157*100,0)))</f>
        <v>#NAME?</v>
      </c>
      <c r="M157" s="335" t="e">
        <f ca="1">IF($A157="S",VTOTALBM,IF($A157=0,0,ROUND(SomaAgrupBM,15-13*ORÇAMENTO!$AF$11)))</f>
        <v>#NAME?</v>
      </c>
      <c r="N157" s="336" t="e">
        <f t="shared" ca="1" si="4"/>
        <v>#NAME?</v>
      </c>
      <c r="O157" s="125" t="e">
        <f ca="1">IF($A157="S",VTOTALBM,IF($A157=0,0,ROUND(SomaAgrupBM,15-13*ORÇAMENTO!$AF$11)))</f>
        <v>#NAME?</v>
      </c>
      <c r="Q157" s="337"/>
      <c r="R157" s="338"/>
      <c r="T157" s="117" t="e">
        <f t="shared" ca="1" si="5"/>
        <v>#NAME?</v>
      </c>
      <c r="U157" s="163" t="e">
        <f t="shared" ca="1" si="6"/>
        <v>#NAME?</v>
      </c>
      <c r="V157" s="164" t="e">
        <f ca="1">IF(AND($W157&gt;0,RegimeExecucao="Unitário"),$F157,"")</f>
        <v>#NAME?</v>
      </c>
      <c r="W157" s="454" t="e">
        <f ca="1">IF($Y157&gt;0,CHOOSE(MATCH(RegimeExecucao,{"Unitário","Global"},0),IF($A157="S",$Y157/$X157,""),($Y157/$X157)*100),0)</f>
        <v>#NAME?</v>
      </c>
      <c r="X157" s="339" t="e">
        <f ca="1">IF($Y157&gt;0,CHOOSE(MATCH(RegimeExecucao,{"Unitário","Global"},0),IF($A157="S",ROUND($H157,ORÇAMENTO!$AF$10),""),ROUND($I157,ORÇAMENTO!$AF$11)),"")</f>
        <v>#NAME?</v>
      </c>
      <c r="Y157" s="339" t="e">
        <f t="shared" ca="1" si="7"/>
        <v>#NAME?</v>
      </c>
      <c r="Z157" s="473"/>
      <c r="AB157" s="337"/>
      <c r="AC157" s="437"/>
      <c r="AD157" s="437"/>
      <c r="AE157" s="437"/>
      <c r="AF157" s="437"/>
      <c r="AG157" s="437"/>
      <c r="AH157" s="437"/>
      <c r="AI157" s="437"/>
      <c r="AJ157" s="437"/>
      <c r="AK157" s="437"/>
      <c r="AL157" s="437"/>
      <c r="AM157" s="338"/>
      <c r="AO157">
        <f ca="1">IF($A157="S",IF(BM!$I157=0,0,CHOOSE(MATCH(RegimeExecucao,{"Global","Unitário"},0),ROUND(ROUND(BM.MEDAcumulado,15-13*BM!$A$9)/100*BM!$I157,15-13*ORÇAMENTO!$AF$11),ROUND(ROUND(BM.MEDAcumulado,15-13*BM!$A$9)*ROUND(BM!$H157,15-13*ORÇAMENTO!$AF$10),15-13*ORÇAMENTO!$AF$11))),IF($A157=0,0,ROUND(SomaAgrupBM,15-13*ORÇAMENTO!$AF$11)))</f>
        <v>0</v>
      </c>
    </row>
    <row r="158" spans="1:41" ht="13.8" x14ac:dyDescent="0.3">
      <c r="A158">
        <f ca="1">ORÇAMENTO!C158</f>
        <v>2</v>
      </c>
      <c r="B158">
        <f ca="1">ORÇAMENTO!D158</f>
        <v>5</v>
      </c>
      <c r="C158" s="114" t="str">
        <f t="shared" ca="1" si="1"/>
        <v>F</v>
      </c>
      <c r="D158" s="117" t="str">
        <f ca="1">ORÇAMENTO!O158</f>
        <v>4.4.</v>
      </c>
      <c r="E158" s="163" t="str">
        <f t="shared" si="2"/>
        <v xml:space="preserve">ENSAIOS </v>
      </c>
      <c r="F158" s="164" t="str">
        <f ca="1">IF(RegimeExecucao="Global","",ORÇAMENTO.Unidade)</f>
        <v>-</v>
      </c>
      <c r="G158" s="122">
        <f ca="1">IF(RegimeExecucao="Global","",ORÇAMENTO!T158)</f>
        <v>0</v>
      </c>
      <c r="H158" s="122">
        <f ca="1">IF(RegimeExecucao="Global","",ORÇAMENTO!W158)</f>
        <v>0</v>
      </c>
      <c r="I158" s="125">
        <f ca="1">ORÇAMENTO!X158</f>
        <v>1131.9100000000001</v>
      </c>
      <c r="J158" s="333" t="e" cm="1">
        <f t="array" aca="1" ref="J158" ca="1">_xlfn.SINGLE(IF($A158="S",IF(CAIXA.Modo,BM.AFAnterior,BM.MEDAnterior),IF(AND(_xlfn.SINGLE(RegimeExecucao)="Global",$I158&gt;0,COUNTIF($AB$13:$AM$13,BM.medicao-1)&gt;0),M158/$I158*100,0)))</f>
        <v>#NAME?</v>
      </c>
      <c r="K158" s="122" t="e">
        <f t="shared" ca="1" si="3"/>
        <v>#NAME?</v>
      </c>
      <c r="L158" s="334" t="e" cm="1">
        <f t="array" aca="1" ref="L158" ca="1">_xlfn.SINGLE(IF($A158="S",IF(CAIXA.Modo,BM.AFAcumulado,BM.MEDAcumulado),IF(AND(_xlfn.SINGLE(RegimeExecucao)="Global",$I158&gt;0,COUNTIF($AB$13:$AM$13,BM.medicao)&gt;0),O158/$I158*100,0)))</f>
        <v>#NAME?</v>
      </c>
      <c r="M158" s="335" t="e">
        <f ca="1">IF($A158="S",VTOTALBM,IF($A158=0,0,ROUND(SomaAgrupBM,15-13*ORÇAMENTO!$AF$11)))</f>
        <v>#NAME?</v>
      </c>
      <c r="N158" s="336" t="e">
        <f t="shared" ca="1" si="4"/>
        <v>#NAME?</v>
      </c>
      <c r="O158" s="125" t="e">
        <f ca="1">IF($A158="S",VTOTALBM,IF($A158=0,0,ROUND(SomaAgrupBM,15-13*ORÇAMENTO!$AF$11)))</f>
        <v>#NAME?</v>
      </c>
      <c r="Q158" s="337"/>
      <c r="R158" s="338"/>
      <c r="T158" s="117" t="e">
        <f t="shared" ca="1" si="5"/>
        <v>#NAME?</v>
      </c>
      <c r="U158" s="163" t="e">
        <f t="shared" ca="1" si="6"/>
        <v>#NAME?</v>
      </c>
      <c r="V158" s="164" t="e">
        <f ca="1">IF(AND($W158&gt;0,RegimeExecucao="Unitário"),$F158,"")</f>
        <v>#NAME?</v>
      </c>
      <c r="W158" s="454" t="e">
        <f ca="1">IF($Y158&gt;0,CHOOSE(MATCH(RegimeExecucao,{"Unitário","Global"},0),IF($A158="S",$Y158/$X158,""),($Y158/$X158)*100),0)</f>
        <v>#NAME?</v>
      </c>
      <c r="X158" s="339" t="e">
        <f ca="1">IF($Y158&gt;0,CHOOSE(MATCH(RegimeExecucao,{"Unitário","Global"},0),IF($A158="S",ROUND($H158,ORÇAMENTO!$AF$10),""),ROUND($I158,ORÇAMENTO!$AF$11)),"")</f>
        <v>#NAME?</v>
      </c>
      <c r="Y158" s="339" t="e">
        <f t="shared" ca="1" si="7"/>
        <v>#NAME?</v>
      </c>
      <c r="Z158" s="473"/>
      <c r="AB158" s="337"/>
      <c r="AC158" s="437"/>
      <c r="AD158" s="437"/>
      <c r="AE158" s="437"/>
      <c r="AF158" s="437"/>
      <c r="AG158" s="437"/>
      <c r="AH158" s="437"/>
      <c r="AI158" s="437"/>
      <c r="AJ158" s="437"/>
      <c r="AK158" s="437"/>
      <c r="AL158" s="437"/>
      <c r="AM158" s="338"/>
      <c r="AO158">
        <f ca="1">IF($A158="S",IF(BM!$I158=0,0,CHOOSE(MATCH(RegimeExecucao,{"Global","Unitário"},0),ROUND(ROUND(BM.MEDAcumulado,15-13*BM!$A$9)/100*BM!$I158,15-13*ORÇAMENTO!$AF$11),ROUND(ROUND(BM.MEDAcumulado,15-13*BM!$A$9)*ROUND(BM!$H158,15-13*ORÇAMENTO!$AF$10),15-13*ORÇAMENTO!$AF$11))),IF($A158=0,0,ROUND(SomaAgrupBM,15-13*ORÇAMENTO!$AF$11)))</f>
        <v>0</v>
      </c>
    </row>
    <row r="159" spans="1:41" ht="26.4" x14ac:dyDescent="0.3">
      <c r="A159" t="str">
        <f ca="1">ORÇAMENTO!C159</f>
        <v>S</v>
      </c>
      <c r="B159">
        <f ca="1">ORÇAMENTO!D159</f>
        <v>0</v>
      </c>
      <c r="C159" s="114" t="str">
        <f t="shared" ca="1" si="1"/>
        <v>F</v>
      </c>
      <c r="D159" s="117" t="str">
        <f ca="1">ORÇAMENTO!O159</f>
        <v>4.4.1.</v>
      </c>
      <c r="E159" s="163" t="str">
        <f t="shared" ca="1" si="2"/>
        <v>ENSAIO DE DETERMINAÇÃO DO TEOR DE BETUME - SOXHLET - CIMENTO ASFALTICO DE PETROLEO</v>
      </c>
      <c r="F159" s="164" t="str">
        <f ca="1">IF(RegimeExecucao="Global","",ORÇAMENTO.Unidade)</f>
        <v>UN</v>
      </c>
      <c r="G159" s="122">
        <f ca="1">IF(RegimeExecucao="Global","",ORÇAMENTO!T159)</f>
        <v>1</v>
      </c>
      <c r="H159" s="122">
        <f ca="1">IF(RegimeExecucao="Global","",ORÇAMENTO!W159)</f>
        <v>260.79000000000002</v>
      </c>
      <c r="I159" s="125">
        <f ca="1">ORÇAMENTO!X159</f>
        <v>260.79000000000002</v>
      </c>
      <c r="J159" s="333" t="e" cm="1">
        <f t="array" aca="1" ref="J159" ca="1">_xlfn.SINGLE(IF($A159="S",IF(CAIXA.Modo,BM.AFAnterior,BM.MEDAnterior),IF(AND(_xlfn.SINGLE(RegimeExecucao)="Global",$I159&gt;0,COUNTIF($AB$13:$AM$13,BM.medicao-1)&gt;0),M159/$I159*100,0)))</f>
        <v>#NAME?</v>
      </c>
      <c r="K159" s="122" t="e">
        <f t="shared" ca="1" si="3"/>
        <v>#NAME?</v>
      </c>
      <c r="L159" s="334" t="e" cm="1">
        <f t="array" aca="1" ref="L159" ca="1">_xlfn.SINGLE(IF($A159="S",IF(CAIXA.Modo,BM.AFAcumulado,BM.MEDAcumulado),IF(AND(_xlfn.SINGLE(RegimeExecucao)="Global",$I159&gt;0,COUNTIF($AB$13:$AM$13,BM.medicao)&gt;0),O159/$I159*100,0)))</f>
        <v>#NAME?</v>
      </c>
      <c r="M159" s="335" t="e">
        <f ca="1">IF($A159="S",VTOTALBM,IF($A159=0,0,ROUND(SomaAgrupBM,15-13*ORÇAMENTO!$AF$11)))</f>
        <v>#NAME?</v>
      </c>
      <c r="N159" s="336" t="e">
        <f t="shared" ca="1" si="4"/>
        <v>#NAME?</v>
      </c>
      <c r="O159" s="125" t="e">
        <f ca="1">IF($A159="S",VTOTALBM,IF($A159=0,0,ROUND(SomaAgrupBM,15-13*ORÇAMENTO!$AF$11)))</f>
        <v>#NAME?</v>
      </c>
      <c r="Q159" s="337"/>
      <c r="R159" s="338"/>
      <c r="T159" s="117" t="e">
        <f t="shared" ca="1" si="5"/>
        <v>#NAME?</v>
      </c>
      <c r="U159" s="163" t="e">
        <f t="shared" ca="1" si="6"/>
        <v>#NAME?</v>
      </c>
      <c r="V159" s="164" t="e">
        <f ca="1">IF(AND($W159&gt;0,RegimeExecucao="Unitário"),$F159,"")</f>
        <v>#NAME?</v>
      </c>
      <c r="W159" s="454" t="e">
        <f ca="1">IF($Y159&gt;0,CHOOSE(MATCH(RegimeExecucao,{"Unitário","Global"},0),IF($A159="S",$Y159/$X159,""),($Y159/$X159)*100),0)</f>
        <v>#NAME?</v>
      </c>
      <c r="X159" s="339" t="e">
        <f ca="1">IF($Y159&gt;0,CHOOSE(MATCH(RegimeExecucao,{"Unitário","Global"},0),IF($A159="S",ROUND($H159,ORÇAMENTO!$AF$10),""),ROUND($I159,ORÇAMENTO!$AF$11)),"")</f>
        <v>#NAME?</v>
      </c>
      <c r="Y159" s="339" t="e">
        <f t="shared" ca="1" si="7"/>
        <v>#NAME?</v>
      </c>
      <c r="Z159" s="473"/>
      <c r="AB159" s="337"/>
      <c r="AC159" s="437"/>
      <c r="AD159" s="437"/>
      <c r="AE159" s="437"/>
      <c r="AF159" s="437"/>
      <c r="AG159" s="437"/>
      <c r="AH159" s="437"/>
      <c r="AI159" s="437"/>
      <c r="AJ159" s="437"/>
      <c r="AK159" s="437"/>
      <c r="AL159" s="437"/>
      <c r="AM159" s="338"/>
      <c r="AO159">
        <f ca="1">IF($A159="S",IF(BM!$I159=0,0,CHOOSE(MATCH(RegimeExecucao,{"Global","Unitário"},0),ROUND(ROUND(BM.MEDAcumulado,15-13*BM!$A$9)/100*BM!$I159,15-13*ORÇAMENTO!$AF$11),ROUND(ROUND(BM.MEDAcumulado,15-13*BM!$A$9)*ROUND(BM!$H159,15-13*ORÇAMENTO!$AF$10),15-13*ORÇAMENTO!$AF$11))),IF($A159=0,0,ROUND(SomaAgrupBM,15-13*ORÇAMENTO!$AF$11)))</f>
        <v>0</v>
      </c>
    </row>
    <row r="160" spans="1:41" ht="13.8" x14ac:dyDescent="0.3">
      <c r="A160" t="str">
        <f ca="1">ORÇAMENTO!C160</f>
        <v>S</v>
      </c>
      <c r="B160">
        <f ca="1">ORÇAMENTO!D160</f>
        <v>0</v>
      </c>
      <c r="C160" s="114" t="str">
        <f t="shared" ca="1" si="1"/>
        <v>F</v>
      </c>
      <c r="D160" s="117" t="str">
        <f ca="1">ORÇAMENTO!O160</f>
        <v>4.4.2.</v>
      </c>
      <c r="E160" s="163" t="str">
        <f t="shared" ca="1" si="2"/>
        <v xml:space="preserve">ENSAIO MARSHALL - MISTURA BETUMINOSA À QUENTE </v>
      </c>
      <c r="F160" s="164" t="str">
        <f ca="1">IF(RegimeExecucao="Global","",ORÇAMENTO.Unidade)</f>
        <v>UN</v>
      </c>
      <c r="G160" s="122">
        <f ca="1">IF(RegimeExecucao="Global","",ORÇAMENTO!T160)</f>
        <v>1</v>
      </c>
      <c r="H160" s="122">
        <f ca="1">IF(RegimeExecucao="Global","",ORÇAMENTO!W160)</f>
        <v>521.61</v>
      </c>
      <c r="I160" s="125">
        <f ca="1">ORÇAMENTO!X160</f>
        <v>521.61</v>
      </c>
      <c r="J160" s="333" t="e" cm="1">
        <f t="array" aca="1" ref="J160" ca="1">_xlfn.SINGLE(IF($A160="S",IF(CAIXA.Modo,BM.AFAnterior,BM.MEDAnterior),IF(AND(_xlfn.SINGLE(RegimeExecucao)="Global",$I160&gt;0,COUNTIF($AB$13:$AM$13,BM.medicao-1)&gt;0),M160/$I160*100,0)))</f>
        <v>#NAME?</v>
      </c>
      <c r="K160" s="122" t="e">
        <f t="shared" ca="1" si="3"/>
        <v>#NAME?</v>
      </c>
      <c r="L160" s="334" t="e" cm="1">
        <f t="array" aca="1" ref="L160" ca="1">_xlfn.SINGLE(IF($A160="S",IF(CAIXA.Modo,BM.AFAcumulado,BM.MEDAcumulado),IF(AND(_xlfn.SINGLE(RegimeExecucao)="Global",$I160&gt;0,COUNTIF($AB$13:$AM$13,BM.medicao)&gt;0),O160/$I160*100,0)))</f>
        <v>#NAME?</v>
      </c>
      <c r="M160" s="335" t="e">
        <f ca="1">IF($A160="S",VTOTALBM,IF($A160=0,0,ROUND(SomaAgrupBM,15-13*ORÇAMENTO!$AF$11)))</f>
        <v>#NAME?</v>
      </c>
      <c r="N160" s="336" t="e">
        <f t="shared" ca="1" si="4"/>
        <v>#NAME?</v>
      </c>
      <c r="O160" s="125" t="e">
        <f ca="1">IF($A160="S",VTOTALBM,IF($A160=0,0,ROUND(SomaAgrupBM,15-13*ORÇAMENTO!$AF$11)))</f>
        <v>#NAME?</v>
      </c>
      <c r="Q160" s="337"/>
      <c r="R160" s="338"/>
      <c r="T160" s="117" t="e">
        <f t="shared" ca="1" si="5"/>
        <v>#NAME?</v>
      </c>
      <c r="U160" s="163" t="e">
        <f t="shared" ca="1" si="6"/>
        <v>#NAME?</v>
      </c>
      <c r="V160" s="164" t="e">
        <f ca="1">IF(AND($W160&gt;0,RegimeExecucao="Unitário"),$F160,"")</f>
        <v>#NAME?</v>
      </c>
      <c r="W160" s="454" t="e">
        <f ca="1">IF($Y160&gt;0,CHOOSE(MATCH(RegimeExecucao,{"Unitário","Global"},0),IF($A160="S",$Y160/$X160,""),($Y160/$X160)*100),0)</f>
        <v>#NAME?</v>
      </c>
      <c r="X160" s="339" t="e">
        <f ca="1">IF($Y160&gt;0,CHOOSE(MATCH(RegimeExecucao,{"Unitário","Global"},0),IF($A160="S",ROUND($H160,ORÇAMENTO!$AF$10),""),ROUND($I160,ORÇAMENTO!$AF$11)),"")</f>
        <v>#NAME?</v>
      </c>
      <c r="Y160" s="339" t="e">
        <f t="shared" ca="1" si="7"/>
        <v>#NAME?</v>
      </c>
      <c r="Z160" s="473"/>
      <c r="AB160" s="337"/>
      <c r="AC160" s="437"/>
      <c r="AD160" s="437"/>
      <c r="AE160" s="437"/>
      <c r="AF160" s="437"/>
      <c r="AG160" s="437"/>
      <c r="AH160" s="437"/>
      <c r="AI160" s="437"/>
      <c r="AJ160" s="437"/>
      <c r="AK160" s="437"/>
      <c r="AL160" s="437"/>
      <c r="AM160" s="338"/>
      <c r="AO160">
        <f ca="1">IF($A160="S",IF(BM!$I160=0,0,CHOOSE(MATCH(RegimeExecucao,{"Global","Unitário"},0),ROUND(ROUND(BM.MEDAcumulado,15-13*BM!$A$9)/100*BM!$I160,15-13*ORÇAMENTO!$AF$11),ROUND(ROUND(BM.MEDAcumulado,15-13*BM!$A$9)*ROUND(BM!$H160,15-13*ORÇAMENTO!$AF$10),15-13*ORÇAMENTO!$AF$11))),IF($A160=0,0,ROUND(SomaAgrupBM,15-13*ORÇAMENTO!$AF$11)))</f>
        <v>0</v>
      </c>
    </row>
    <row r="161" spans="1:41" ht="39.6" x14ac:dyDescent="0.3">
      <c r="A161" t="str">
        <f ca="1">ORÇAMENTO!C161</f>
        <v>S</v>
      </c>
      <c r="B161">
        <f ca="1">ORÇAMENTO!D161</f>
        <v>0</v>
      </c>
      <c r="C161" s="114" t="str">
        <f t="shared" ca="1" si="1"/>
        <v>F</v>
      </c>
      <c r="D161" s="117" t="str">
        <f ca="1">ORÇAMENTO!O161</f>
        <v>4.4.3.</v>
      </c>
      <c r="E161" s="163" t="str">
        <f t="shared" ca="1" si="2"/>
        <v xml:space="preserve">ENSAIO DE CONTROLE DO GRAU DE COMPACTAÇÃO, DENSIDADE E ESPESSURA DA MASSA ASFÁLTICA COM COLETA ATRAVÉS DE SONDA ROTATIVA </v>
      </c>
      <c r="F161" s="164" t="str">
        <f ca="1">IF(RegimeExecucao="Global","",ORÇAMENTO.Unidade)</f>
        <v>UN</v>
      </c>
      <c r="G161" s="122">
        <f ca="1">IF(RegimeExecucao="Global","",ORÇAMENTO!T161)</f>
        <v>1</v>
      </c>
      <c r="H161" s="122">
        <f ca="1">IF(RegimeExecucao="Global","",ORÇAMENTO!W161)</f>
        <v>136.72999999999999</v>
      </c>
      <c r="I161" s="125">
        <f ca="1">ORÇAMENTO!X161</f>
        <v>136.72999999999999</v>
      </c>
      <c r="J161" s="333" t="e" cm="1">
        <f t="array" aca="1" ref="J161" ca="1">_xlfn.SINGLE(IF($A161="S",IF(CAIXA.Modo,BM.AFAnterior,BM.MEDAnterior),IF(AND(_xlfn.SINGLE(RegimeExecucao)="Global",$I161&gt;0,COUNTIF($AB$13:$AM$13,BM.medicao-1)&gt;0),M161/$I161*100,0)))</f>
        <v>#NAME?</v>
      </c>
      <c r="K161" s="122" t="e">
        <f t="shared" ca="1" si="3"/>
        <v>#NAME?</v>
      </c>
      <c r="L161" s="334" t="e" cm="1">
        <f t="array" aca="1" ref="L161" ca="1">_xlfn.SINGLE(IF($A161="S",IF(CAIXA.Modo,BM.AFAcumulado,BM.MEDAcumulado),IF(AND(_xlfn.SINGLE(RegimeExecucao)="Global",$I161&gt;0,COUNTIF($AB$13:$AM$13,BM.medicao)&gt;0),O161/$I161*100,0)))</f>
        <v>#NAME?</v>
      </c>
      <c r="M161" s="335" t="e">
        <f ca="1">IF($A161="S",VTOTALBM,IF($A161=0,0,ROUND(SomaAgrupBM,15-13*ORÇAMENTO!$AF$11)))</f>
        <v>#NAME?</v>
      </c>
      <c r="N161" s="336" t="e">
        <f t="shared" ca="1" si="4"/>
        <v>#NAME?</v>
      </c>
      <c r="O161" s="125" t="e">
        <f ca="1">IF($A161="S",VTOTALBM,IF($A161=0,0,ROUND(SomaAgrupBM,15-13*ORÇAMENTO!$AF$11)))</f>
        <v>#NAME?</v>
      </c>
      <c r="Q161" s="337"/>
      <c r="R161" s="338"/>
      <c r="T161" s="117" t="e">
        <f t="shared" ca="1" si="5"/>
        <v>#NAME?</v>
      </c>
      <c r="U161" s="163" t="e">
        <f t="shared" ca="1" si="6"/>
        <v>#NAME?</v>
      </c>
      <c r="V161" s="164" t="e">
        <f ca="1">IF(AND($W161&gt;0,RegimeExecucao="Unitário"),$F161,"")</f>
        <v>#NAME?</v>
      </c>
      <c r="W161" s="454" t="e">
        <f ca="1">IF($Y161&gt;0,CHOOSE(MATCH(RegimeExecucao,{"Unitário","Global"},0),IF($A161="S",$Y161/$X161,""),($Y161/$X161)*100),0)</f>
        <v>#NAME?</v>
      </c>
      <c r="X161" s="339" t="e">
        <f ca="1">IF($Y161&gt;0,CHOOSE(MATCH(RegimeExecucao,{"Unitário","Global"},0),IF($A161="S",ROUND($H161,ORÇAMENTO!$AF$10),""),ROUND($I161,ORÇAMENTO!$AF$11)),"")</f>
        <v>#NAME?</v>
      </c>
      <c r="Y161" s="339" t="e">
        <f t="shared" ca="1" si="7"/>
        <v>#NAME?</v>
      </c>
      <c r="Z161" s="473"/>
      <c r="AB161" s="337"/>
      <c r="AC161" s="437"/>
      <c r="AD161" s="437"/>
      <c r="AE161" s="437"/>
      <c r="AF161" s="437"/>
      <c r="AG161" s="437"/>
      <c r="AH161" s="437"/>
      <c r="AI161" s="437"/>
      <c r="AJ161" s="437"/>
      <c r="AK161" s="437"/>
      <c r="AL161" s="437"/>
      <c r="AM161" s="338"/>
      <c r="AO161">
        <f ca="1">IF($A161="S",IF(BM!$I161=0,0,CHOOSE(MATCH(RegimeExecucao,{"Global","Unitário"},0),ROUND(ROUND(BM.MEDAcumulado,15-13*BM!$A$9)/100*BM!$I161,15-13*ORÇAMENTO!$AF$11),ROUND(ROUND(BM.MEDAcumulado,15-13*BM!$A$9)*ROUND(BM!$H161,15-13*ORÇAMENTO!$AF$10),15-13*ORÇAMENTO!$AF$11))),IF($A161=0,0,ROUND(SomaAgrupBM,15-13*ORÇAMENTO!$AF$11)))</f>
        <v>0</v>
      </c>
    </row>
    <row r="162" spans="1:41" ht="13.8" x14ac:dyDescent="0.3">
      <c r="A162" t="str">
        <f ca="1">ORÇAMENTO!C162</f>
        <v>S</v>
      </c>
      <c r="B162">
        <f ca="1">ORÇAMENTO!D162</f>
        <v>0</v>
      </c>
      <c r="C162" s="114" t="str">
        <f t="shared" ca="1" si="1"/>
        <v>F</v>
      </c>
      <c r="D162" s="117" t="str">
        <f ca="1">ORÇAMENTO!O162</f>
        <v>4.4.4.</v>
      </c>
      <c r="E162" s="163" t="str">
        <f t="shared" ca="1" si="2"/>
        <v xml:space="preserve">ENSAIO BANDEJA DO LIGANTE DE PINTURA </v>
      </c>
      <c r="F162" s="164" t="str">
        <f ca="1">IF(RegimeExecucao="Global","",ORÇAMENTO.Unidade)</f>
        <v>UN</v>
      </c>
      <c r="G162" s="122">
        <f ca="1">IF(RegimeExecucao="Global","",ORÇAMENTO!T162)</f>
        <v>1</v>
      </c>
      <c r="H162" s="122">
        <f ca="1">IF(RegimeExecucao="Global","",ORÇAMENTO!W162)</f>
        <v>212.78</v>
      </c>
      <c r="I162" s="125">
        <f ca="1">ORÇAMENTO!X162</f>
        <v>212.78</v>
      </c>
      <c r="J162" s="333" t="e" cm="1">
        <f t="array" aca="1" ref="J162" ca="1">_xlfn.SINGLE(IF($A162="S",IF(CAIXA.Modo,BM.AFAnterior,BM.MEDAnterior),IF(AND(_xlfn.SINGLE(RegimeExecucao)="Global",$I162&gt;0,COUNTIF($AB$13:$AM$13,BM.medicao-1)&gt;0),M162/$I162*100,0)))</f>
        <v>#NAME?</v>
      </c>
      <c r="K162" s="122" t="e">
        <f t="shared" ca="1" si="3"/>
        <v>#NAME?</v>
      </c>
      <c r="L162" s="334" t="e" cm="1">
        <f t="array" aca="1" ref="L162" ca="1">_xlfn.SINGLE(IF($A162="S",IF(CAIXA.Modo,BM.AFAcumulado,BM.MEDAcumulado),IF(AND(_xlfn.SINGLE(RegimeExecucao)="Global",$I162&gt;0,COUNTIF($AB$13:$AM$13,BM.medicao)&gt;0),O162/$I162*100,0)))</f>
        <v>#NAME?</v>
      </c>
      <c r="M162" s="335" t="e">
        <f ca="1">IF($A162="S",VTOTALBM,IF($A162=0,0,ROUND(SomaAgrupBM,15-13*ORÇAMENTO!$AF$11)))</f>
        <v>#NAME?</v>
      </c>
      <c r="N162" s="336" t="e">
        <f t="shared" ca="1" si="4"/>
        <v>#NAME?</v>
      </c>
      <c r="O162" s="125" t="e">
        <f ca="1">IF($A162="S",VTOTALBM,IF($A162=0,0,ROUND(SomaAgrupBM,15-13*ORÇAMENTO!$AF$11)))</f>
        <v>#NAME?</v>
      </c>
      <c r="Q162" s="337"/>
      <c r="R162" s="338"/>
      <c r="T162" s="117" t="e">
        <f t="shared" ca="1" si="5"/>
        <v>#NAME?</v>
      </c>
      <c r="U162" s="163" t="e">
        <f t="shared" ca="1" si="6"/>
        <v>#NAME?</v>
      </c>
      <c r="V162" s="164" t="e">
        <f ca="1">IF(AND($W162&gt;0,RegimeExecucao="Unitário"),$F162,"")</f>
        <v>#NAME?</v>
      </c>
      <c r="W162" s="454" t="e">
        <f ca="1">IF($Y162&gt;0,CHOOSE(MATCH(RegimeExecucao,{"Unitário","Global"},0),IF($A162="S",$Y162/$X162,""),($Y162/$X162)*100),0)</f>
        <v>#NAME?</v>
      </c>
      <c r="X162" s="339" t="e">
        <f ca="1">IF($Y162&gt;0,CHOOSE(MATCH(RegimeExecucao,{"Unitário","Global"},0),IF($A162="S",ROUND($H162,ORÇAMENTO!$AF$10),""),ROUND($I162,ORÇAMENTO!$AF$11)),"")</f>
        <v>#NAME?</v>
      </c>
      <c r="Y162" s="339" t="e">
        <f t="shared" ca="1" si="7"/>
        <v>#NAME?</v>
      </c>
      <c r="Z162" s="473"/>
      <c r="AB162" s="337"/>
      <c r="AC162" s="437"/>
      <c r="AD162" s="437"/>
      <c r="AE162" s="437"/>
      <c r="AF162" s="437"/>
      <c r="AG162" s="437"/>
      <c r="AH162" s="437"/>
      <c r="AI162" s="437"/>
      <c r="AJ162" s="437"/>
      <c r="AK162" s="437"/>
      <c r="AL162" s="437"/>
      <c r="AM162" s="338"/>
      <c r="AO162">
        <f ca="1">IF($A162="S",IF(BM!$I162=0,0,CHOOSE(MATCH(RegimeExecucao,{"Global","Unitário"},0),ROUND(ROUND(BM.MEDAcumulado,15-13*BM!$A$9)/100*BM!$I162,15-13*ORÇAMENTO!$AF$11),ROUND(ROUND(BM.MEDAcumulado,15-13*BM!$A$9)*ROUND(BM!$H162,15-13*ORÇAMENTO!$AF$10),15-13*ORÇAMENTO!$AF$11))),IF($A162=0,0,ROUND(SomaAgrupBM,15-13*ORÇAMENTO!$AF$11)))</f>
        <v>0</v>
      </c>
    </row>
    <row r="163" spans="1:41" ht="13.8" x14ac:dyDescent="0.3">
      <c r="A163">
        <f ca="1">ORÇAMENTO!C163</f>
        <v>2</v>
      </c>
      <c r="B163">
        <f ca="1">ORÇAMENTO!D163</f>
        <v>2</v>
      </c>
      <c r="C163" s="114" t="str">
        <f t="shared" ca="1" si="1"/>
        <v>F</v>
      </c>
      <c r="D163" s="117" t="str">
        <f ca="1">ORÇAMENTO!O163</f>
        <v>4.5.</v>
      </c>
      <c r="E163" s="163" t="str">
        <f t="shared" si="2"/>
        <v xml:space="preserve">DESMOBILIZAÇÃO </v>
      </c>
      <c r="F163" s="164" t="str">
        <f ca="1">IF(RegimeExecucao="Global","",ORÇAMENTO.Unidade)</f>
        <v>-</v>
      </c>
      <c r="G163" s="122">
        <f ca="1">IF(RegimeExecucao="Global","",ORÇAMENTO!T163)</f>
        <v>0</v>
      </c>
      <c r="H163" s="122">
        <f ca="1">IF(RegimeExecucao="Global","",ORÇAMENTO!W163)</f>
        <v>0</v>
      </c>
      <c r="I163" s="125">
        <f ca="1">ORÇAMENTO!X163</f>
        <v>2174.1999999999998</v>
      </c>
      <c r="J163" s="333" t="e" cm="1">
        <f t="array" aca="1" ref="J163" ca="1">_xlfn.SINGLE(IF($A163="S",IF(CAIXA.Modo,BM.AFAnterior,BM.MEDAnterior),IF(AND(_xlfn.SINGLE(RegimeExecucao)="Global",$I163&gt;0,COUNTIF($AB$13:$AM$13,BM.medicao-1)&gt;0),M163/$I163*100,0)))</f>
        <v>#NAME?</v>
      </c>
      <c r="K163" s="122" t="e">
        <f t="shared" ca="1" si="3"/>
        <v>#NAME?</v>
      </c>
      <c r="L163" s="334" t="e" cm="1">
        <f t="array" aca="1" ref="L163" ca="1">_xlfn.SINGLE(IF($A163="S",IF(CAIXA.Modo,BM.AFAcumulado,BM.MEDAcumulado),IF(AND(_xlfn.SINGLE(RegimeExecucao)="Global",$I163&gt;0,COUNTIF($AB$13:$AM$13,BM.medicao)&gt;0),O163/$I163*100,0)))</f>
        <v>#NAME?</v>
      </c>
      <c r="M163" s="335" t="e">
        <f ca="1">IF($A163="S",VTOTALBM,IF($A163=0,0,ROUND(SomaAgrupBM,15-13*ORÇAMENTO!$AF$11)))</f>
        <v>#NAME?</v>
      </c>
      <c r="N163" s="336" t="e">
        <f t="shared" ca="1" si="4"/>
        <v>#NAME?</v>
      </c>
      <c r="O163" s="125" t="e">
        <f ca="1">IF($A163="S",VTOTALBM,IF($A163=0,0,ROUND(SomaAgrupBM,15-13*ORÇAMENTO!$AF$11)))</f>
        <v>#NAME?</v>
      </c>
      <c r="Q163" s="337"/>
      <c r="R163" s="338"/>
      <c r="T163" s="117" t="e">
        <f t="shared" ca="1" si="5"/>
        <v>#NAME?</v>
      </c>
      <c r="U163" s="163" t="e">
        <f t="shared" ca="1" si="6"/>
        <v>#NAME?</v>
      </c>
      <c r="V163" s="164" t="e">
        <f ca="1">IF(AND($W163&gt;0,RegimeExecucao="Unitário"),$F163,"")</f>
        <v>#NAME?</v>
      </c>
      <c r="W163" s="454" t="e">
        <f ca="1">IF($Y163&gt;0,CHOOSE(MATCH(RegimeExecucao,{"Unitário","Global"},0),IF($A163="S",$Y163/$X163,""),($Y163/$X163)*100),0)</f>
        <v>#NAME?</v>
      </c>
      <c r="X163" s="339" t="e">
        <f ca="1">IF($Y163&gt;0,CHOOSE(MATCH(RegimeExecucao,{"Unitário","Global"},0),IF($A163="S",ROUND($H163,ORÇAMENTO!$AF$10),""),ROUND($I163,ORÇAMENTO!$AF$11)),"")</f>
        <v>#NAME?</v>
      </c>
      <c r="Y163" s="339" t="e">
        <f t="shared" ca="1" si="7"/>
        <v>#NAME?</v>
      </c>
      <c r="Z163" s="473"/>
      <c r="AB163" s="337"/>
      <c r="AC163" s="437"/>
      <c r="AD163" s="437"/>
      <c r="AE163" s="437"/>
      <c r="AF163" s="437"/>
      <c r="AG163" s="437"/>
      <c r="AH163" s="437"/>
      <c r="AI163" s="437"/>
      <c r="AJ163" s="437"/>
      <c r="AK163" s="437"/>
      <c r="AL163" s="437"/>
      <c r="AM163" s="338"/>
      <c r="AO163">
        <f ca="1">IF($A163="S",IF(BM!$I163=0,0,CHOOSE(MATCH(RegimeExecucao,{"Global","Unitário"},0),ROUND(ROUND(BM.MEDAcumulado,15-13*BM!$A$9)/100*BM!$I163,15-13*ORÇAMENTO!$AF$11),ROUND(ROUND(BM.MEDAcumulado,15-13*BM!$A$9)*ROUND(BM!$H163,15-13*ORÇAMENTO!$AF$10),15-13*ORÇAMENTO!$AF$11))),IF($A163=0,0,ROUND(SomaAgrupBM,15-13*ORÇAMENTO!$AF$11)))</f>
        <v>0</v>
      </c>
    </row>
    <row r="164" spans="1:41" ht="39.6" x14ac:dyDescent="0.3">
      <c r="A164" t="str">
        <f ca="1">ORÇAMENTO!C164</f>
        <v>S</v>
      </c>
      <c r="B164">
        <f ca="1">ORÇAMENTO!D164</f>
        <v>0</v>
      </c>
      <c r="C164" s="114" t="str">
        <f t="shared" ca="1" si="1"/>
        <v>F</v>
      </c>
      <c r="D164" s="117" t="str">
        <f ca="1">ORÇAMENTO!O164</f>
        <v>4.5.1.</v>
      </c>
      <c r="E164" s="163" t="str">
        <f t="shared" ca="1" si="2"/>
        <v>MOBILIZAÇÃO OU DESMOBILIZAÇÃO DE 07 EQUIPAMENTOS, COM CAMINHÃO PRANCHA, PARA UMA DMT= 21 KM E UMA VM=
60KM/H, POR VIAS PAVIMENTADAS</v>
      </c>
      <c r="F164" s="164" t="str">
        <f ca="1">IF(RegimeExecucao="Global","",ORÇAMENTO.Unidade)</f>
        <v>UN</v>
      </c>
      <c r="G164" s="122">
        <f ca="1">IF(RegimeExecucao="Global","",ORÇAMENTO!T164)</f>
        <v>1</v>
      </c>
      <c r="H164" s="122">
        <f ca="1">IF(RegimeExecucao="Global","",ORÇAMENTO!W164)</f>
        <v>2174.1999999999998</v>
      </c>
      <c r="I164" s="125">
        <f ca="1">ORÇAMENTO!X164</f>
        <v>2174.1999999999998</v>
      </c>
      <c r="J164" s="333" t="e" cm="1">
        <f t="array" aca="1" ref="J164" ca="1">_xlfn.SINGLE(IF($A164="S",IF(CAIXA.Modo,BM.AFAnterior,BM.MEDAnterior),IF(AND(_xlfn.SINGLE(RegimeExecucao)="Global",$I164&gt;0,COUNTIF($AB$13:$AM$13,BM.medicao-1)&gt;0),M164/$I164*100,0)))</f>
        <v>#NAME?</v>
      </c>
      <c r="K164" s="122" t="e">
        <f t="shared" ca="1" si="3"/>
        <v>#NAME?</v>
      </c>
      <c r="L164" s="334" t="e" cm="1">
        <f t="array" aca="1" ref="L164" ca="1">_xlfn.SINGLE(IF($A164="S",IF(CAIXA.Modo,BM.AFAcumulado,BM.MEDAcumulado),IF(AND(_xlfn.SINGLE(RegimeExecucao)="Global",$I164&gt;0,COUNTIF($AB$13:$AM$13,BM.medicao)&gt;0),O164/$I164*100,0)))</f>
        <v>#NAME?</v>
      </c>
      <c r="M164" s="335" t="e">
        <f ca="1">IF($A164="S",VTOTALBM,IF($A164=0,0,ROUND(SomaAgrupBM,15-13*ORÇAMENTO!$AF$11)))</f>
        <v>#NAME?</v>
      </c>
      <c r="N164" s="336" t="e">
        <f t="shared" ca="1" si="4"/>
        <v>#NAME?</v>
      </c>
      <c r="O164" s="125" t="e">
        <f ca="1">IF($A164="S",VTOTALBM,IF($A164=0,0,ROUND(SomaAgrupBM,15-13*ORÇAMENTO!$AF$11)))</f>
        <v>#NAME?</v>
      </c>
      <c r="Q164" s="337"/>
      <c r="R164" s="338"/>
      <c r="T164" s="117" t="e">
        <f t="shared" ca="1" si="5"/>
        <v>#NAME?</v>
      </c>
      <c r="U164" s="163" t="e">
        <f t="shared" ca="1" si="6"/>
        <v>#NAME?</v>
      </c>
      <c r="V164" s="164" t="e">
        <f ca="1">IF(AND($W164&gt;0,RegimeExecucao="Unitário"),$F164,"")</f>
        <v>#NAME?</v>
      </c>
      <c r="W164" s="454" t="e">
        <f ca="1">IF($Y164&gt;0,CHOOSE(MATCH(RegimeExecucao,{"Unitário","Global"},0),IF($A164="S",$Y164/$X164,""),($Y164/$X164)*100),0)</f>
        <v>#NAME?</v>
      </c>
      <c r="X164" s="339" t="e">
        <f ca="1">IF($Y164&gt;0,CHOOSE(MATCH(RegimeExecucao,{"Unitário","Global"},0),IF($A164="S",ROUND($H164,ORÇAMENTO!$AF$10),""),ROUND($I164,ORÇAMENTO!$AF$11)),"")</f>
        <v>#NAME?</v>
      </c>
      <c r="Y164" s="339" t="e">
        <f t="shared" ca="1" si="7"/>
        <v>#NAME?</v>
      </c>
      <c r="Z164" s="473"/>
      <c r="AB164" s="337"/>
      <c r="AC164" s="437"/>
      <c r="AD164" s="437"/>
      <c r="AE164" s="437"/>
      <c r="AF164" s="437"/>
      <c r="AG164" s="437"/>
      <c r="AH164" s="437"/>
      <c r="AI164" s="437"/>
      <c r="AJ164" s="437"/>
      <c r="AK164" s="437"/>
      <c r="AL164" s="437"/>
      <c r="AM164" s="338"/>
      <c r="AO164">
        <f ca="1">IF($A164="S",IF(BM!$I164=0,0,CHOOSE(MATCH(RegimeExecucao,{"Global","Unitário"},0),ROUND(ROUND(BM.MEDAcumulado,15-13*BM!$A$9)/100*BM!$I164,15-13*ORÇAMENTO!$AF$11),ROUND(ROUND(BM.MEDAcumulado,15-13*BM!$A$9)*ROUND(BM!$H164,15-13*ORÇAMENTO!$AF$10),15-13*ORÇAMENTO!$AF$11))),IF($A164=0,0,ROUND(SomaAgrupBM,15-13*ORÇAMENTO!$AF$11)))</f>
        <v>0</v>
      </c>
    </row>
    <row r="165" spans="1:41" ht="5.0999999999999996" customHeight="1" x14ac:dyDescent="0.3">
      <c r="C165" s="114" t="s">
        <v>536</v>
      </c>
      <c r="D165" s="618"/>
      <c r="E165" s="619"/>
      <c r="F165" s="619"/>
      <c r="G165" s="619"/>
      <c r="H165" s="619"/>
      <c r="I165" s="419"/>
      <c r="J165" s="618"/>
      <c r="K165" s="619"/>
      <c r="L165" s="419"/>
      <c r="M165" s="434"/>
      <c r="N165" s="435"/>
      <c r="O165" s="436"/>
      <c r="Q165" s="618"/>
      <c r="R165" s="419"/>
      <c r="T165" s="618"/>
      <c r="U165" s="619"/>
      <c r="V165" s="619"/>
      <c r="W165" s="619"/>
      <c r="X165" s="619"/>
      <c r="Y165" s="619"/>
      <c r="Z165" s="419"/>
      <c r="AB165" s="618"/>
      <c r="AC165" s="619"/>
      <c r="AD165" s="619"/>
      <c r="AE165" s="619"/>
      <c r="AF165" s="619"/>
      <c r="AG165" s="619"/>
      <c r="AH165" s="619"/>
      <c r="AI165" s="619"/>
      <c r="AJ165" s="619"/>
      <c r="AK165" s="619"/>
      <c r="AL165" s="619"/>
      <c r="AM165" s="419"/>
    </row>
    <row r="167" spans="1:41" ht="13.8" x14ac:dyDescent="0.25">
      <c r="D167" s="814" t="s">
        <v>689</v>
      </c>
      <c r="E167" s="814"/>
      <c r="F167" s="814"/>
      <c r="G167" s="814"/>
      <c r="H167" s="814"/>
      <c r="I167" s="814"/>
      <c r="J167" s="814"/>
      <c r="K167" s="814"/>
      <c r="L167" s="814"/>
      <c r="M167" s="814"/>
      <c r="N167" s="814"/>
      <c r="O167" s="814"/>
      <c r="T167" s="815" t="s">
        <v>865</v>
      </c>
      <c r="U167" s="815"/>
      <c r="V167" s="815"/>
      <c r="W167" s="815"/>
      <c r="X167" s="815"/>
      <c r="Y167" s="815"/>
      <c r="Z167" s="815"/>
    </row>
    <row r="168" spans="1:41" ht="12.75" customHeight="1" x14ac:dyDescent="0.25">
      <c r="D168" s="722"/>
      <c r="E168" s="722"/>
      <c r="F168" s="722"/>
      <c r="G168" s="722"/>
      <c r="H168" s="722"/>
      <c r="I168" s="722"/>
      <c r="J168" s="722"/>
      <c r="K168" s="722"/>
      <c r="L168" s="722"/>
      <c r="M168" s="722"/>
      <c r="N168" s="722"/>
      <c r="O168" s="722"/>
      <c r="T168" s="816"/>
      <c r="U168" s="816"/>
      <c r="V168" s="816"/>
      <c r="W168" s="816"/>
      <c r="X168" s="816"/>
      <c r="Y168" s="816"/>
      <c r="Z168" s="816"/>
    </row>
    <row r="169" spans="1:41" ht="12.75" customHeight="1" x14ac:dyDescent="0.25">
      <c r="D169" s="722"/>
      <c r="E169" s="722"/>
      <c r="F169" s="722"/>
      <c r="G169" s="722"/>
      <c r="H169" s="722"/>
      <c r="I169" s="722"/>
      <c r="J169" s="722"/>
      <c r="K169" s="722"/>
      <c r="L169" s="722"/>
      <c r="M169" s="722"/>
      <c r="N169" s="722"/>
      <c r="O169" s="722"/>
      <c r="T169" s="816"/>
      <c r="U169" s="816"/>
      <c r="V169" s="816"/>
      <c r="W169" s="816"/>
      <c r="X169" s="816"/>
      <c r="Y169" s="816"/>
      <c r="Z169" s="816"/>
    </row>
    <row r="170" spans="1:41" ht="12.75" customHeight="1" x14ac:dyDescent="0.25">
      <c r="D170" s="722"/>
      <c r="E170" s="722"/>
      <c r="F170" s="722"/>
      <c r="G170" s="722"/>
      <c r="H170" s="722"/>
      <c r="I170" s="722"/>
      <c r="J170" s="722"/>
      <c r="K170" s="722"/>
      <c r="L170" s="722"/>
      <c r="M170" s="722"/>
      <c r="N170" s="722"/>
      <c r="O170" s="722"/>
      <c r="T170" s="816"/>
      <c r="U170" s="816"/>
      <c r="V170" s="816"/>
      <c r="W170" s="816"/>
      <c r="X170" s="816"/>
      <c r="Y170" s="816"/>
      <c r="Z170" s="816"/>
    </row>
    <row r="171" spans="1:41" ht="13.8" x14ac:dyDescent="0.25">
      <c r="D171" s="443"/>
      <c r="E171" s="443"/>
      <c r="F171" s="443"/>
      <c r="G171" s="443"/>
      <c r="H171" s="443"/>
      <c r="I171" s="443"/>
      <c r="J171" s="443"/>
      <c r="K171" s="443"/>
      <c r="L171" s="443"/>
      <c r="M171" s="443"/>
      <c r="N171" s="443"/>
      <c r="O171" s="443"/>
    </row>
    <row r="172" spans="1:41" ht="15" customHeight="1" x14ac:dyDescent="0.25">
      <c r="D172" s="723"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172" s="723"/>
      <c r="F172" s="723"/>
      <c r="G172" s="723"/>
      <c r="H172" s="723"/>
      <c r="I172" s="723"/>
      <c r="J172" s="723"/>
      <c r="K172" s="723"/>
      <c r="L172" s="723"/>
    </row>
    <row r="173" spans="1:41" x14ac:dyDescent="0.25">
      <c r="D173" s="812"/>
      <c r="E173" s="812"/>
      <c r="F173" s="812"/>
      <c r="G173" s="812"/>
      <c r="H173" s="812"/>
      <c r="I173" s="812"/>
    </row>
    <row r="174" spans="1:41" x14ac:dyDescent="0.25">
      <c r="D174" s="810"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74" s="810"/>
      <c r="F174" s="810"/>
      <c r="G174" s="810"/>
      <c r="H174" s="810"/>
      <c r="I174" s="810"/>
      <c r="J174" s="810"/>
      <c r="K174" s="810"/>
      <c r="L174" s="810"/>
      <c r="M174" s="810"/>
      <c r="N174" s="810"/>
      <c r="O174" s="810"/>
    </row>
    <row r="175" spans="1:41" ht="39.9" customHeight="1" x14ac:dyDescent="0.25">
      <c r="E175" s="138" t="str">
        <f>Import.Município</f>
        <v>SARANDI/RS</v>
      </c>
      <c r="J175" s="585" t="str">
        <f ca="1">IF(DADOS!$D$50&lt;&gt;"","Preencher os Dados do Responsável pela Fiscalização, na aba DADOS.","")</f>
        <v/>
      </c>
      <c r="K175" s="585"/>
      <c r="L175" s="585"/>
      <c r="M175" s="585"/>
      <c r="W175" s="811"/>
      <c r="X175" s="811"/>
      <c r="Y175" s="811"/>
      <c r="Z175" s="811"/>
    </row>
    <row r="176" spans="1:41" x14ac:dyDescent="0.25">
      <c r="E176" s="9" t="s">
        <v>693</v>
      </c>
      <c r="J176" s="181" t="s">
        <v>841</v>
      </c>
      <c r="W176" s="181" t="s">
        <v>866</v>
      </c>
    </row>
    <row r="177" spans="5:26" x14ac:dyDescent="0.25">
      <c r="J177" s="77" t="s">
        <v>240</v>
      </c>
      <c r="K177" s="271">
        <f t="array" ref="K177:K180">Import.RespFiscalização</f>
        <v>0</v>
      </c>
      <c r="L177" s="78"/>
      <c r="W177" s="77" t="s">
        <v>240</v>
      </c>
      <c r="X177" s="809"/>
      <c r="Y177" s="809"/>
      <c r="Z177" s="809"/>
    </row>
    <row r="178" spans="5:26" x14ac:dyDescent="0.25">
      <c r="E178" s="459">
        <f>DADOS!$C$48</f>
        <v>0</v>
      </c>
      <c r="J178" s="77" t="s">
        <v>319</v>
      </c>
      <c r="K178" s="271">
        <v>0</v>
      </c>
      <c r="L178" s="78"/>
      <c r="W178" s="77" t="s">
        <v>867</v>
      </c>
      <c r="X178" s="809"/>
      <c r="Y178" s="809"/>
      <c r="Z178" s="809"/>
    </row>
    <row r="179" spans="5:26" x14ac:dyDescent="0.25">
      <c r="E179" s="140" t="s">
        <v>694</v>
      </c>
      <c r="J179" s="77" t="s">
        <v>243</v>
      </c>
      <c r="K179" s="271">
        <v>0</v>
      </c>
      <c r="L179" s="78"/>
      <c r="W179" s="77" t="s">
        <v>243</v>
      </c>
      <c r="X179" s="809"/>
      <c r="Y179" s="809"/>
      <c r="Z179" s="809"/>
    </row>
    <row r="180" spans="5:26" x14ac:dyDescent="0.25">
      <c r="J180" s="77" t="s">
        <v>246</v>
      </c>
      <c r="K180" s="12">
        <v>0</v>
      </c>
      <c r="W180" s="77"/>
      <c r="X180" s="12"/>
    </row>
  </sheetData>
  <sheetProtection algorithmName="SHA-512" hashValue="uF0QQE+wmJgrcBCDcCxrvMjRqlas08N6NfZc3ZhMKqEoB42TRWCkSxfP8VUHqh9IrKegTdCaGb0b4Cfvq9025Q==" saltValue="5LImem9Uavceoj3GHwAyMw==" spinCount="100000" sheet="1" objects="1" scenarios="1" autoFilter="0"/>
  <autoFilter ref="C15:C165"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172:L172"/>
    <mergeCell ref="D173:I173"/>
    <mergeCell ref="AB15:AM15"/>
    <mergeCell ref="D167:O167"/>
    <mergeCell ref="T167:Z167"/>
    <mergeCell ref="D168:O170"/>
    <mergeCell ref="T168:Z170"/>
    <mergeCell ref="D15:E15"/>
    <mergeCell ref="X179:Z179"/>
    <mergeCell ref="D174:O174"/>
    <mergeCell ref="W175:Z175"/>
    <mergeCell ref="X177:Z177"/>
    <mergeCell ref="X178:Z178"/>
  </mergeCells>
  <phoneticPr fontId="38" type="noConversion"/>
  <conditionalFormatting sqref="D14:O14 T14:Z14 D33:O46 T33:Z46 D58:O164 T58:Z164 D21:O22 T21:Z22">
    <cfRule type="expression" dxfId="87" priority="16774" stopIfTrue="1">
      <formula>OR(ACOMPANHAMENTO="PLE",TIPOORCAMENTO="Proposto",$L14&lt;0,AND($L14&gt;100,RegimeExecucao="Global"),$O14&gt;$I14,$O14&lt;0)</formula>
    </cfRule>
    <cfRule type="expression" dxfId="86" priority="16775" stopIfTrue="1">
      <formula>$A14=1</formula>
    </cfRule>
    <cfRule type="expression" dxfId="85" priority="16776" stopIfTrue="1">
      <formula>$A14&lt;&gt;"S"</formula>
    </cfRule>
  </conditionalFormatting>
  <conditionalFormatting sqref="Q14:R14 AB14:AM14 Q33:R46 AB33:AM46 Q58:R164 AB58:AM164 Q21:R22 AB21:AM22">
    <cfRule type="expression" dxfId="84" priority="16777" stopIfTrue="1">
      <formula>$A14=1</formula>
    </cfRule>
    <cfRule type="expression" dxfId="83" priority="16778" stopIfTrue="1">
      <formula>$A14&lt;&gt;"S"</formula>
    </cfRule>
  </conditionalFormatting>
  <conditionalFormatting sqref="E2">
    <cfRule type="expression" dxfId="82" priority="16779" stopIfTrue="1">
      <formula>Import.RegimeExecução="(SELECIONAR)"</formula>
    </cfRule>
  </conditionalFormatting>
  <conditionalFormatting sqref="F13:H13">
    <cfRule type="expression" dxfId="81" priority="16780" stopIfTrue="1">
      <formula>RegimeExecucao="Global"</formula>
    </cfRule>
  </conditionalFormatting>
  <conditionalFormatting sqref="D15:O15">
    <cfRule type="expression" dxfId="80" priority="16781" stopIfTrue="1">
      <formula>OR(ACOMPANHAMENTO="PLE",TIPOORCAMENTO="Proposto")</formula>
    </cfRule>
  </conditionalFormatting>
  <conditionalFormatting sqref="AB13">
    <cfRule type="cellIs" dxfId="79" priority="16782" stopIfTrue="1" operator="notEqual">
      <formula>1</formula>
    </cfRule>
  </conditionalFormatting>
  <conditionalFormatting sqref="O11">
    <cfRule type="expression" dxfId="78" priority="11641">
      <formula>ROUND($P$11,4)&gt;ROUND($P$10,4)</formula>
    </cfRule>
  </conditionalFormatting>
  <conditionalFormatting sqref="D16:O19 T16:Z19 T23:Z27 D23:O27">
    <cfRule type="expression" dxfId="77" priority="181" stopIfTrue="1">
      <formula>OR(ACOMPANHAMENTO="PLE",TIPOORCAMENTO="Proposto",$L16&lt;0,AND($L16&gt;100,RegimeExecucao="Global"),$O16&gt;$I16,$O16&lt;0)</formula>
    </cfRule>
    <cfRule type="expression" dxfId="76" priority="182" stopIfTrue="1">
      <formula>$A16=1</formula>
    </cfRule>
    <cfRule type="expression" dxfId="75" priority="183" stopIfTrue="1">
      <formula>$A16&lt;&gt;"S"</formula>
    </cfRule>
  </conditionalFormatting>
  <conditionalFormatting sqref="Q16:R19 AB16:AM19 AB23:AM27 Q23:R27">
    <cfRule type="expression" dxfId="74" priority="184" stopIfTrue="1">
      <formula>$A16=1</formula>
    </cfRule>
    <cfRule type="expression" dxfId="73" priority="185" stopIfTrue="1">
      <formula>$A16&lt;&gt;"S"</formula>
    </cfRule>
  </conditionalFormatting>
  <conditionalFormatting sqref="D28:O30 T28:Z30">
    <cfRule type="expression" dxfId="72" priority="176" stopIfTrue="1">
      <formula>OR(ACOMPANHAMENTO="PLE",TIPOORCAMENTO="Proposto",$L28&lt;0,AND($L28&gt;100,RegimeExecucao="Global"),$O28&gt;$I28,$O28&lt;0)</formula>
    </cfRule>
    <cfRule type="expression" dxfId="71" priority="177" stopIfTrue="1">
      <formula>$A28=1</formula>
    </cfRule>
    <cfRule type="expression" dxfId="70" priority="178" stopIfTrue="1">
      <formula>$A28&lt;&gt;"S"</formula>
    </cfRule>
  </conditionalFormatting>
  <conditionalFormatting sqref="Q28:R30 AB28:AM30">
    <cfRule type="expression" dxfId="69" priority="179" stopIfTrue="1">
      <formula>$A28=1</formula>
    </cfRule>
    <cfRule type="expression" dxfId="68" priority="180" stopIfTrue="1">
      <formula>$A28&lt;&gt;"S"</formula>
    </cfRule>
  </conditionalFormatting>
  <conditionalFormatting sqref="D20:O20 T20:Z20">
    <cfRule type="expression" dxfId="67" priority="36" stopIfTrue="1">
      <formula>OR(ACOMPANHAMENTO="PLE",TIPOORCAMENTO="Proposto",$L20&lt;0,AND($L20&gt;100,RegimeExecucao="Global"),$O20&gt;$I20,$O20&lt;0)</formula>
    </cfRule>
    <cfRule type="expression" dxfId="66" priority="37" stopIfTrue="1">
      <formula>$A20=1</formula>
    </cfRule>
    <cfRule type="expression" dxfId="65" priority="38" stopIfTrue="1">
      <formula>$A20&lt;&gt;"S"</formula>
    </cfRule>
  </conditionalFormatting>
  <conditionalFormatting sqref="Q20:R20 AB20:AM20">
    <cfRule type="expression" dxfId="64" priority="39" stopIfTrue="1">
      <formula>$A20=1</formula>
    </cfRule>
    <cfRule type="expression" dxfId="63" priority="40" stopIfTrue="1">
      <formula>$A20&lt;&gt;"S"</formula>
    </cfRule>
  </conditionalFormatting>
  <conditionalFormatting sqref="D31:O32 T31:Z32">
    <cfRule type="expression" dxfId="62" priority="31" stopIfTrue="1">
      <formula>OR(ACOMPANHAMENTO="PLE",TIPOORCAMENTO="Proposto",$L31&lt;0,AND($L31&gt;100,RegimeExecucao="Global"),$O31&gt;$I31,$O31&lt;0)</formula>
    </cfRule>
    <cfRule type="expression" dxfId="61" priority="32" stopIfTrue="1">
      <formula>$A31=1</formula>
    </cfRule>
    <cfRule type="expression" dxfId="60" priority="33" stopIfTrue="1">
      <formula>$A31&lt;&gt;"S"</formula>
    </cfRule>
  </conditionalFormatting>
  <conditionalFormatting sqref="Q31:R32 AB31:AM32">
    <cfRule type="expression" dxfId="59" priority="34" stopIfTrue="1">
      <formula>$A31=1</formula>
    </cfRule>
    <cfRule type="expression" dxfId="58" priority="35" stopIfTrue="1">
      <formula>$A31&lt;&gt;"S"</formula>
    </cfRule>
  </conditionalFormatting>
  <conditionalFormatting sqref="D47:O48 T47:Z48">
    <cfRule type="expression" dxfId="57" priority="16" stopIfTrue="1">
      <formula>OR(ACOMPANHAMENTO="PLE",TIPOORCAMENTO="Proposto",$L47&lt;0,AND($L47&gt;100,RegimeExecucao="Global"),$O47&gt;$I47,$O47&lt;0)</formula>
    </cfRule>
    <cfRule type="expression" dxfId="56" priority="17" stopIfTrue="1">
      <formula>$A47=1</formula>
    </cfRule>
    <cfRule type="expression" dxfId="55" priority="18" stopIfTrue="1">
      <formula>$A47&lt;&gt;"S"</formula>
    </cfRule>
  </conditionalFormatting>
  <conditionalFormatting sqref="Q47:R48 AB47:AM48">
    <cfRule type="expression" dxfId="54" priority="19" stopIfTrue="1">
      <formula>$A47=1</formula>
    </cfRule>
    <cfRule type="expression" dxfId="53" priority="20" stopIfTrue="1">
      <formula>$A47&lt;&gt;"S"</formula>
    </cfRule>
  </conditionalFormatting>
  <conditionalFormatting sqref="D49:O57 T49:Z57">
    <cfRule type="expression" dxfId="52" priority="11" stopIfTrue="1">
      <formula>OR(ACOMPANHAMENTO="PLE",TIPOORCAMENTO="Proposto",$L49&lt;0,AND($L49&gt;100,RegimeExecucao="Global"),$O49&gt;$I49,$O49&lt;0)</formula>
    </cfRule>
    <cfRule type="expression" dxfId="51" priority="12" stopIfTrue="1">
      <formula>$A49=1</formula>
    </cfRule>
    <cfRule type="expression" dxfId="50" priority="13" stopIfTrue="1">
      <formula>$A49&lt;&gt;"S"</formula>
    </cfRule>
  </conditionalFormatting>
  <conditionalFormatting sqref="Q49:R57 AB49:AM57">
    <cfRule type="expression" dxfId="49" priority="14" stopIfTrue="1">
      <formula>$A49=1</formula>
    </cfRule>
    <cfRule type="expression" dxfId="48" priority="15" stopIfTrue="1">
      <formula>$A49&lt;&gt;"S"</formula>
    </cfRule>
  </conditionalFormatting>
  <dataValidations count="4">
    <dataValidation type="list" allowBlank="1" showErrorMessage="1" sqref="Z14 Z16:Z164"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164"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164"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45720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121920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109375" hidden="1" customWidth="1"/>
    <col min="4" max="4" width="3.5546875" customWidth="1"/>
    <col min="5" max="5" width="7.5546875" customWidth="1"/>
    <col min="6" max="6" width="35.5546875" customWidth="1"/>
    <col min="7" max="7" width="15.5546875" customWidth="1"/>
    <col min="8" max="8" width="12.5546875" customWidth="1"/>
    <col min="9" max="9" width="7.5546875" customWidth="1"/>
    <col min="10" max="10" width="16.5546875" customWidth="1"/>
    <col min="11" max="11" width="5.5546875" customWidth="1"/>
    <col min="12" max="15" width="16.5546875" customWidth="1"/>
    <col min="16" max="16" width="11.5546875" customWidth="1"/>
    <col min="17" max="21" width="9.109375" hidden="1" customWidth="1"/>
    <col min="22" max="22" width="12.109375" hidden="1" customWidth="1"/>
    <col min="23" max="24" width="5.5546875" customWidth="1"/>
    <col min="25" max="26" width="16.5546875" customWidth="1"/>
    <col min="27" max="27" width="1.5546875" customWidth="1"/>
    <col min="29" max="34" width="15.6640625" hidden="1" customWidth="1"/>
    <col min="35" max="35" width="9.109375" hidden="1" customWidth="1"/>
    <col min="36" max="41" width="15.6640625" hidden="1" customWidth="1"/>
  </cols>
  <sheetData>
    <row r="1" spans="1:41" ht="30" customHeight="1" x14ac:dyDescent="0.25">
      <c r="F1" s="346" t="str">
        <f>CONCATENATE("RRE - RELATÓRIO RESUMO DO EMPREENDIMENTO - ",IF(CAIXA.Modo,"CAIXA","TOMADOR"))</f>
        <v>RRE - RELATÓRIO RESUMO DO EMPREENDIMENTO - TOMADOR</v>
      </c>
      <c r="H1" s="8"/>
      <c r="I1" s="8"/>
      <c r="P1" s="492" t="s">
        <v>868</v>
      </c>
      <c r="AD1" s="647" t="s">
        <v>869</v>
      </c>
      <c r="AE1" s="347" t="s">
        <v>870</v>
      </c>
    </row>
    <row r="2" spans="1:41" x14ac:dyDescent="0.25">
      <c r="AC2" s="348" t="str">
        <f>J25</f>
        <v>Repasse</v>
      </c>
      <c r="AD2" s="349" t="e">
        <f ca="1">AD6-AD4-AD3</f>
        <v>#NAME?</v>
      </c>
      <c r="AE2" s="349" t="e">
        <f ca="1">AE6-AE4-AE3</f>
        <v>#NAME?</v>
      </c>
    </row>
    <row r="3" spans="1:41" x14ac:dyDescent="0.25">
      <c r="E3" s="712" t="s">
        <v>652</v>
      </c>
      <c r="F3" s="712"/>
      <c r="G3" s="712"/>
      <c r="H3" s="712"/>
      <c r="I3" s="701" t="s">
        <v>650</v>
      </c>
      <c r="J3" s="701"/>
      <c r="K3" s="701"/>
      <c r="L3" s="87" t="s">
        <v>707</v>
      </c>
      <c r="M3" s="146"/>
      <c r="O3" s="350"/>
      <c r="P3" s="274" t="s">
        <v>715</v>
      </c>
      <c r="R3" s="146"/>
      <c r="S3" s="146"/>
      <c r="T3" s="146"/>
      <c r="U3" s="146"/>
      <c r="AC3" s="348" t="s">
        <v>456</v>
      </c>
      <c r="AD3" s="349" t="e">
        <f ca="1">SUM(T13:OFFSET(T24,-1,0))</f>
        <v>#NAME?</v>
      </c>
      <c r="AE3" s="349" t="e">
        <f ca="1">IF(OR($O$28&lt;$M$28,$M$26&gt;$AD$3),MIN($M$26,$L$26),MIN($AD$3,$N$28-$N$27+$M$26))</f>
        <v>#NAME?</v>
      </c>
    </row>
    <row r="4" spans="1:41" ht="12.75" customHeight="1" x14ac:dyDescent="0.25">
      <c r="E4" s="717" t="str">
        <f>Import.Proponente</f>
        <v>MUNICÍPIO DE SARANDI</v>
      </c>
      <c r="F4" s="717"/>
      <c r="G4" s="717"/>
      <c r="H4" s="717"/>
      <c r="I4" s="704">
        <f>Import.CR</f>
        <v>0</v>
      </c>
      <c r="J4" s="704"/>
      <c r="K4" s="704"/>
      <c r="L4" s="56">
        <f>Import.TransfereGOV</f>
        <v>0</v>
      </c>
      <c r="M4" s="821" t="s">
        <v>809</v>
      </c>
      <c r="N4" s="822"/>
      <c r="O4" s="823"/>
      <c r="P4" s="351" t="str">
        <f>import.recurso</f>
        <v>(SELECIONAR)</v>
      </c>
      <c r="R4" s="146"/>
      <c r="S4" s="146"/>
      <c r="T4" s="350"/>
      <c r="U4" s="350"/>
      <c r="AC4" s="348" t="s">
        <v>871</v>
      </c>
      <c r="AD4" s="349" t="e">
        <f ca="1">SUM(U13:OFFSET(U24,-1,0))</f>
        <v>#NAME?</v>
      </c>
      <c r="AE4" s="349" t="e">
        <f ca="1">IF(OR($O$28&lt;$M$28,$M$27&gt;$AD$4),MIN($M$27,$L$27),MIN($AD$4,$N$28+$M$27))</f>
        <v>#NAME?</v>
      </c>
    </row>
    <row r="5" spans="1:41" ht="5.0999999999999996" customHeight="1" x14ac:dyDescent="0.25">
      <c r="H5" s="277"/>
      <c r="I5" s="277"/>
      <c r="J5" s="277"/>
      <c r="K5" s="277"/>
      <c r="L5" s="277"/>
      <c r="M5" s="352"/>
      <c r="N5" s="265"/>
      <c r="O5" s="4"/>
      <c r="R5" s="146"/>
      <c r="S5" s="146"/>
      <c r="T5" s="146"/>
      <c r="U5" s="146"/>
    </row>
    <row r="6" spans="1:41" ht="12.75" customHeight="1" x14ac:dyDescent="0.25">
      <c r="E6" s="701" t="s">
        <v>708</v>
      </c>
      <c r="F6" s="701"/>
      <c r="G6" s="701"/>
      <c r="H6" s="701"/>
      <c r="I6" s="848" t="s">
        <v>808</v>
      </c>
      <c r="J6" s="848"/>
      <c r="K6" s="848"/>
      <c r="L6" s="848"/>
      <c r="M6" s="55" t="str">
        <f>IF(import.recurso="FGTS","FINANCIAMENTO","REPASSE")</f>
        <v>REPASSE</v>
      </c>
      <c r="N6" s="96" t="s">
        <v>810</v>
      </c>
      <c r="O6" s="55" t="s">
        <v>811</v>
      </c>
      <c r="P6" s="147" t="s">
        <v>872</v>
      </c>
      <c r="R6" s="146"/>
      <c r="S6" s="146"/>
      <c r="T6" s="146"/>
      <c r="U6" s="146"/>
      <c r="AC6" s="348" t="s">
        <v>873</v>
      </c>
      <c r="AD6" s="349" t="e">
        <f ca="1">$O$28</f>
        <v>#NAME?</v>
      </c>
      <c r="AE6" s="349" t="e">
        <f ca="1">AD6</f>
        <v>#NAME?</v>
      </c>
    </row>
    <row r="7" spans="1:41" ht="12.75" customHeight="1" x14ac:dyDescent="0.25">
      <c r="D7" s="694" t="s">
        <v>655</v>
      </c>
      <c r="E7" s="704" t="str">
        <f>Import.Apelido</f>
        <v>PAVIMENTAÇÃO ASFÁLTICA EM DIVERSOS TRECHOS NO MUNICÍPIO DE SARANDI</v>
      </c>
      <c r="F7" s="704"/>
      <c r="G7" s="704"/>
      <c r="H7" s="704"/>
      <c r="I7" s="845" t="str">
        <f>Import.Município</f>
        <v>SARANDI/RS</v>
      </c>
      <c r="J7" s="845"/>
      <c r="K7" s="845"/>
      <c r="L7" s="845"/>
      <c r="M7" s="353">
        <f>Import.Repasse</f>
        <v>1000000</v>
      </c>
      <c r="N7" s="354">
        <f>Import.Contrapartida</f>
        <v>387623.57</v>
      </c>
      <c r="O7" s="353">
        <f>M7+N7</f>
        <v>1387623.57</v>
      </c>
      <c r="P7" s="423">
        <f>IF(ACOMPANHAMENTO="PLE",PLE.Medicao,BM.medicao)</f>
        <v>1</v>
      </c>
      <c r="R7" s="146"/>
      <c r="S7" s="146"/>
      <c r="T7" s="146"/>
      <c r="U7" s="146"/>
    </row>
    <row r="8" spans="1:41" x14ac:dyDescent="0.25">
      <c r="D8" s="694"/>
      <c r="E8" s="92"/>
      <c r="F8" s="92"/>
      <c r="G8" s="92"/>
      <c r="H8" s="92"/>
      <c r="I8" s="92"/>
      <c r="J8" s="92"/>
      <c r="K8" s="92"/>
      <c r="L8" s="92"/>
      <c r="M8" s="92"/>
      <c r="N8" s="92"/>
      <c r="O8" s="92"/>
      <c r="P8" s="92"/>
      <c r="R8" s="146"/>
      <c r="S8" s="146"/>
      <c r="T8" s="146"/>
      <c r="U8" s="146"/>
    </row>
    <row r="9" spans="1:41" ht="12.75" customHeight="1" x14ac:dyDescent="0.25">
      <c r="D9" s="694"/>
      <c r="G9" s="846" t="s">
        <v>874</v>
      </c>
      <c r="H9" s="846"/>
      <c r="I9" s="846" t="s">
        <v>875</v>
      </c>
      <c r="J9" s="846"/>
      <c r="K9" s="355"/>
      <c r="L9" s="847" t="s">
        <v>815</v>
      </c>
      <c r="M9" s="356" t="s">
        <v>818</v>
      </c>
      <c r="N9" s="278" t="s">
        <v>741</v>
      </c>
      <c r="P9" s="357"/>
      <c r="R9" s="146"/>
      <c r="S9" s="146"/>
      <c r="T9" s="146"/>
      <c r="U9" s="146"/>
      <c r="V9" s="7" t="s">
        <v>876</v>
      </c>
    </row>
    <row r="10" spans="1:41" ht="12.75" customHeight="1" x14ac:dyDescent="0.25">
      <c r="D10" s="694"/>
      <c r="G10" s="706" t="e">
        <f ca="1">IF(J10="-","-",IF($P$24&lt;J10,"Atrasada",IF($P$24&gt;J10,"Adiantada","Normal")))</f>
        <v>#NAME?</v>
      </c>
      <c r="H10" s="706"/>
      <c r="I10" s="358">
        <f>DATE(YEAR($L$35),MONTH($L$35),1)</f>
        <v>1</v>
      </c>
      <c r="J10" s="359">
        <f ca="1">IF($I$10&lt;DATE(YEAR(CRONO!$U$13),MONTH(CRONO!$U$13),1),0,IF($I$10&gt;OFFSET(CRONO!$AG$13,0,-1),1,INDEX(CRONO!$T$101:$AH$101,MATCH(RRE!$I$10,CRONO!$T$13:$AG$13,0))))</f>
        <v>0</v>
      </c>
      <c r="K10" s="355"/>
      <c r="L10" s="847"/>
      <c r="M10" s="360">
        <f ca="1">QCI!L10</f>
        <v>0</v>
      </c>
      <c r="N10" s="280">
        <f ca="1">QCI!M10</f>
        <v>6000.0000000000582</v>
      </c>
      <c r="P10" s="357"/>
      <c r="R10" s="146"/>
      <c r="S10" s="146"/>
      <c r="T10" s="146"/>
      <c r="U10" s="146"/>
      <c r="AC10" s="842" t="s">
        <v>76</v>
      </c>
      <c r="AD10" s="842"/>
      <c r="AE10" s="842"/>
      <c r="AF10" s="842"/>
      <c r="AG10" s="842"/>
      <c r="AH10" s="842"/>
      <c r="AJ10" s="842" t="s">
        <v>78</v>
      </c>
      <c r="AK10" s="842"/>
      <c r="AL10" s="842"/>
      <c r="AM10" s="842"/>
      <c r="AN10" s="842"/>
      <c r="AO10" s="842"/>
    </row>
    <row r="11" spans="1:41" ht="20.100000000000001" customHeight="1" x14ac:dyDescent="0.25">
      <c r="D11" s="694"/>
      <c r="M11" s="451" t="str">
        <f>IF(CAIXA.Modo,"Valores Aferidos (R$)","Valores Medidos (R$)")</f>
        <v>Valores Medidos (R$)</v>
      </c>
      <c r="N11" s="451"/>
      <c r="O11" s="451"/>
      <c r="R11" s="361"/>
      <c r="S11" s="361"/>
      <c r="T11" s="451"/>
      <c r="U11" s="451"/>
      <c r="V11" s="448" t="s">
        <v>877</v>
      </c>
      <c r="Y11" s="843" t="str">
        <f>IF(CAIXA.Modo,"Valores Aferidos (R$)","Valores Medidos (R$)")</f>
        <v>Valores Medidos (R$)</v>
      </c>
      <c r="Z11" s="843"/>
      <c r="AC11" s="844" t="s">
        <v>878</v>
      </c>
      <c r="AD11" s="844"/>
      <c r="AE11" s="844"/>
      <c r="AF11" s="844" t="s">
        <v>879</v>
      </c>
      <c r="AG11" s="844"/>
      <c r="AH11" s="844"/>
      <c r="AJ11" s="844" t="s">
        <v>878</v>
      </c>
      <c r="AK11" s="844"/>
      <c r="AL11" s="844"/>
      <c r="AM11" s="844" t="s">
        <v>879</v>
      </c>
      <c r="AN11" s="844"/>
      <c r="AO11" s="844"/>
    </row>
    <row r="12" spans="1:41" ht="30" hidden="1" customHeight="1" x14ac:dyDescent="0.25">
      <c r="A12" t="e">
        <f ca="1">MATCH(E12,ORÇAMENTO!$E$15:$E$165,0)-1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e">
        <f ca="1">_xlfn.SINGLE(IF($C12="Automático",IF(_xlfn.SINGLE(ACOMPANHAMENTO)="BM",BM.medicao,PLE.Medicao),IF(ISBLANK($X12),"",$X12)))</f>
        <v>#NAME?</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f ca="1">IF(_xlfn.SINGLE(ACOMPANHAMENTO)&lt;&gt;"PLE",0,SUMPRODUCT((OFFSET(CÁLCULO!$BV$15:$CN$15,$A12,0,$B12)&lt;=(PLE.Medicao-1))*OFFSET(CÁLCULO!$AJ$15:$BB$15,$A12,0,$B12)*OFFSET(ORÇAMENTO!$AA$15,$A12,0,$B12)/(OFFSET(ORÇAMENTO!$X$15,$A12,0,$B12)+10^-12))+IF(AUTOEVENTO="Manual",SUMPRODUCT((OFFSET(CÁLCULO!$M$15,$A12,0,$B12)=1)*OFFSET(ORÇAMENTO!$AA$15,$A12,0,$B12)*(PLE!$AE$9-PLE!$Y$9)),0))</f>
        <v>#NAME?</v>
      </c>
      <c r="AD12" s="183" t="e">
        <f ca="1">IF(_xlfn.SINGLE(ACOMPANHAMENTO)&lt;&gt;"PLE",0,SUMPRODUCT((OFFSET(CÁLCULO!$BV$15:$CN$15,$A12,0,$B12)&lt;=(PLE.Medicao-1))*OFFSET(CÁLCULO!$AJ$15:$BB$15,$A12,0,$B12)*OFFSET(ORÇAMENTO!$AB$15,$A12,0,$B12)/(OFFSET(ORÇAMENTO!$X$15,$A12,0,$B12)+10^-12))+IF(AUTOEVENTO="Manual",SUMPRODUCT((OFFSET(CÁLCULO!$M$15,$A12,0,$B12)=1)*OFFSET(ORÇAMENTO!$AB$15,$A12,0,$B12)*(PLE!$AE$9-PLE!$Y$9)),0))</f>
        <v>#NAME?</v>
      </c>
      <c r="AE12" s="183" t="e">
        <f ca="1">ROUND(
            IF(ACOMPANHAMENTO&lt;&gt;"PLE",0,
                      SUMIF(OFFSET(CÁLCULO!$BV$15:$CN$15,$A12,0,$B12),"&lt;="&amp;(PLE.Medicao-1),OFFSET(CÁLCULO!$AJ$15:$BB$15,$A12,0,$B12))
                      +IF(AdmLocal="Automática",
                              SUMIF(OFFSET(CÁLCULO!$M$15,$A12,0,$B12),1,OFFSET(ORÇAMENTO!$X$15,$A12,0,$B12))*(PLE!$AE$9-PLE!$Y$9),
                              0)),
            2)</f>
        <v>#N/A</v>
      </c>
      <c r="AF12" s="183" t="e">
        <f ca="1">IF(_xlfn.SINGLE(ACOMPANHAMENTO)&lt;&gt;"PLE",0,SUMPRODUCT((OFFSET(CÁLCULO!$BV$15:$CN$15,$A12,0,$B12)&lt;=PLE.Medicao)*OFFSET(CÁLCULO!$AJ$15:$BB$15,$A12,0,$B12)*OFFSET(ORÇAMENTO!$AA$15,$A12,0,$B12)/(OFFSET(ORÇAMENTO!$X$15,$A12,0,$B12)+10^-12))+IF(AUTOEVENTO="Manual",SUMPRODUCT((OFFSET(CÁLCULO!$M$15,$A12,0,$B12)=1)*OFFSET(ORÇAMENTO!$AA$15,$A12,0,$B12)*PLE!$AE$9),0))</f>
        <v>#NAME?</v>
      </c>
      <c r="AG12" s="183" t="e">
        <f ca="1">IF(_xlfn.SINGLE(ACOMPANHAMENTO)&lt;&gt;"PLE",0,SUMPRODUCT((OFFSET(CÁLCULO!$BV$15:$CN$15,$A12,0,$B12)&lt;=PLE.Medicao)*OFFSET(CÁLCULO!$AJ$15:$BB$15,$A12,0,$B12)*OFFSET(ORÇAMENTO!$AB$15,$A12,0,$B12)/(OFFSET(ORÇAMENTO!$X$15,$A12,0,$B12)+10^-12))+IF(AUTOEVENTO="Manual",SUMPRODUCT((OFFSET(CÁLCULO!$M$15,$A12,0,$B12)=1)*OFFSET(ORÇAMENTO!$AB$15,$A12,0,$B12)*PLE!$AE$9),0))</f>
        <v>#NAME?</v>
      </c>
      <c r="AH12" s="183" t="e">
        <f ca="1">ROUND(IF(_xlfn.SINGLE(ACOMPANHAMENTO)&lt;&gt;"PLE",0,SUMIF(OFFSET(CÁLCULO!$BV$15:$CN$15,$A12,0,$B12),"&lt;="&amp;PLE.Medicao,OFFSET(CÁLCULO!$AJ$15:$BB$15,$A12,0,$B12))+IF(AdmLocal="Automática",SUMIF(OFFSET(CÁLCULO!$M$15,$A12,0,$B12),1,OFFSET(ORÇAMENTO!$X$15,$A12,0,$B12))*PLE!$AE$9,0)),2)</f>
        <v>#NAME?</v>
      </c>
      <c r="AJ12" s="183" t="e">
        <f ca="1">IF(_xlfn.SINGLE(ACOMPANHAMENTO)&lt;&gt;"BM",0,SUMPRODUCT(OFFSET(BM!$M$15,$A12,0,$B12)*(OFFSET(BM!$A$15,$A12,0,$B12)="S")*OFFSET(ORÇAMENTO!AA$15,$A12,0,$B12)/(OFFSET(ORÇAMENTO!$X$15,$A12,0,$B12)+10^-12)))</f>
        <v>#NAME?</v>
      </c>
      <c r="AK12" s="183" t="e">
        <f ca="1">IF(_xlfn.SINGLE(ACOMPANHAMENTO)&lt;&gt;"BM",0,SUMPRODUCT(OFFSET(BM!$M$15,$A12,0,$B12)*(OFFSET(BM!$A$15,$A12,0,$B12)="S")*OFFSET(ORÇAMENTO!AB$15,$A12,0,$B12)/(OFFSET(ORÇAMENTO!$X$15,$A12,0,$B12)+10^-12)))</f>
        <v>#NAME?</v>
      </c>
      <c r="AL12" s="183" t="e">
        <f ca="1">IF(_xlfn.SINGLE(ACOMPANHAMENTO)&lt;&gt;"BM",0,OFFSET(BM!$M$15,$A12,0))</f>
        <v>#NAME?</v>
      </c>
      <c r="AM12" s="183" t="e">
        <f ca="1">IF(_xlfn.SINGLE(ACOMPANHAMENTO)&lt;&gt;"BM",0,SUMPRODUCT(OFFSET(BM!$O$15,$A12,0,$B12)*(OFFSET(BM!$A$15,$A12,0,$B12)="S")*OFFSET(ORÇAMENTO!AA$15,$A12,0,$B12)/(OFFSET(ORÇAMENTO!$X$15,$A12,0,$B12)+10^-12)))</f>
        <v>#NAME?</v>
      </c>
      <c r="AN12" s="183" t="e">
        <f ca="1">IF(_xlfn.SINGLE(ACOMPANHAMENTO)&lt;&gt;"BM",0,SUMPRODUCT(OFFSET(BM!$O$15,$A12,0,$B12)*(OFFSET(BM!$A$15,$A12,0,$B12)="S")*OFFSET(ORÇAMENTO!AB$15,$A12,0,$B12)/(OFFSET(ORÇAMENTO!$X$15,$A12,0,$B12)+10^-12)))</f>
        <v>#NAME?</v>
      </c>
      <c r="AO12" s="183" t="e">
        <f ca="1">IF(_xlfn.SINGLE(ACOMPANHAMENTO)&lt;&gt;"BM",0,OFFSET(BM!$O$15,$A12,0))</f>
        <v>#NAME?</v>
      </c>
    </row>
    <row r="13" spans="1:41" ht="39.9" customHeight="1" x14ac:dyDescent="0.25">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5">
      <c r="A14">
        <f ca="1">MATCH(E14,ORÇAMENTO!$E$15:$E$165,0)-1</f>
        <v>1</v>
      </c>
      <c r="B14">
        <f ca="1">IF(ISERROR($A14),NA(),OFFSET(ORÇAMENTO!$D$15,$A14,0))</f>
        <v>41</v>
      </c>
      <c r="C14" t="str">
        <f ca="1">QCI!B14</f>
        <v>Automático</v>
      </c>
      <c r="D14" t="str">
        <f t="shared" ref="D14:D22" ca="1" si="0">IF(L14&gt;0,"F","")</f>
        <v>F</v>
      </c>
      <c r="E14" s="281">
        <f>QCI!D14</f>
        <v>1</v>
      </c>
      <c r="F14" s="362" t="str">
        <f ca="1">QCI!G14</f>
        <v>RERPERFILAMENTO E CBUQ SOBRE CALÇAMENTO AV. SETE DE SETEMBRO LOTEAMENTO BEM MORAR (TRECHO 2)</v>
      </c>
      <c r="G14" s="363">
        <f>QCI!H14</f>
        <v>0</v>
      </c>
      <c r="H14" s="282">
        <f>QCI!I14</f>
        <v>0</v>
      </c>
      <c r="I14" s="282" t="str">
        <f ca="1">QCI!J14</f>
        <v/>
      </c>
      <c r="J14" s="364" t="str">
        <f ca="1">QCI!K14</f>
        <v>LOTE 1</v>
      </c>
      <c r="K14" s="365" t="e">
        <f ca="1">_xlfn.SINGLE(IF($C14="Automático",IF(_xlfn.SINGLE(ACOMPANHAMENTO)="BM",BM.medicao,PLE.Medicao),IF(ISBLANK($X14),"",$X14)))</f>
        <v>#NAME?</v>
      </c>
      <c r="L14" s="286">
        <f ca="1">QCI!$O14</f>
        <v>498227.73</v>
      </c>
      <c r="M14" s="283" t="e">
        <f t="shared" ref="M14:M22" ca="1" si="1">ROUND(IF(C14="Automático",AE14+AL14,Y14),2)</f>
        <v>#NAME?</v>
      </c>
      <c r="N14" s="284" t="e">
        <f t="shared" ref="N14:N22" ca="1" si="2">O14-M14</f>
        <v>#NAME?</v>
      </c>
      <c r="O14" s="285" t="e">
        <f t="shared" ref="O14:O22" ca="1" si="3">ROUND(IF(C14="Automático",AH14+AO14,Z14),2)</f>
        <v>#NAME?</v>
      </c>
      <c r="P14" s="367" t="e">
        <f t="shared" ref="P14:P22" ca="1" si="4">O14/(L14+10^-12)</f>
        <v>#NAME?</v>
      </c>
      <c r="R14" s="366" t="e">
        <f ca="1">ROUND(IF($C14="Automático",AC14+AJ14,$Y14*IF(ISERROR(QCI!$AA14/QCI!$O14),0,QCI!$AA14/QCI!$O14)),2)</f>
        <v>#NAME?</v>
      </c>
      <c r="S14" s="366" t="e">
        <f ca="1">ROUND(IF($C14="Automático",AD14+AK14,$Y14*IF(ISERROR(QCI!$AB14/QCI!$O14),0,QCI!$AB14/QCI!$O14)),2)</f>
        <v>#NAME?</v>
      </c>
      <c r="T14" s="366" t="e">
        <f ca="1">ROUND(IF($C14="Automático",AF14+AM14,$Z14*IF(ISERROR(QCI!$AA14/QCI!$O14),0,QCI!$AA14/QCI!$O14)),2)</f>
        <v>#NAME?</v>
      </c>
      <c r="U14" s="366" t="e">
        <f ca="1">ROUND(IF($C14="Automático",AG14+AN14,$Z14*IF(ISERROR(QCI!$AB14/QCI!$O14),0,QCI!$AB14/QCI!$O14)),2)</f>
        <v>#NAME?</v>
      </c>
      <c r="V14" s="449">
        <f ca="1">IF(AND($L14&gt;0,$J14&lt;&gt;0,$J14&lt;&gt;"",COUNTIF($J$13:$J14,$J14)=1),OFFSET(V14,-1,0)+1,OFFSET(V14,-1,0))</f>
        <v>1</v>
      </c>
      <c r="X14" s="513"/>
      <c r="Y14" s="287"/>
      <c r="Z14" s="288"/>
      <c r="AC14" s="183" t="e">
        <f ca="1">IF(_xlfn.SINGLE(ACOMPANHAMENTO)&lt;&gt;"PLE",0,SUMPRODUCT((OFFSET(CÁLCULO!$BV$15:$CN$15,$A14,0,$B14)&lt;=(PLE.Medicao-1))*OFFSET(CÁLCULO!$AJ$15:$BB$15,$A14,0,$B14)*OFFSET(ORÇAMENTO!$AA$15,$A14,0,$B14)/(OFFSET(ORÇAMENTO!$X$15,$A14,0,$B14)+10^-12))+IF(AUTOEVENTO="Manual",SUMPRODUCT((OFFSET(CÁLCULO!$M$15,$A14,0,$B14)=1)*OFFSET(ORÇAMENTO!$AA$15,$A14,0,$B14)*(PLE!$AE$9-PLE!$Y$9)),0))</f>
        <v>#NAME?</v>
      </c>
      <c r="AD14" s="183" t="e">
        <f ca="1">IF(_xlfn.SINGLE(ACOMPANHAMENTO)&lt;&gt;"PLE",0,SUMPRODUCT((OFFSET(CÁLCULO!$BV$15:$CN$15,$A14,0,$B14)&lt;=(PLE.Medicao-1))*OFFSET(CÁLCULO!$AJ$15:$BB$15,$A14,0,$B14)*OFFSET(ORÇAMENTO!$AB$15,$A14,0,$B14)/(OFFSET(ORÇAMENTO!$X$15,$A14,0,$B14)+10^-12))+IF(AUTOEVENTO="Manual",SUMPRODUCT((OFFSET(CÁLCULO!$M$15,$A14,0,$B14)=1)*OFFSET(ORÇAMENTO!$AB$15,$A14,0,$B14)*(PLE!$AE$9-PLE!$Y$9)),0))</f>
        <v>#NAME?</v>
      </c>
      <c r="AE14" s="183">
        <f ca="1">ROUND(
            IF(ACOMPANHAMENTO&lt;&gt;"PLE",0,
                      SUMIF(OFFSET(CÁLCULO!$BV$15:$CN$15,$A14,0,$B14),"&lt;="&amp;(PLE.Medicao-1),OFFSET(CÁLCULO!$AJ$15:$BB$15,$A14,0,$B14))
                      +IF(AdmLocal="Automática",
                              SUMIF(OFFSET(CÁLCULO!$M$15,$A14,0,$B14),1,OFFSET(ORÇAMENTO!$X$15,$A14,0,$B14))*(PLE!$AE$9-PLE!$Y$9),
                              0)),
            2)</f>
        <v>0</v>
      </c>
      <c r="AF14" s="183" t="e">
        <f ca="1">IF(_xlfn.SINGLE(ACOMPANHAMENTO)&lt;&gt;"PLE",0,SUMPRODUCT((OFFSET(CÁLCULO!$BV$15:$CN$15,$A14,0,$B14)&lt;=PLE.Medicao)*OFFSET(CÁLCULO!$AJ$15:$BB$15,$A14,0,$B14)*OFFSET(ORÇAMENTO!$AA$15,$A14,0,$B14)/(OFFSET(ORÇAMENTO!$X$15,$A14,0,$B14)+10^-12))+IF(AUTOEVENTO="Manual",SUMPRODUCT((OFFSET(CÁLCULO!$M$15,$A14,0,$B14)=1)*OFFSET(ORÇAMENTO!$AA$15,$A14,0,$B14)*PLE!$AE$9),0))</f>
        <v>#NAME?</v>
      </c>
      <c r="AG14" s="183" t="e">
        <f ca="1">IF(_xlfn.SINGLE(ACOMPANHAMENTO)&lt;&gt;"PLE",0,SUMPRODUCT((OFFSET(CÁLCULO!$BV$15:$CN$15,$A14,0,$B14)&lt;=PLE.Medicao)*OFFSET(CÁLCULO!$AJ$15:$BB$15,$A14,0,$B14)*OFFSET(ORÇAMENTO!$AB$15,$A14,0,$B14)/(OFFSET(ORÇAMENTO!$X$15,$A14,0,$B14)+10^-12))+IF(AUTOEVENTO="Manual",SUMPRODUCT((OFFSET(CÁLCULO!$M$15,$A14,0,$B14)=1)*OFFSET(ORÇAMENTO!$AB$15,$A14,0,$B14)*PLE!$AE$9),0))</f>
        <v>#NAME?</v>
      </c>
      <c r="AH14" s="183" t="e">
        <f ca="1">ROUND(IF(_xlfn.SINGLE(ACOMPANHAMENTO)&lt;&gt;"PLE",0,SUMIF(OFFSET(CÁLCULO!$BV$15:$CN$15,$A14,0,$B14),"&lt;="&amp;PLE.Medicao,OFFSET(CÁLCULO!$AJ$15:$BB$15,$A14,0,$B14))+IF(AdmLocal="Automática",SUMIF(OFFSET(CÁLCULO!$M$15,$A14,0,$B14),1,OFFSET(ORÇAMENTO!$X$15,$A14,0,$B14))*PLE!$AE$9,0)),2)</f>
        <v>#NAME?</v>
      </c>
      <c r="AJ14" s="183" t="e">
        <f ca="1">IF(_xlfn.SINGLE(ACOMPANHAMENTO)&lt;&gt;"BM",0,SUMPRODUCT(OFFSET(BM!$M$15,$A14,0,$B14)*(OFFSET(BM!$A$15,$A14,0,$B14)="S")*OFFSET(ORÇAMENTO!AA$15,$A14,0,$B14)/(OFFSET(ORÇAMENTO!$X$15,$A14,0,$B14)+10^-12)))</f>
        <v>#NAME?</v>
      </c>
      <c r="AK14" s="183" t="e">
        <f ca="1">IF(_xlfn.SINGLE(ACOMPANHAMENTO)&lt;&gt;"BM",0,SUMPRODUCT(OFFSET(BM!$M$15,$A14,0,$B14)*(OFFSET(BM!$A$15,$A14,0,$B14)="S")*OFFSET(ORÇAMENTO!AB$15,$A14,0,$B14)/(OFFSET(ORÇAMENTO!$X$15,$A14,0,$B14)+10^-12)))</f>
        <v>#NAME?</v>
      </c>
      <c r="AL14" s="183" t="e">
        <f ca="1">IF(_xlfn.SINGLE(ACOMPANHAMENTO)&lt;&gt;"BM",0,OFFSET(BM!$M$15,$A14,0))</f>
        <v>#NAME?</v>
      </c>
      <c r="AM14" s="183" t="e">
        <f ca="1">IF(_xlfn.SINGLE(ACOMPANHAMENTO)&lt;&gt;"BM",0,SUMPRODUCT(OFFSET(BM!$O$15,$A14,0,$B14)*(OFFSET(BM!$A$15,$A14,0,$B14)="S")*OFFSET(ORÇAMENTO!AA$15,$A14,0,$B14)/(OFFSET(ORÇAMENTO!$X$15,$A14,0,$B14)+10^-12)))</f>
        <v>#NAME?</v>
      </c>
      <c r="AN14" s="183" t="e">
        <f ca="1">IF(_xlfn.SINGLE(ACOMPANHAMENTO)&lt;&gt;"BM",0,SUMPRODUCT(OFFSET(BM!$O$15,$A14,0,$B14)*(OFFSET(BM!$A$15,$A14,0,$B14)="S")*OFFSET(ORÇAMENTO!AB$15,$A14,0,$B14)/(OFFSET(ORÇAMENTO!$X$15,$A14,0,$B14)+10^-12)))</f>
        <v>#NAME?</v>
      </c>
      <c r="AO14" s="183" t="e">
        <f ca="1">IF(_xlfn.SINGLE(ACOMPANHAMENTO)&lt;&gt;"BM",0,OFFSET(BM!$O$15,$A14,0))</f>
        <v>#NAME?</v>
      </c>
    </row>
    <row r="15" spans="1:41" ht="30" customHeight="1" x14ac:dyDescent="0.25">
      <c r="A15">
        <f ca="1">MATCH(E15,ORÇAMENTO!$E$15:$E$165,0)-1</f>
        <v>42</v>
      </c>
      <c r="B15">
        <f ca="1">IF(ISERROR($A15),NA(),OFFSET(ORÇAMENTO!$D$15,$A15,0))</f>
        <v>36</v>
      </c>
      <c r="C15" t="str">
        <f ca="1">QCI!B15</f>
        <v>Automático</v>
      </c>
      <c r="D15" t="str">
        <f t="shared" ca="1" si="0"/>
        <v>F</v>
      </c>
      <c r="E15" s="281">
        <f>QCI!D15</f>
        <v>2</v>
      </c>
      <c r="F15" s="362" t="str">
        <f ca="1">QCI!G15</f>
        <v>REPERFILAMENTO EM CBUQ SOBRE CALÇAMENTO ESTRADA DE ACESSO À SANGA DO LEÃO (TRECHO 3)</v>
      </c>
      <c r="G15" s="363">
        <f>QCI!H15</f>
        <v>0</v>
      </c>
      <c r="H15" s="282">
        <f>QCI!I15</f>
        <v>0</v>
      </c>
      <c r="I15" s="282" t="str">
        <f ca="1">QCI!J15</f>
        <v/>
      </c>
      <c r="J15" s="364" t="str">
        <f ca="1">QCI!K15</f>
        <v>LOTE 1</v>
      </c>
      <c r="K15" s="365" t="e">
        <f ca="1">_xlfn.SINGLE(IF($C15="Automático",IF(_xlfn.SINGLE(ACOMPANHAMENTO)="BM",BM.medicao,PLE.Medicao),IF(ISBLANK($X15),"",$X15)))</f>
        <v>#NAME?</v>
      </c>
      <c r="L15" s="286">
        <f ca="1">QCI!$O15</f>
        <v>138878</v>
      </c>
      <c r="M15" s="283" t="e">
        <f t="shared" ca="1" si="1"/>
        <v>#NAME?</v>
      </c>
      <c r="N15" s="284" t="e">
        <f t="shared" ca="1" si="2"/>
        <v>#NAME?</v>
      </c>
      <c r="O15" s="285" t="e">
        <f t="shared" ca="1" si="3"/>
        <v>#NAME?</v>
      </c>
      <c r="P15" s="367" t="e">
        <f t="shared" ca="1" si="4"/>
        <v>#NAME?</v>
      </c>
      <c r="R15" s="366" t="e">
        <f ca="1">ROUND(IF($C15="Automático",AC15+AJ15,$Y15*IF(ISERROR(QCI!$AA15/QCI!$O15),0,QCI!$AA15/QCI!$O15)),2)</f>
        <v>#NAME?</v>
      </c>
      <c r="S15" s="366" t="e">
        <f ca="1">ROUND(IF($C15="Automático",AD15+AK15,$Y15*IF(ISERROR(QCI!$AB15/QCI!$O15),0,QCI!$AB15/QCI!$O15)),2)</f>
        <v>#NAME?</v>
      </c>
      <c r="T15" s="366" t="e">
        <f ca="1">ROUND(IF($C15="Automático",AF15+AM15,$Z15*IF(ISERROR(QCI!$AA15/QCI!$O15),0,QCI!$AA15/QCI!$O15)),2)</f>
        <v>#NAME?</v>
      </c>
      <c r="U15" s="366" t="e">
        <f ca="1">ROUND(IF($C15="Automático",AG15+AN15,$Z15*IF(ISERROR(QCI!$AB15/QCI!$O15),0,QCI!$AB15/QCI!$O15)),2)</f>
        <v>#NAME?</v>
      </c>
      <c r="V15" s="449">
        <f ca="1">IF(AND($L15&gt;0,$J15&lt;&gt;0,$J15&lt;&gt;"",COUNTIF($J$13:$J15,$J15)=1),OFFSET(V15,-1,0)+1,OFFSET(V15,-1,0))</f>
        <v>1</v>
      </c>
      <c r="X15" s="513"/>
      <c r="Y15" s="287"/>
      <c r="Z15" s="288"/>
      <c r="AC15" s="183" t="e">
        <f ca="1">IF(_xlfn.SINGLE(ACOMPANHAMENTO)&lt;&gt;"PLE",0,SUMPRODUCT((OFFSET(CÁLCULO!$BV$15:$CN$15,$A15,0,$B15)&lt;=(PLE.Medicao-1))*OFFSET(CÁLCULO!$AJ$15:$BB$15,$A15,0,$B15)*OFFSET(ORÇAMENTO!$AA$15,$A15,0,$B15)/(OFFSET(ORÇAMENTO!$X$15,$A15,0,$B15)+10^-12))+IF(AUTOEVENTO="Manual",SUMPRODUCT((OFFSET(CÁLCULO!$M$15,$A15,0,$B15)=1)*OFFSET(ORÇAMENTO!$AA$15,$A15,0,$B15)*(PLE!$AE$9-PLE!$Y$9)),0))</f>
        <v>#NAME?</v>
      </c>
      <c r="AD15" s="183" t="e">
        <f ca="1">IF(_xlfn.SINGLE(ACOMPANHAMENTO)&lt;&gt;"PLE",0,SUMPRODUCT((OFFSET(CÁLCULO!$BV$15:$CN$15,$A15,0,$B15)&lt;=(PLE.Medicao-1))*OFFSET(CÁLCULO!$AJ$15:$BB$15,$A15,0,$B15)*OFFSET(ORÇAMENTO!$AB$15,$A15,0,$B15)/(OFFSET(ORÇAMENTO!$X$15,$A15,0,$B15)+10^-12))+IF(AUTOEVENTO="Manual",SUMPRODUCT((OFFSET(CÁLCULO!$M$15,$A15,0,$B15)=1)*OFFSET(ORÇAMENTO!$AB$15,$A15,0,$B15)*(PLE!$AE$9-PLE!$Y$9)),0))</f>
        <v>#NAME?</v>
      </c>
      <c r="AE15" s="183">
        <f ca="1">ROUND(
            IF(ACOMPANHAMENTO&lt;&gt;"PLE",0,
                      SUMIF(OFFSET(CÁLCULO!$BV$15:$CN$15,$A15,0,$B15),"&lt;="&amp;(PLE.Medicao-1),OFFSET(CÁLCULO!$AJ$15:$BB$15,$A15,0,$B15))
                      +IF(AdmLocal="Automática",
                              SUMIF(OFFSET(CÁLCULO!$M$15,$A15,0,$B15),1,OFFSET(ORÇAMENTO!$X$15,$A15,0,$B15))*(PLE!$AE$9-PLE!$Y$9),
                              0)),
            2)</f>
        <v>0</v>
      </c>
      <c r="AF15" s="183" t="e">
        <f ca="1">IF(_xlfn.SINGLE(ACOMPANHAMENTO)&lt;&gt;"PLE",0,SUMPRODUCT((OFFSET(CÁLCULO!$BV$15:$CN$15,$A15,0,$B15)&lt;=PLE.Medicao)*OFFSET(CÁLCULO!$AJ$15:$BB$15,$A15,0,$B15)*OFFSET(ORÇAMENTO!$AA$15,$A15,0,$B15)/(OFFSET(ORÇAMENTO!$X$15,$A15,0,$B15)+10^-12))+IF(AUTOEVENTO="Manual",SUMPRODUCT((OFFSET(CÁLCULO!$M$15,$A15,0,$B15)=1)*OFFSET(ORÇAMENTO!$AA$15,$A15,0,$B15)*PLE!$AE$9),0))</f>
        <v>#NAME?</v>
      </c>
      <c r="AG15" s="183" t="e">
        <f ca="1">IF(_xlfn.SINGLE(ACOMPANHAMENTO)&lt;&gt;"PLE",0,SUMPRODUCT((OFFSET(CÁLCULO!$BV$15:$CN$15,$A15,0,$B15)&lt;=PLE.Medicao)*OFFSET(CÁLCULO!$AJ$15:$BB$15,$A15,0,$B15)*OFFSET(ORÇAMENTO!$AB$15,$A15,0,$B15)/(OFFSET(ORÇAMENTO!$X$15,$A15,0,$B15)+10^-12))+IF(AUTOEVENTO="Manual",SUMPRODUCT((OFFSET(CÁLCULO!$M$15,$A15,0,$B15)=1)*OFFSET(ORÇAMENTO!$AB$15,$A15,0,$B15)*PLE!$AE$9),0))</f>
        <v>#NAME?</v>
      </c>
      <c r="AH15" s="183" t="e">
        <f ca="1">ROUND(IF(_xlfn.SINGLE(ACOMPANHAMENTO)&lt;&gt;"PLE",0,SUMIF(OFFSET(CÁLCULO!$BV$15:$CN$15,$A15,0,$B15),"&lt;="&amp;PLE.Medicao,OFFSET(CÁLCULO!$AJ$15:$BB$15,$A15,0,$B15))+IF(AdmLocal="Automática",SUMIF(OFFSET(CÁLCULO!$M$15,$A15,0,$B15),1,OFFSET(ORÇAMENTO!$X$15,$A15,0,$B15))*PLE!$AE$9,0)),2)</f>
        <v>#NAME?</v>
      </c>
      <c r="AJ15" s="183" t="e">
        <f ca="1">IF(_xlfn.SINGLE(ACOMPANHAMENTO)&lt;&gt;"BM",0,SUMPRODUCT(OFFSET(BM!$M$15,$A15,0,$B15)*(OFFSET(BM!$A$15,$A15,0,$B15)="S")*OFFSET(ORÇAMENTO!AA$15,$A15,0,$B15)/(OFFSET(ORÇAMENTO!$X$15,$A15,0,$B15)+10^-12)))</f>
        <v>#NAME?</v>
      </c>
      <c r="AK15" s="183" t="e">
        <f ca="1">IF(_xlfn.SINGLE(ACOMPANHAMENTO)&lt;&gt;"BM",0,SUMPRODUCT(OFFSET(BM!$M$15,$A15,0,$B15)*(OFFSET(BM!$A$15,$A15,0,$B15)="S")*OFFSET(ORÇAMENTO!AB$15,$A15,0,$B15)/(OFFSET(ORÇAMENTO!$X$15,$A15,0,$B15)+10^-12)))</f>
        <v>#NAME?</v>
      </c>
      <c r="AL15" s="183" t="e">
        <f ca="1">IF(_xlfn.SINGLE(ACOMPANHAMENTO)&lt;&gt;"BM",0,OFFSET(BM!$M$15,$A15,0))</f>
        <v>#NAME?</v>
      </c>
      <c r="AM15" s="183" t="e">
        <f ca="1">IF(_xlfn.SINGLE(ACOMPANHAMENTO)&lt;&gt;"BM",0,SUMPRODUCT(OFFSET(BM!$O$15,$A15,0,$B15)*(OFFSET(BM!$A$15,$A15,0,$B15)="S")*OFFSET(ORÇAMENTO!AA$15,$A15,0,$B15)/(OFFSET(ORÇAMENTO!$X$15,$A15,0,$B15)+10^-12)))</f>
        <v>#NAME?</v>
      </c>
      <c r="AN15" s="183" t="e">
        <f ca="1">IF(_xlfn.SINGLE(ACOMPANHAMENTO)&lt;&gt;"BM",0,SUMPRODUCT(OFFSET(BM!$O$15,$A15,0,$B15)*(OFFSET(BM!$A$15,$A15,0,$B15)="S")*OFFSET(ORÇAMENTO!AB$15,$A15,0,$B15)/(OFFSET(ORÇAMENTO!$X$15,$A15,0,$B15)+10^-12)))</f>
        <v>#NAME?</v>
      </c>
      <c r="AO15" s="183" t="e">
        <f ca="1">IF(_xlfn.SINGLE(ACOMPANHAMENTO)&lt;&gt;"BM",0,OFFSET(BM!$O$15,$A15,0))</f>
        <v>#NAME?</v>
      </c>
    </row>
    <row r="16" spans="1:41" ht="30" customHeight="1" x14ac:dyDescent="0.25">
      <c r="A16">
        <f ca="1">MATCH(E16,ORÇAMENTO!$E$15:$E$165,0)-1</f>
        <v>78</v>
      </c>
      <c r="B16">
        <f ca="1">IF(ISERROR($A16),NA(),OFFSET(ORÇAMENTO!$D$15,$A16,0))</f>
        <v>40</v>
      </c>
      <c r="C16" t="str">
        <f ca="1">QCI!B16</f>
        <v>Automático</v>
      </c>
      <c r="D16" t="str">
        <f t="shared" ca="1" si="0"/>
        <v>F</v>
      </c>
      <c r="E16" s="281">
        <f>QCI!D16</f>
        <v>3</v>
      </c>
      <c r="F16" s="362" t="str">
        <f ca="1">QCI!G16</f>
        <v>IMPLANTAÇÃO DE PAVIMENTAÇÃO RUA 27 DE JUNHO (Trecho 4)</v>
      </c>
      <c r="G16" s="363">
        <f>QCI!H16</f>
        <v>0</v>
      </c>
      <c r="H16" s="282">
        <f>QCI!I16</f>
        <v>0</v>
      </c>
      <c r="I16" s="282" t="str">
        <f ca="1">QCI!J16</f>
        <v/>
      </c>
      <c r="J16" s="364" t="str">
        <f ca="1">QCI!K16</f>
        <v>LOTE 1</v>
      </c>
      <c r="K16" s="365" t="e">
        <f ca="1">_xlfn.SINGLE(IF($C16="Automático",IF(_xlfn.SINGLE(ACOMPANHAMENTO)="BM",BM.medicao,PLE.Medicao),IF(ISBLANK($X16),"",$X16)))</f>
        <v>#NAME?</v>
      </c>
      <c r="L16" s="286">
        <f ca="1">QCI!$O16</f>
        <v>339932.39</v>
      </c>
      <c r="M16" s="283" t="e">
        <f t="shared" ca="1" si="1"/>
        <v>#NAME?</v>
      </c>
      <c r="N16" s="284" t="e">
        <f t="shared" ca="1" si="2"/>
        <v>#NAME?</v>
      </c>
      <c r="O16" s="285" t="e">
        <f t="shared" ca="1" si="3"/>
        <v>#NAME?</v>
      </c>
      <c r="P16" s="367" t="e">
        <f t="shared" ca="1" si="4"/>
        <v>#NAME?</v>
      </c>
      <c r="R16" s="366" t="e">
        <f ca="1">ROUND(IF($C16="Automático",AC16+AJ16,$Y16*IF(ISERROR(QCI!$AA16/QCI!$O16),0,QCI!$AA16/QCI!$O16)),2)</f>
        <v>#NAME?</v>
      </c>
      <c r="S16" s="366" t="e">
        <f ca="1">ROUND(IF($C16="Automático",AD16+AK16,$Y16*IF(ISERROR(QCI!$AB16/QCI!$O16),0,QCI!$AB16/QCI!$O16)),2)</f>
        <v>#NAME?</v>
      </c>
      <c r="T16" s="366" t="e">
        <f ca="1">ROUND(IF($C16="Automático",AF16+AM16,$Z16*IF(ISERROR(QCI!$AA16/QCI!$O16),0,QCI!$AA16/QCI!$O16)),2)</f>
        <v>#NAME?</v>
      </c>
      <c r="U16" s="366" t="e">
        <f ca="1">ROUND(IF($C16="Automático",AG16+AN16,$Z16*IF(ISERROR(QCI!$AB16/QCI!$O16),0,QCI!$AB16/QCI!$O16)),2)</f>
        <v>#NAME?</v>
      </c>
      <c r="V16" s="449">
        <f ca="1">IF(AND($L16&gt;0,$J16&lt;&gt;0,$J16&lt;&gt;"",COUNTIF($J$13:$J16,$J16)=1),OFFSET(V16,-1,0)+1,OFFSET(V16,-1,0))</f>
        <v>1</v>
      </c>
      <c r="X16" s="513"/>
      <c r="Y16" s="287"/>
      <c r="Z16" s="288"/>
      <c r="AC16" s="183" t="e">
        <f ca="1">IF(_xlfn.SINGLE(ACOMPANHAMENTO)&lt;&gt;"PLE",0,SUMPRODUCT((OFFSET(CÁLCULO!$BV$15:$CN$15,$A16,0,$B16)&lt;=(PLE.Medicao-1))*OFFSET(CÁLCULO!$AJ$15:$BB$15,$A16,0,$B16)*OFFSET(ORÇAMENTO!$AA$15,$A16,0,$B16)/(OFFSET(ORÇAMENTO!$X$15,$A16,0,$B16)+10^-12))+IF(AUTOEVENTO="Manual",SUMPRODUCT((OFFSET(CÁLCULO!$M$15,$A16,0,$B16)=1)*OFFSET(ORÇAMENTO!$AA$15,$A16,0,$B16)*(PLE!$AE$9-PLE!$Y$9)),0))</f>
        <v>#NAME?</v>
      </c>
      <c r="AD16" s="183" t="e">
        <f ca="1">IF(_xlfn.SINGLE(ACOMPANHAMENTO)&lt;&gt;"PLE",0,SUMPRODUCT((OFFSET(CÁLCULO!$BV$15:$CN$15,$A16,0,$B16)&lt;=(PLE.Medicao-1))*OFFSET(CÁLCULO!$AJ$15:$BB$15,$A16,0,$B16)*OFFSET(ORÇAMENTO!$AB$15,$A16,0,$B16)/(OFFSET(ORÇAMENTO!$X$15,$A16,0,$B16)+10^-12))+IF(AUTOEVENTO="Manual",SUMPRODUCT((OFFSET(CÁLCULO!$M$15,$A16,0,$B16)=1)*OFFSET(ORÇAMENTO!$AB$15,$A16,0,$B16)*(PLE!$AE$9-PLE!$Y$9)),0))</f>
        <v>#NAME?</v>
      </c>
      <c r="AE16" s="183">
        <f ca="1">ROUND(
            IF(ACOMPANHAMENTO&lt;&gt;"PLE",0,
                      SUMIF(OFFSET(CÁLCULO!$BV$15:$CN$15,$A16,0,$B16),"&lt;="&amp;(PLE.Medicao-1),OFFSET(CÁLCULO!$AJ$15:$BB$15,$A16,0,$B16))
                      +IF(AdmLocal="Automática",
                              SUMIF(OFFSET(CÁLCULO!$M$15,$A16,0,$B16),1,OFFSET(ORÇAMENTO!$X$15,$A16,0,$B16))*(PLE!$AE$9-PLE!$Y$9),
                              0)),
            2)</f>
        <v>0</v>
      </c>
      <c r="AF16" s="183" t="e">
        <f ca="1">IF(_xlfn.SINGLE(ACOMPANHAMENTO)&lt;&gt;"PLE",0,SUMPRODUCT((OFFSET(CÁLCULO!$BV$15:$CN$15,$A16,0,$B16)&lt;=PLE.Medicao)*OFFSET(CÁLCULO!$AJ$15:$BB$15,$A16,0,$B16)*OFFSET(ORÇAMENTO!$AA$15,$A16,0,$B16)/(OFFSET(ORÇAMENTO!$X$15,$A16,0,$B16)+10^-12))+IF(AUTOEVENTO="Manual",SUMPRODUCT((OFFSET(CÁLCULO!$M$15,$A16,0,$B16)=1)*OFFSET(ORÇAMENTO!$AA$15,$A16,0,$B16)*PLE!$AE$9),0))</f>
        <v>#NAME?</v>
      </c>
      <c r="AG16" s="183" t="e">
        <f ca="1">IF(_xlfn.SINGLE(ACOMPANHAMENTO)&lt;&gt;"PLE",0,SUMPRODUCT((OFFSET(CÁLCULO!$BV$15:$CN$15,$A16,0,$B16)&lt;=PLE.Medicao)*OFFSET(CÁLCULO!$AJ$15:$BB$15,$A16,0,$B16)*OFFSET(ORÇAMENTO!$AB$15,$A16,0,$B16)/(OFFSET(ORÇAMENTO!$X$15,$A16,0,$B16)+10^-12))+IF(AUTOEVENTO="Manual",SUMPRODUCT((OFFSET(CÁLCULO!$M$15,$A16,0,$B16)=1)*OFFSET(ORÇAMENTO!$AB$15,$A16,0,$B16)*PLE!$AE$9),0))</f>
        <v>#NAME?</v>
      </c>
      <c r="AH16" s="183" t="e">
        <f ca="1">ROUND(IF(_xlfn.SINGLE(ACOMPANHAMENTO)&lt;&gt;"PLE",0,SUMIF(OFFSET(CÁLCULO!$BV$15:$CN$15,$A16,0,$B16),"&lt;="&amp;PLE.Medicao,OFFSET(CÁLCULO!$AJ$15:$BB$15,$A16,0,$B16))+IF(AdmLocal="Automática",SUMIF(OFFSET(CÁLCULO!$M$15,$A16,0,$B16),1,OFFSET(ORÇAMENTO!$X$15,$A16,0,$B16))*PLE!$AE$9,0)),2)</f>
        <v>#NAME?</v>
      </c>
      <c r="AJ16" s="183" t="e">
        <f ca="1">IF(_xlfn.SINGLE(ACOMPANHAMENTO)&lt;&gt;"BM",0,SUMPRODUCT(OFFSET(BM!$M$15,$A16,0,$B16)*(OFFSET(BM!$A$15,$A16,0,$B16)="S")*OFFSET(ORÇAMENTO!AA$15,$A16,0,$B16)/(OFFSET(ORÇAMENTO!$X$15,$A16,0,$B16)+10^-12)))</f>
        <v>#NAME?</v>
      </c>
      <c r="AK16" s="183" t="e">
        <f ca="1">IF(_xlfn.SINGLE(ACOMPANHAMENTO)&lt;&gt;"BM",0,SUMPRODUCT(OFFSET(BM!$M$15,$A16,0,$B16)*(OFFSET(BM!$A$15,$A16,0,$B16)="S")*OFFSET(ORÇAMENTO!AB$15,$A16,0,$B16)/(OFFSET(ORÇAMENTO!$X$15,$A16,0,$B16)+10^-12)))</f>
        <v>#NAME?</v>
      </c>
      <c r="AL16" s="183" t="e">
        <f ca="1">IF(_xlfn.SINGLE(ACOMPANHAMENTO)&lt;&gt;"BM",0,OFFSET(BM!$M$15,$A16,0))</f>
        <v>#NAME?</v>
      </c>
      <c r="AM16" s="183" t="e">
        <f ca="1">IF(_xlfn.SINGLE(ACOMPANHAMENTO)&lt;&gt;"BM",0,SUMPRODUCT(OFFSET(BM!$O$15,$A16,0,$B16)*(OFFSET(BM!$A$15,$A16,0,$B16)="S")*OFFSET(ORÇAMENTO!AA$15,$A16,0,$B16)/(OFFSET(ORÇAMENTO!$X$15,$A16,0,$B16)+10^-12)))</f>
        <v>#NAME?</v>
      </c>
      <c r="AN16" s="183" t="e">
        <f ca="1">IF(_xlfn.SINGLE(ACOMPANHAMENTO)&lt;&gt;"BM",0,SUMPRODUCT(OFFSET(BM!$O$15,$A16,0,$B16)*(OFFSET(BM!$A$15,$A16,0,$B16)="S")*OFFSET(ORÇAMENTO!AB$15,$A16,0,$B16)/(OFFSET(ORÇAMENTO!$X$15,$A16,0,$B16)+10^-12)))</f>
        <v>#NAME?</v>
      </c>
      <c r="AO16" s="183" t="e">
        <f ca="1">IF(_xlfn.SINGLE(ACOMPANHAMENTO)&lt;&gt;"BM",0,OFFSET(BM!$O$15,$A16,0))</f>
        <v>#NAME?</v>
      </c>
    </row>
    <row r="17" spans="1:41" ht="30" customHeight="1" x14ac:dyDescent="0.25">
      <c r="A17">
        <f ca="1">MATCH(E17,ORÇAMENTO!$E$15:$E$165,0)-1</f>
        <v>118</v>
      </c>
      <c r="B17">
        <f ca="1">IF(ISERROR($A17),NA(),OFFSET(ORÇAMENTO!$D$15,$A17,0))</f>
        <v>32</v>
      </c>
      <c r="C17" t="str">
        <f ca="1">QCI!B17</f>
        <v>Automático</v>
      </c>
      <c r="D17" t="str">
        <f t="shared" ca="1" si="0"/>
        <v>F</v>
      </c>
      <c r="E17" s="281">
        <f>QCI!D17</f>
        <v>4</v>
      </c>
      <c r="F17" s="362" t="str">
        <f ca="1">QCI!G17</f>
        <v>DISTRITO IND. MÁRIO ZANDONÁ (Trecho 5)</v>
      </c>
      <c r="G17" s="363">
        <f>QCI!H17</f>
        <v>0</v>
      </c>
      <c r="H17" s="282">
        <f>QCI!I17</f>
        <v>0</v>
      </c>
      <c r="I17" s="282" t="str">
        <f ca="1">QCI!J17</f>
        <v/>
      </c>
      <c r="J17" s="364" t="str">
        <f ca="1">QCI!K17</f>
        <v>LOTE 1</v>
      </c>
      <c r="K17" s="365" t="e">
        <f ca="1">_xlfn.SINGLE(IF($C17="Automático",IF(_xlfn.SINGLE(ACOMPANHAMENTO)="BM",BM.medicao,PLE.Medicao),IF(ISBLANK($X17),"",$X17)))</f>
        <v>#NAME?</v>
      </c>
      <c r="L17" s="286">
        <f ca="1">QCI!$O17</f>
        <v>404585.45</v>
      </c>
      <c r="M17" s="283" t="e">
        <f t="shared" ca="1" si="1"/>
        <v>#NAME?</v>
      </c>
      <c r="N17" s="284" t="e">
        <f t="shared" ca="1" si="2"/>
        <v>#NAME?</v>
      </c>
      <c r="O17" s="285" t="e">
        <f t="shared" ca="1" si="3"/>
        <v>#NAME?</v>
      </c>
      <c r="P17" s="367" t="e">
        <f t="shared" ca="1" si="4"/>
        <v>#NAME?</v>
      </c>
      <c r="R17" s="366" t="e">
        <f ca="1">ROUND(IF($C17="Automático",AC17+AJ17,$Y17*IF(ISERROR(QCI!$AA17/QCI!$O17),0,QCI!$AA17/QCI!$O17)),2)</f>
        <v>#NAME?</v>
      </c>
      <c r="S17" s="366" t="e">
        <f ca="1">ROUND(IF($C17="Automático",AD17+AK17,$Y17*IF(ISERROR(QCI!$AB17/QCI!$O17),0,QCI!$AB17/QCI!$O17)),2)</f>
        <v>#NAME?</v>
      </c>
      <c r="T17" s="366" t="e">
        <f ca="1">ROUND(IF($C17="Automático",AF17+AM17,$Z17*IF(ISERROR(QCI!$AA17/QCI!$O17),0,QCI!$AA17/QCI!$O17)),2)</f>
        <v>#NAME?</v>
      </c>
      <c r="U17" s="366" t="e">
        <f ca="1">ROUND(IF($C17="Automático",AG17+AN17,$Z17*IF(ISERROR(QCI!$AB17/QCI!$O17),0,QCI!$AB17/QCI!$O17)),2)</f>
        <v>#NAME?</v>
      </c>
      <c r="V17" s="449">
        <f ca="1">IF(AND($L17&gt;0,$J17&lt;&gt;0,$J17&lt;&gt;"",COUNTIF($J$13:$J17,$J17)=1),OFFSET(V17,-1,0)+1,OFFSET(V17,-1,0))</f>
        <v>1</v>
      </c>
      <c r="X17" s="513"/>
      <c r="Y17" s="287"/>
      <c r="Z17" s="288"/>
      <c r="AC17" s="183" t="e">
        <f ca="1">IF(_xlfn.SINGLE(ACOMPANHAMENTO)&lt;&gt;"PLE",0,SUMPRODUCT((OFFSET(CÁLCULO!$BV$15:$CN$15,$A17,0,$B17)&lt;=(PLE.Medicao-1))*OFFSET(CÁLCULO!$AJ$15:$BB$15,$A17,0,$B17)*OFFSET(ORÇAMENTO!$AA$15,$A17,0,$B17)/(OFFSET(ORÇAMENTO!$X$15,$A17,0,$B17)+10^-12))+IF(AUTOEVENTO="Manual",SUMPRODUCT((OFFSET(CÁLCULO!$M$15,$A17,0,$B17)=1)*OFFSET(ORÇAMENTO!$AA$15,$A17,0,$B17)*(PLE!$AE$9-PLE!$Y$9)),0))</f>
        <v>#NAME?</v>
      </c>
      <c r="AD17" s="183" t="e">
        <f ca="1">IF(_xlfn.SINGLE(ACOMPANHAMENTO)&lt;&gt;"PLE",0,SUMPRODUCT((OFFSET(CÁLCULO!$BV$15:$CN$15,$A17,0,$B17)&lt;=(PLE.Medicao-1))*OFFSET(CÁLCULO!$AJ$15:$BB$15,$A17,0,$B17)*OFFSET(ORÇAMENTO!$AB$15,$A17,0,$B17)/(OFFSET(ORÇAMENTO!$X$15,$A17,0,$B17)+10^-12))+IF(AUTOEVENTO="Manual",SUMPRODUCT((OFFSET(CÁLCULO!$M$15,$A17,0,$B17)=1)*OFFSET(ORÇAMENTO!$AB$15,$A17,0,$B17)*(PLE!$AE$9-PLE!$Y$9)),0))</f>
        <v>#NAME?</v>
      </c>
      <c r="AE17" s="183">
        <f ca="1">ROUND(
            IF(ACOMPANHAMENTO&lt;&gt;"PLE",0,
                      SUMIF(OFFSET(CÁLCULO!$BV$15:$CN$15,$A17,0,$B17),"&lt;="&amp;(PLE.Medicao-1),OFFSET(CÁLCULO!$AJ$15:$BB$15,$A17,0,$B17))
                      +IF(AdmLocal="Automática",
                              SUMIF(OFFSET(CÁLCULO!$M$15,$A17,0,$B17),1,OFFSET(ORÇAMENTO!$X$15,$A17,0,$B17))*(PLE!$AE$9-PLE!$Y$9),
                              0)),
            2)</f>
        <v>0</v>
      </c>
      <c r="AF17" s="183" t="e">
        <f ca="1">IF(_xlfn.SINGLE(ACOMPANHAMENTO)&lt;&gt;"PLE",0,SUMPRODUCT((OFFSET(CÁLCULO!$BV$15:$CN$15,$A17,0,$B17)&lt;=PLE.Medicao)*OFFSET(CÁLCULO!$AJ$15:$BB$15,$A17,0,$B17)*OFFSET(ORÇAMENTO!$AA$15,$A17,0,$B17)/(OFFSET(ORÇAMENTO!$X$15,$A17,0,$B17)+10^-12))+IF(AUTOEVENTO="Manual",SUMPRODUCT((OFFSET(CÁLCULO!$M$15,$A17,0,$B17)=1)*OFFSET(ORÇAMENTO!$AA$15,$A17,0,$B17)*PLE!$AE$9),0))</f>
        <v>#NAME?</v>
      </c>
      <c r="AG17" s="183" t="e">
        <f ca="1">IF(_xlfn.SINGLE(ACOMPANHAMENTO)&lt;&gt;"PLE",0,SUMPRODUCT((OFFSET(CÁLCULO!$BV$15:$CN$15,$A17,0,$B17)&lt;=PLE.Medicao)*OFFSET(CÁLCULO!$AJ$15:$BB$15,$A17,0,$B17)*OFFSET(ORÇAMENTO!$AB$15,$A17,0,$B17)/(OFFSET(ORÇAMENTO!$X$15,$A17,0,$B17)+10^-12))+IF(AUTOEVENTO="Manual",SUMPRODUCT((OFFSET(CÁLCULO!$M$15,$A17,0,$B17)=1)*OFFSET(ORÇAMENTO!$AB$15,$A17,0,$B17)*PLE!$AE$9),0))</f>
        <v>#NAME?</v>
      </c>
      <c r="AH17" s="183" t="e">
        <f ca="1">ROUND(IF(_xlfn.SINGLE(ACOMPANHAMENTO)&lt;&gt;"PLE",0,SUMIF(OFFSET(CÁLCULO!$BV$15:$CN$15,$A17,0,$B17),"&lt;="&amp;PLE.Medicao,OFFSET(CÁLCULO!$AJ$15:$BB$15,$A17,0,$B17))+IF(AdmLocal="Automática",SUMIF(OFFSET(CÁLCULO!$M$15,$A17,0,$B17),1,OFFSET(ORÇAMENTO!$X$15,$A17,0,$B17))*PLE!$AE$9,0)),2)</f>
        <v>#NAME?</v>
      </c>
      <c r="AJ17" s="183" t="e">
        <f ca="1">IF(_xlfn.SINGLE(ACOMPANHAMENTO)&lt;&gt;"BM",0,SUMPRODUCT(OFFSET(BM!$M$15,$A17,0,$B17)*(OFFSET(BM!$A$15,$A17,0,$B17)="S")*OFFSET(ORÇAMENTO!AA$15,$A17,0,$B17)/(OFFSET(ORÇAMENTO!$X$15,$A17,0,$B17)+10^-12)))</f>
        <v>#NAME?</v>
      </c>
      <c r="AK17" s="183" t="e">
        <f ca="1">IF(_xlfn.SINGLE(ACOMPANHAMENTO)&lt;&gt;"BM",0,SUMPRODUCT(OFFSET(BM!$M$15,$A17,0,$B17)*(OFFSET(BM!$A$15,$A17,0,$B17)="S")*OFFSET(ORÇAMENTO!AB$15,$A17,0,$B17)/(OFFSET(ORÇAMENTO!$X$15,$A17,0,$B17)+10^-12)))</f>
        <v>#NAME?</v>
      </c>
      <c r="AL17" s="183" t="e">
        <f ca="1">IF(_xlfn.SINGLE(ACOMPANHAMENTO)&lt;&gt;"BM",0,OFFSET(BM!$M$15,$A17,0))</f>
        <v>#NAME?</v>
      </c>
      <c r="AM17" s="183" t="e">
        <f ca="1">IF(_xlfn.SINGLE(ACOMPANHAMENTO)&lt;&gt;"BM",0,SUMPRODUCT(OFFSET(BM!$O$15,$A17,0,$B17)*(OFFSET(BM!$A$15,$A17,0,$B17)="S")*OFFSET(ORÇAMENTO!AA$15,$A17,0,$B17)/(OFFSET(ORÇAMENTO!$X$15,$A17,0,$B17)+10^-12)))</f>
        <v>#NAME?</v>
      </c>
      <c r="AN17" s="183" t="e">
        <f ca="1">IF(_xlfn.SINGLE(ACOMPANHAMENTO)&lt;&gt;"BM",0,SUMPRODUCT(OFFSET(BM!$O$15,$A17,0,$B17)*(OFFSET(BM!$A$15,$A17,0,$B17)="S")*OFFSET(ORÇAMENTO!AB$15,$A17,0,$B17)/(OFFSET(ORÇAMENTO!$X$15,$A17,0,$B17)+10^-12)))</f>
        <v>#NAME?</v>
      </c>
      <c r="AO17" s="183" t="e">
        <f ca="1">IF(_xlfn.SINGLE(ACOMPANHAMENTO)&lt;&gt;"BM",0,OFFSET(BM!$O$15,$A17,0))</f>
        <v>#NAME?</v>
      </c>
    </row>
    <row r="18" spans="1:41" ht="30" customHeight="1" x14ac:dyDescent="0.25">
      <c r="A18" t="e">
        <f ca="1">MATCH(E18,ORÇAMENTO!$E$15:$E$165,0)-1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e">
        <f ca="1">_xlfn.SINGLE(IF($C18="Automático",IF(_xlfn.SINGLE(ACOMPANHAMENTO)="BM",BM.medicao,PLE.Medicao),IF(ISBLANK($X18),"",$X18)))</f>
        <v>#NAME?</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t="e">
        <f ca="1">IF(_xlfn.SINGLE(ACOMPANHAMENTO)&lt;&gt;"PLE",0,SUMPRODUCT((OFFSET(CÁLCULO!$BV$15:$CN$15,$A18,0,$B18)&lt;=(PLE.Medicao-1))*OFFSET(CÁLCULO!$AJ$15:$BB$15,$A18,0,$B18)*OFFSET(ORÇAMENTO!$AA$15,$A18,0,$B18)/(OFFSET(ORÇAMENTO!$X$15,$A18,0,$B18)+10^-12))+IF(AUTOEVENTO="Manual",SUMPRODUCT((OFFSET(CÁLCULO!$M$15,$A18,0,$B18)=1)*OFFSET(ORÇAMENTO!$AA$15,$A18,0,$B18)*(PLE!$AE$9-PLE!$Y$9)),0))</f>
        <v>#NAME?</v>
      </c>
      <c r="AD18" s="183" t="e">
        <f ca="1">IF(_xlfn.SINGLE(ACOMPANHAMENTO)&lt;&gt;"PLE",0,SUMPRODUCT((OFFSET(CÁLCULO!$BV$15:$CN$15,$A18,0,$B18)&lt;=(PLE.Medicao-1))*OFFSET(CÁLCULO!$AJ$15:$BB$15,$A18,0,$B18)*OFFSET(ORÇAMENTO!$AB$15,$A18,0,$B18)/(OFFSET(ORÇAMENTO!$X$15,$A18,0,$B18)+10^-12))+IF(AUTOEVENTO="Manual",SUMPRODUCT((OFFSET(CÁLCULO!$M$15,$A18,0,$B18)=1)*OFFSET(ORÇAMENTO!$AB$15,$A18,0,$B18)*(PLE!$AE$9-PLE!$Y$9)),0))</f>
        <v>#NAME?</v>
      </c>
      <c r="AE18" s="183" t="e">
        <f ca="1">ROUND(
            IF(ACOMPANHAMENTO&lt;&gt;"PLE",0,
                      SUMIF(OFFSET(CÁLCULO!$BV$15:$CN$15,$A18,0,$B18),"&lt;="&amp;(PLE.Medicao-1),OFFSET(CÁLCULO!$AJ$15:$BB$15,$A18,0,$B18))
                      +IF(AdmLocal="Automática",
                              SUMIF(OFFSET(CÁLCULO!$M$15,$A18,0,$B18),1,OFFSET(ORÇAMENTO!$X$15,$A18,0,$B18))*(PLE!$AE$9-PLE!$Y$9),
                              0)),
            2)</f>
        <v>#N/A</v>
      </c>
      <c r="AF18" s="183" t="e">
        <f ca="1">IF(_xlfn.SINGLE(ACOMPANHAMENTO)&lt;&gt;"PLE",0,SUMPRODUCT((OFFSET(CÁLCULO!$BV$15:$CN$15,$A18,0,$B18)&lt;=PLE.Medicao)*OFFSET(CÁLCULO!$AJ$15:$BB$15,$A18,0,$B18)*OFFSET(ORÇAMENTO!$AA$15,$A18,0,$B18)/(OFFSET(ORÇAMENTO!$X$15,$A18,0,$B18)+10^-12))+IF(AUTOEVENTO="Manual",SUMPRODUCT((OFFSET(CÁLCULO!$M$15,$A18,0,$B18)=1)*OFFSET(ORÇAMENTO!$AA$15,$A18,0,$B18)*PLE!$AE$9),0))</f>
        <v>#NAME?</v>
      </c>
      <c r="AG18" s="183" t="e">
        <f ca="1">IF(_xlfn.SINGLE(ACOMPANHAMENTO)&lt;&gt;"PLE",0,SUMPRODUCT((OFFSET(CÁLCULO!$BV$15:$CN$15,$A18,0,$B18)&lt;=PLE.Medicao)*OFFSET(CÁLCULO!$AJ$15:$BB$15,$A18,0,$B18)*OFFSET(ORÇAMENTO!$AB$15,$A18,0,$B18)/(OFFSET(ORÇAMENTO!$X$15,$A18,0,$B18)+10^-12))+IF(AUTOEVENTO="Manual",SUMPRODUCT((OFFSET(CÁLCULO!$M$15,$A18,0,$B18)=1)*OFFSET(ORÇAMENTO!$AB$15,$A18,0,$B18)*PLE!$AE$9),0))</f>
        <v>#NAME?</v>
      </c>
      <c r="AH18" s="183" t="e">
        <f ca="1">ROUND(IF(_xlfn.SINGLE(ACOMPANHAMENTO)&lt;&gt;"PLE",0,SUMIF(OFFSET(CÁLCULO!$BV$15:$CN$15,$A18,0,$B18),"&lt;="&amp;PLE.Medicao,OFFSET(CÁLCULO!$AJ$15:$BB$15,$A18,0,$B18))+IF(AdmLocal="Automática",SUMIF(OFFSET(CÁLCULO!$M$15,$A18,0,$B18),1,OFFSET(ORÇAMENTO!$X$15,$A18,0,$B18))*PLE!$AE$9,0)),2)</f>
        <v>#NAME?</v>
      </c>
      <c r="AJ18" s="183" t="e">
        <f ca="1">IF(_xlfn.SINGLE(ACOMPANHAMENTO)&lt;&gt;"BM",0,SUMPRODUCT(OFFSET(BM!$M$15,$A18,0,$B18)*(OFFSET(BM!$A$15,$A18,0,$B18)="S")*OFFSET(ORÇAMENTO!AA$15,$A18,0,$B18)/(OFFSET(ORÇAMENTO!$X$15,$A18,0,$B18)+10^-12)))</f>
        <v>#NAME?</v>
      </c>
      <c r="AK18" s="183" t="e">
        <f ca="1">IF(_xlfn.SINGLE(ACOMPANHAMENTO)&lt;&gt;"BM",0,SUMPRODUCT(OFFSET(BM!$M$15,$A18,0,$B18)*(OFFSET(BM!$A$15,$A18,0,$B18)="S")*OFFSET(ORÇAMENTO!AB$15,$A18,0,$B18)/(OFFSET(ORÇAMENTO!$X$15,$A18,0,$B18)+10^-12)))</f>
        <v>#NAME?</v>
      </c>
      <c r="AL18" s="183" t="e">
        <f ca="1">IF(_xlfn.SINGLE(ACOMPANHAMENTO)&lt;&gt;"BM",0,OFFSET(BM!$M$15,$A18,0))</f>
        <v>#NAME?</v>
      </c>
      <c r="AM18" s="183" t="e">
        <f ca="1">IF(_xlfn.SINGLE(ACOMPANHAMENTO)&lt;&gt;"BM",0,SUMPRODUCT(OFFSET(BM!$O$15,$A18,0,$B18)*(OFFSET(BM!$A$15,$A18,0,$B18)="S")*OFFSET(ORÇAMENTO!AA$15,$A18,0,$B18)/(OFFSET(ORÇAMENTO!$X$15,$A18,0,$B18)+10^-12)))</f>
        <v>#NAME?</v>
      </c>
      <c r="AN18" s="183" t="e">
        <f ca="1">IF(_xlfn.SINGLE(ACOMPANHAMENTO)&lt;&gt;"BM",0,SUMPRODUCT(OFFSET(BM!$O$15,$A18,0,$B18)*(OFFSET(BM!$A$15,$A18,0,$B18)="S")*OFFSET(ORÇAMENTO!AB$15,$A18,0,$B18)/(OFFSET(ORÇAMENTO!$X$15,$A18,0,$B18)+10^-12)))</f>
        <v>#NAME?</v>
      </c>
      <c r="AO18" s="183" t="e">
        <f ca="1">IF(_xlfn.SINGLE(ACOMPANHAMENTO)&lt;&gt;"BM",0,OFFSET(BM!$O$15,$A18,0))</f>
        <v>#NAME?</v>
      </c>
    </row>
    <row r="19" spans="1:41" ht="30" customHeight="1" x14ac:dyDescent="0.25">
      <c r="A19" t="e">
        <f ca="1">MATCH(E19,ORÇAMENTO!$E$15:$E$165,0)-1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e">
        <f ca="1">_xlfn.SINGLE(IF($C19="Automático",IF(_xlfn.SINGLE(ACOMPANHAMENTO)="BM",BM.medicao,PLE.Medicao),IF(ISBLANK($X19),"",$X19)))</f>
        <v>#NAME?</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t="e">
        <f ca="1">IF(_xlfn.SINGLE(ACOMPANHAMENTO)&lt;&gt;"PLE",0,SUMPRODUCT((OFFSET(CÁLCULO!$BV$15:$CN$15,$A19,0,$B19)&lt;=(PLE.Medicao-1))*OFFSET(CÁLCULO!$AJ$15:$BB$15,$A19,0,$B19)*OFFSET(ORÇAMENTO!$AA$15,$A19,0,$B19)/(OFFSET(ORÇAMENTO!$X$15,$A19,0,$B19)+10^-12))+IF(AUTOEVENTO="Manual",SUMPRODUCT((OFFSET(CÁLCULO!$M$15,$A19,0,$B19)=1)*OFFSET(ORÇAMENTO!$AA$15,$A19,0,$B19)*(PLE!$AE$9-PLE!$Y$9)),0))</f>
        <v>#NAME?</v>
      </c>
      <c r="AD19" s="183" t="e">
        <f ca="1">IF(_xlfn.SINGLE(ACOMPANHAMENTO)&lt;&gt;"PLE",0,SUMPRODUCT((OFFSET(CÁLCULO!$BV$15:$CN$15,$A19,0,$B19)&lt;=(PLE.Medicao-1))*OFFSET(CÁLCULO!$AJ$15:$BB$15,$A19,0,$B19)*OFFSET(ORÇAMENTO!$AB$15,$A19,0,$B19)/(OFFSET(ORÇAMENTO!$X$15,$A19,0,$B19)+10^-12))+IF(AUTOEVENTO="Manual",SUMPRODUCT((OFFSET(CÁLCULO!$M$15,$A19,0,$B19)=1)*OFFSET(ORÇAMENTO!$AB$15,$A19,0,$B19)*(PLE!$AE$9-PLE!$Y$9)),0))</f>
        <v>#NAME?</v>
      </c>
      <c r="AE19" s="183" t="e">
        <f ca="1">ROUND(
            IF(ACOMPANHAMENTO&lt;&gt;"PLE",0,
                      SUMIF(OFFSET(CÁLCULO!$BV$15:$CN$15,$A19,0,$B19),"&lt;="&amp;(PLE.Medicao-1),OFFSET(CÁLCULO!$AJ$15:$BB$15,$A19,0,$B19))
                      +IF(AdmLocal="Automática",
                              SUMIF(OFFSET(CÁLCULO!$M$15,$A19,0,$B19),1,OFFSET(ORÇAMENTO!$X$15,$A19,0,$B19))*(PLE!$AE$9-PLE!$Y$9),
                              0)),
            2)</f>
        <v>#N/A</v>
      </c>
      <c r="AF19" s="183" t="e">
        <f ca="1">IF(_xlfn.SINGLE(ACOMPANHAMENTO)&lt;&gt;"PLE",0,SUMPRODUCT((OFFSET(CÁLCULO!$BV$15:$CN$15,$A19,0,$B19)&lt;=PLE.Medicao)*OFFSET(CÁLCULO!$AJ$15:$BB$15,$A19,0,$B19)*OFFSET(ORÇAMENTO!$AA$15,$A19,0,$B19)/(OFFSET(ORÇAMENTO!$X$15,$A19,0,$B19)+10^-12))+IF(AUTOEVENTO="Manual",SUMPRODUCT((OFFSET(CÁLCULO!$M$15,$A19,0,$B19)=1)*OFFSET(ORÇAMENTO!$AA$15,$A19,0,$B19)*PLE!$AE$9),0))</f>
        <v>#NAME?</v>
      </c>
      <c r="AG19" s="183" t="e">
        <f ca="1">IF(_xlfn.SINGLE(ACOMPANHAMENTO)&lt;&gt;"PLE",0,SUMPRODUCT((OFFSET(CÁLCULO!$BV$15:$CN$15,$A19,0,$B19)&lt;=PLE.Medicao)*OFFSET(CÁLCULO!$AJ$15:$BB$15,$A19,0,$B19)*OFFSET(ORÇAMENTO!$AB$15,$A19,0,$B19)/(OFFSET(ORÇAMENTO!$X$15,$A19,0,$B19)+10^-12))+IF(AUTOEVENTO="Manual",SUMPRODUCT((OFFSET(CÁLCULO!$M$15,$A19,0,$B19)=1)*OFFSET(ORÇAMENTO!$AB$15,$A19,0,$B19)*PLE!$AE$9),0))</f>
        <v>#NAME?</v>
      </c>
      <c r="AH19" s="183" t="e">
        <f ca="1">ROUND(IF(_xlfn.SINGLE(ACOMPANHAMENTO)&lt;&gt;"PLE",0,SUMIF(OFFSET(CÁLCULO!$BV$15:$CN$15,$A19,0,$B19),"&lt;="&amp;PLE.Medicao,OFFSET(CÁLCULO!$AJ$15:$BB$15,$A19,0,$B19))+IF(AdmLocal="Automática",SUMIF(OFFSET(CÁLCULO!$M$15,$A19,0,$B19),1,OFFSET(ORÇAMENTO!$X$15,$A19,0,$B19))*PLE!$AE$9,0)),2)</f>
        <v>#NAME?</v>
      </c>
      <c r="AJ19" s="183" t="e">
        <f ca="1">IF(_xlfn.SINGLE(ACOMPANHAMENTO)&lt;&gt;"BM",0,SUMPRODUCT(OFFSET(BM!$M$15,$A19,0,$B19)*(OFFSET(BM!$A$15,$A19,0,$B19)="S")*OFFSET(ORÇAMENTO!AA$15,$A19,0,$B19)/(OFFSET(ORÇAMENTO!$X$15,$A19,0,$B19)+10^-12)))</f>
        <v>#NAME?</v>
      </c>
      <c r="AK19" s="183" t="e">
        <f ca="1">IF(_xlfn.SINGLE(ACOMPANHAMENTO)&lt;&gt;"BM",0,SUMPRODUCT(OFFSET(BM!$M$15,$A19,0,$B19)*(OFFSET(BM!$A$15,$A19,0,$B19)="S")*OFFSET(ORÇAMENTO!AB$15,$A19,0,$B19)/(OFFSET(ORÇAMENTO!$X$15,$A19,0,$B19)+10^-12)))</f>
        <v>#NAME?</v>
      </c>
      <c r="AL19" s="183" t="e">
        <f ca="1">IF(_xlfn.SINGLE(ACOMPANHAMENTO)&lt;&gt;"BM",0,OFFSET(BM!$M$15,$A19,0))</f>
        <v>#NAME?</v>
      </c>
      <c r="AM19" s="183" t="e">
        <f ca="1">IF(_xlfn.SINGLE(ACOMPANHAMENTO)&lt;&gt;"BM",0,SUMPRODUCT(OFFSET(BM!$O$15,$A19,0,$B19)*(OFFSET(BM!$A$15,$A19,0,$B19)="S")*OFFSET(ORÇAMENTO!AA$15,$A19,0,$B19)/(OFFSET(ORÇAMENTO!$X$15,$A19,0,$B19)+10^-12)))</f>
        <v>#NAME?</v>
      </c>
      <c r="AN19" s="183" t="e">
        <f ca="1">IF(_xlfn.SINGLE(ACOMPANHAMENTO)&lt;&gt;"BM",0,SUMPRODUCT(OFFSET(BM!$O$15,$A19,0,$B19)*(OFFSET(BM!$A$15,$A19,0,$B19)="S")*OFFSET(ORÇAMENTO!AB$15,$A19,0,$B19)/(OFFSET(ORÇAMENTO!$X$15,$A19,0,$B19)+10^-12)))</f>
        <v>#NAME?</v>
      </c>
      <c r="AO19" s="183" t="e">
        <f ca="1">IF(_xlfn.SINGLE(ACOMPANHAMENTO)&lt;&gt;"BM",0,OFFSET(BM!$O$15,$A19,0))</f>
        <v>#NAME?</v>
      </c>
    </row>
    <row r="20" spans="1:41" ht="30" customHeight="1" x14ac:dyDescent="0.25">
      <c r="A20" t="e">
        <f ca="1">MATCH(E20,ORÇAMENTO!$E$15:$E$165,0)-1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e">
        <f ca="1">_xlfn.SINGLE(IF($C20="Automático",IF(_xlfn.SINGLE(ACOMPANHAMENTO)="BM",BM.medicao,PLE.Medicao),IF(ISBLANK($X20),"",$X20)))</f>
        <v>#NAME?</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t="e">
        <f ca="1">IF(_xlfn.SINGLE(ACOMPANHAMENTO)&lt;&gt;"PLE",0,SUMPRODUCT((OFFSET(CÁLCULO!$BV$15:$CN$15,$A20,0,$B20)&lt;=(PLE.Medicao-1))*OFFSET(CÁLCULO!$AJ$15:$BB$15,$A20,0,$B20)*OFFSET(ORÇAMENTO!$AA$15,$A20,0,$B20)/(OFFSET(ORÇAMENTO!$X$15,$A20,0,$B20)+10^-12))+IF(AUTOEVENTO="Manual",SUMPRODUCT((OFFSET(CÁLCULO!$M$15,$A20,0,$B20)=1)*OFFSET(ORÇAMENTO!$AA$15,$A20,0,$B20)*(PLE!$AE$9-PLE!$Y$9)),0))</f>
        <v>#NAME?</v>
      </c>
      <c r="AD20" s="183" t="e">
        <f ca="1">IF(_xlfn.SINGLE(ACOMPANHAMENTO)&lt;&gt;"PLE",0,SUMPRODUCT((OFFSET(CÁLCULO!$BV$15:$CN$15,$A20,0,$B20)&lt;=(PLE.Medicao-1))*OFFSET(CÁLCULO!$AJ$15:$BB$15,$A20,0,$B20)*OFFSET(ORÇAMENTO!$AB$15,$A20,0,$B20)/(OFFSET(ORÇAMENTO!$X$15,$A20,0,$B20)+10^-12))+IF(AUTOEVENTO="Manual",SUMPRODUCT((OFFSET(CÁLCULO!$M$15,$A20,0,$B20)=1)*OFFSET(ORÇAMENTO!$AB$15,$A20,0,$B20)*(PLE!$AE$9-PLE!$Y$9)),0))</f>
        <v>#NAME?</v>
      </c>
      <c r="AE20" s="183" t="e">
        <f ca="1">ROUND(
            IF(ACOMPANHAMENTO&lt;&gt;"PLE",0,
                      SUMIF(OFFSET(CÁLCULO!$BV$15:$CN$15,$A20,0,$B20),"&lt;="&amp;(PLE.Medicao-1),OFFSET(CÁLCULO!$AJ$15:$BB$15,$A20,0,$B20))
                      +IF(AdmLocal="Automática",
                              SUMIF(OFFSET(CÁLCULO!$M$15,$A20,0,$B20),1,OFFSET(ORÇAMENTO!$X$15,$A20,0,$B20))*(PLE!$AE$9-PLE!$Y$9),
                              0)),
            2)</f>
        <v>#N/A</v>
      </c>
      <c r="AF20" s="183" t="e">
        <f ca="1">IF(_xlfn.SINGLE(ACOMPANHAMENTO)&lt;&gt;"PLE",0,SUMPRODUCT((OFFSET(CÁLCULO!$BV$15:$CN$15,$A20,0,$B20)&lt;=PLE.Medicao)*OFFSET(CÁLCULO!$AJ$15:$BB$15,$A20,0,$B20)*OFFSET(ORÇAMENTO!$AA$15,$A20,0,$B20)/(OFFSET(ORÇAMENTO!$X$15,$A20,0,$B20)+10^-12))+IF(AUTOEVENTO="Manual",SUMPRODUCT((OFFSET(CÁLCULO!$M$15,$A20,0,$B20)=1)*OFFSET(ORÇAMENTO!$AA$15,$A20,0,$B20)*PLE!$AE$9),0))</f>
        <v>#NAME?</v>
      </c>
      <c r="AG20" s="183" t="e">
        <f ca="1">IF(_xlfn.SINGLE(ACOMPANHAMENTO)&lt;&gt;"PLE",0,SUMPRODUCT((OFFSET(CÁLCULO!$BV$15:$CN$15,$A20,0,$B20)&lt;=PLE.Medicao)*OFFSET(CÁLCULO!$AJ$15:$BB$15,$A20,0,$B20)*OFFSET(ORÇAMENTO!$AB$15,$A20,0,$B20)/(OFFSET(ORÇAMENTO!$X$15,$A20,0,$B20)+10^-12))+IF(AUTOEVENTO="Manual",SUMPRODUCT((OFFSET(CÁLCULO!$M$15,$A20,0,$B20)=1)*OFFSET(ORÇAMENTO!$AB$15,$A20,0,$B20)*PLE!$AE$9),0))</f>
        <v>#NAME?</v>
      </c>
      <c r="AH20" s="183" t="e">
        <f ca="1">ROUND(IF(_xlfn.SINGLE(ACOMPANHAMENTO)&lt;&gt;"PLE",0,SUMIF(OFFSET(CÁLCULO!$BV$15:$CN$15,$A20,0,$B20),"&lt;="&amp;PLE.Medicao,OFFSET(CÁLCULO!$AJ$15:$BB$15,$A20,0,$B20))+IF(AdmLocal="Automática",SUMIF(OFFSET(CÁLCULO!$M$15,$A20,0,$B20),1,OFFSET(ORÇAMENTO!$X$15,$A20,0,$B20))*PLE!$AE$9,0)),2)</f>
        <v>#NAME?</v>
      </c>
      <c r="AJ20" s="183" t="e">
        <f ca="1">IF(_xlfn.SINGLE(ACOMPANHAMENTO)&lt;&gt;"BM",0,SUMPRODUCT(OFFSET(BM!$M$15,$A20,0,$B20)*(OFFSET(BM!$A$15,$A20,0,$B20)="S")*OFFSET(ORÇAMENTO!AA$15,$A20,0,$B20)/(OFFSET(ORÇAMENTO!$X$15,$A20,0,$B20)+10^-12)))</f>
        <v>#NAME?</v>
      </c>
      <c r="AK20" s="183" t="e">
        <f ca="1">IF(_xlfn.SINGLE(ACOMPANHAMENTO)&lt;&gt;"BM",0,SUMPRODUCT(OFFSET(BM!$M$15,$A20,0,$B20)*(OFFSET(BM!$A$15,$A20,0,$B20)="S")*OFFSET(ORÇAMENTO!AB$15,$A20,0,$B20)/(OFFSET(ORÇAMENTO!$X$15,$A20,0,$B20)+10^-12)))</f>
        <v>#NAME?</v>
      </c>
      <c r="AL20" s="183" t="e">
        <f ca="1">IF(_xlfn.SINGLE(ACOMPANHAMENTO)&lt;&gt;"BM",0,OFFSET(BM!$M$15,$A20,0))</f>
        <v>#NAME?</v>
      </c>
      <c r="AM20" s="183" t="e">
        <f ca="1">IF(_xlfn.SINGLE(ACOMPANHAMENTO)&lt;&gt;"BM",0,SUMPRODUCT(OFFSET(BM!$O$15,$A20,0,$B20)*(OFFSET(BM!$A$15,$A20,0,$B20)="S")*OFFSET(ORÇAMENTO!AA$15,$A20,0,$B20)/(OFFSET(ORÇAMENTO!$X$15,$A20,0,$B20)+10^-12)))</f>
        <v>#NAME?</v>
      </c>
      <c r="AN20" s="183" t="e">
        <f ca="1">IF(_xlfn.SINGLE(ACOMPANHAMENTO)&lt;&gt;"BM",0,SUMPRODUCT(OFFSET(BM!$O$15,$A20,0,$B20)*(OFFSET(BM!$A$15,$A20,0,$B20)="S")*OFFSET(ORÇAMENTO!AB$15,$A20,0,$B20)/(OFFSET(ORÇAMENTO!$X$15,$A20,0,$B20)+10^-12)))</f>
        <v>#NAME?</v>
      </c>
      <c r="AO20" s="183" t="e">
        <f ca="1">IF(_xlfn.SINGLE(ACOMPANHAMENTO)&lt;&gt;"BM",0,OFFSET(BM!$O$15,$A20,0))</f>
        <v>#NAME?</v>
      </c>
    </row>
    <row r="21" spans="1:41" ht="30" customHeight="1" x14ac:dyDescent="0.25">
      <c r="A21" t="e">
        <f ca="1">MATCH(E21,ORÇAMENTO!$E$15:$E$165,0)-1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e">
        <f ca="1">_xlfn.SINGLE(IF($C21="Automático",IF(_xlfn.SINGLE(ACOMPANHAMENTO)="BM",BM.medicao,PLE.Medicao),IF(ISBLANK($X21),"",$X21)))</f>
        <v>#NAME?</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t="e">
        <f ca="1">IF(_xlfn.SINGLE(ACOMPANHAMENTO)&lt;&gt;"PLE",0,SUMPRODUCT((OFFSET(CÁLCULO!$BV$15:$CN$15,$A21,0,$B21)&lt;=(PLE.Medicao-1))*OFFSET(CÁLCULO!$AJ$15:$BB$15,$A21,0,$B21)*OFFSET(ORÇAMENTO!$AA$15,$A21,0,$B21)/(OFFSET(ORÇAMENTO!$X$15,$A21,0,$B21)+10^-12))+IF(AUTOEVENTO="Manual",SUMPRODUCT((OFFSET(CÁLCULO!$M$15,$A21,0,$B21)=1)*OFFSET(ORÇAMENTO!$AA$15,$A21,0,$B21)*(PLE!$AE$9-PLE!$Y$9)),0))</f>
        <v>#NAME?</v>
      </c>
      <c r="AD21" s="183" t="e">
        <f ca="1">IF(_xlfn.SINGLE(ACOMPANHAMENTO)&lt;&gt;"PLE",0,SUMPRODUCT((OFFSET(CÁLCULO!$BV$15:$CN$15,$A21,0,$B21)&lt;=(PLE.Medicao-1))*OFFSET(CÁLCULO!$AJ$15:$BB$15,$A21,0,$B21)*OFFSET(ORÇAMENTO!$AB$15,$A21,0,$B21)/(OFFSET(ORÇAMENTO!$X$15,$A21,0,$B21)+10^-12))+IF(AUTOEVENTO="Manual",SUMPRODUCT((OFFSET(CÁLCULO!$M$15,$A21,0,$B21)=1)*OFFSET(ORÇAMENTO!$AB$15,$A21,0,$B21)*(PLE!$AE$9-PLE!$Y$9)),0))</f>
        <v>#NAME?</v>
      </c>
      <c r="AE21" s="183" t="e">
        <f ca="1">ROUND(
            IF(ACOMPANHAMENTO&lt;&gt;"PLE",0,
                      SUMIF(OFFSET(CÁLCULO!$BV$15:$CN$15,$A21,0,$B21),"&lt;="&amp;(PLE.Medicao-1),OFFSET(CÁLCULO!$AJ$15:$BB$15,$A21,0,$B21))
                      +IF(AdmLocal="Automática",
                              SUMIF(OFFSET(CÁLCULO!$M$15,$A21,0,$B21),1,OFFSET(ORÇAMENTO!$X$15,$A21,0,$B21))*(PLE!$AE$9-PLE!$Y$9),
                              0)),
            2)</f>
        <v>#N/A</v>
      </c>
      <c r="AF21" s="183" t="e">
        <f ca="1">IF(_xlfn.SINGLE(ACOMPANHAMENTO)&lt;&gt;"PLE",0,SUMPRODUCT((OFFSET(CÁLCULO!$BV$15:$CN$15,$A21,0,$B21)&lt;=PLE.Medicao)*OFFSET(CÁLCULO!$AJ$15:$BB$15,$A21,0,$B21)*OFFSET(ORÇAMENTO!$AA$15,$A21,0,$B21)/(OFFSET(ORÇAMENTO!$X$15,$A21,0,$B21)+10^-12))+IF(AUTOEVENTO="Manual",SUMPRODUCT((OFFSET(CÁLCULO!$M$15,$A21,0,$B21)=1)*OFFSET(ORÇAMENTO!$AA$15,$A21,0,$B21)*PLE!$AE$9),0))</f>
        <v>#NAME?</v>
      </c>
      <c r="AG21" s="183" t="e">
        <f ca="1">IF(_xlfn.SINGLE(ACOMPANHAMENTO)&lt;&gt;"PLE",0,SUMPRODUCT((OFFSET(CÁLCULO!$BV$15:$CN$15,$A21,0,$B21)&lt;=PLE.Medicao)*OFFSET(CÁLCULO!$AJ$15:$BB$15,$A21,0,$B21)*OFFSET(ORÇAMENTO!$AB$15,$A21,0,$B21)/(OFFSET(ORÇAMENTO!$X$15,$A21,0,$B21)+10^-12))+IF(AUTOEVENTO="Manual",SUMPRODUCT((OFFSET(CÁLCULO!$M$15,$A21,0,$B21)=1)*OFFSET(ORÇAMENTO!$AB$15,$A21,0,$B21)*PLE!$AE$9),0))</f>
        <v>#NAME?</v>
      </c>
      <c r="AH21" s="183" t="e">
        <f ca="1">ROUND(IF(_xlfn.SINGLE(ACOMPANHAMENTO)&lt;&gt;"PLE",0,SUMIF(OFFSET(CÁLCULO!$BV$15:$CN$15,$A21,0,$B21),"&lt;="&amp;PLE.Medicao,OFFSET(CÁLCULO!$AJ$15:$BB$15,$A21,0,$B21))+IF(AdmLocal="Automática",SUMIF(OFFSET(CÁLCULO!$M$15,$A21,0,$B21),1,OFFSET(ORÇAMENTO!$X$15,$A21,0,$B21))*PLE!$AE$9,0)),2)</f>
        <v>#NAME?</v>
      </c>
      <c r="AJ21" s="183" t="e">
        <f ca="1">IF(_xlfn.SINGLE(ACOMPANHAMENTO)&lt;&gt;"BM",0,SUMPRODUCT(OFFSET(BM!$M$15,$A21,0,$B21)*(OFFSET(BM!$A$15,$A21,0,$B21)="S")*OFFSET(ORÇAMENTO!AA$15,$A21,0,$B21)/(OFFSET(ORÇAMENTO!$X$15,$A21,0,$B21)+10^-12)))</f>
        <v>#NAME?</v>
      </c>
      <c r="AK21" s="183" t="e">
        <f ca="1">IF(_xlfn.SINGLE(ACOMPANHAMENTO)&lt;&gt;"BM",0,SUMPRODUCT(OFFSET(BM!$M$15,$A21,0,$B21)*(OFFSET(BM!$A$15,$A21,0,$B21)="S")*OFFSET(ORÇAMENTO!AB$15,$A21,0,$B21)/(OFFSET(ORÇAMENTO!$X$15,$A21,0,$B21)+10^-12)))</f>
        <v>#NAME?</v>
      </c>
      <c r="AL21" s="183" t="e">
        <f ca="1">IF(_xlfn.SINGLE(ACOMPANHAMENTO)&lt;&gt;"BM",0,OFFSET(BM!$M$15,$A21,0))</f>
        <v>#NAME?</v>
      </c>
      <c r="AM21" s="183" t="e">
        <f ca="1">IF(_xlfn.SINGLE(ACOMPANHAMENTO)&lt;&gt;"BM",0,SUMPRODUCT(OFFSET(BM!$O$15,$A21,0,$B21)*(OFFSET(BM!$A$15,$A21,0,$B21)="S")*OFFSET(ORÇAMENTO!AA$15,$A21,0,$B21)/(OFFSET(ORÇAMENTO!$X$15,$A21,0,$B21)+10^-12)))</f>
        <v>#NAME?</v>
      </c>
      <c r="AN21" s="183" t="e">
        <f ca="1">IF(_xlfn.SINGLE(ACOMPANHAMENTO)&lt;&gt;"BM",0,SUMPRODUCT(OFFSET(BM!$O$15,$A21,0,$B21)*(OFFSET(BM!$A$15,$A21,0,$B21)="S")*OFFSET(ORÇAMENTO!AB$15,$A21,0,$B21)/(OFFSET(ORÇAMENTO!$X$15,$A21,0,$B21)+10^-12)))</f>
        <v>#NAME?</v>
      </c>
      <c r="AO21" s="183" t="e">
        <f ca="1">IF(_xlfn.SINGLE(ACOMPANHAMENTO)&lt;&gt;"BM",0,OFFSET(BM!$O$15,$A21,0))</f>
        <v>#NAME?</v>
      </c>
    </row>
    <row r="22" spans="1:41" ht="30" customHeight="1" x14ac:dyDescent="0.25">
      <c r="A22" t="e">
        <f ca="1">MATCH(E22,ORÇAMENTO!$E$15:$E$165,0)-1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e">
        <f ca="1">_xlfn.SINGLE(IF($C22="Automático",IF(_xlfn.SINGLE(ACOMPANHAMENTO)="BM",BM.medicao,PLE.Medicao),IF(ISBLANK($X22),"",$X22)))</f>
        <v>#NAME?</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t="e">
        <f ca="1">IF(_xlfn.SINGLE(ACOMPANHAMENTO)&lt;&gt;"PLE",0,SUMPRODUCT((OFFSET(CÁLCULO!$BV$15:$CN$15,$A22,0,$B22)&lt;=(PLE.Medicao-1))*OFFSET(CÁLCULO!$AJ$15:$BB$15,$A22,0,$B22)*OFFSET(ORÇAMENTO!$AA$15,$A22,0,$B22)/(OFFSET(ORÇAMENTO!$X$15,$A22,0,$B22)+10^-12))+IF(AUTOEVENTO="Manual",SUMPRODUCT((OFFSET(CÁLCULO!$M$15,$A22,0,$B22)=1)*OFFSET(ORÇAMENTO!$AA$15,$A22,0,$B22)*(PLE!$AE$9-PLE!$Y$9)),0))</f>
        <v>#NAME?</v>
      </c>
      <c r="AD22" s="183" t="e">
        <f ca="1">IF(_xlfn.SINGLE(ACOMPANHAMENTO)&lt;&gt;"PLE",0,SUMPRODUCT((OFFSET(CÁLCULO!$BV$15:$CN$15,$A22,0,$B22)&lt;=(PLE.Medicao-1))*OFFSET(CÁLCULO!$AJ$15:$BB$15,$A22,0,$B22)*OFFSET(ORÇAMENTO!$AB$15,$A22,0,$B22)/(OFFSET(ORÇAMENTO!$X$15,$A22,0,$B22)+10^-12))+IF(AUTOEVENTO="Manual",SUMPRODUCT((OFFSET(CÁLCULO!$M$15,$A22,0,$B22)=1)*OFFSET(ORÇAMENTO!$AB$15,$A22,0,$B22)*(PLE!$AE$9-PLE!$Y$9)),0))</f>
        <v>#NAME?</v>
      </c>
      <c r="AE22" s="183" t="e">
        <f ca="1">ROUND(
            IF(ACOMPANHAMENTO&lt;&gt;"PLE",0,
                      SUMIF(OFFSET(CÁLCULO!$BV$15:$CN$15,$A22,0,$B22),"&lt;="&amp;(PLE.Medicao-1),OFFSET(CÁLCULO!$AJ$15:$BB$15,$A22,0,$B22))
                      +IF(AdmLocal="Automática",
                              SUMIF(OFFSET(CÁLCULO!$M$15,$A22,0,$B22),1,OFFSET(ORÇAMENTO!$X$15,$A22,0,$B22))*(PLE!$AE$9-PLE!$Y$9),
                              0)),
            2)</f>
        <v>#N/A</v>
      </c>
      <c r="AF22" s="183" t="e">
        <f ca="1">IF(_xlfn.SINGLE(ACOMPANHAMENTO)&lt;&gt;"PLE",0,SUMPRODUCT((OFFSET(CÁLCULO!$BV$15:$CN$15,$A22,0,$B22)&lt;=PLE.Medicao)*OFFSET(CÁLCULO!$AJ$15:$BB$15,$A22,0,$B22)*OFFSET(ORÇAMENTO!$AA$15,$A22,0,$B22)/(OFFSET(ORÇAMENTO!$X$15,$A22,0,$B22)+10^-12))+IF(AUTOEVENTO="Manual",SUMPRODUCT((OFFSET(CÁLCULO!$M$15,$A22,0,$B22)=1)*OFFSET(ORÇAMENTO!$AA$15,$A22,0,$B22)*PLE!$AE$9),0))</f>
        <v>#NAME?</v>
      </c>
      <c r="AG22" s="183" t="e">
        <f ca="1">IF(_xlfn.SINGLE(ACOMPANHAMENTO)&lt;&gt;"PLE",0,SUMPRODUCT((OFFSET(CÁLCULO!$BV$15:$CN$15,$A22,0,$B22)&lt;=PLE.Medicao)*OFFSET(CÁLCULO!$AJ$15:$BB$15,$A22,0,$B22)*OFFSET(ORÇAMENTO!$AB$15,$A22,0,$B22)/(OFFSET(ORÇAMENTO!$X$15,$A22,0,$B22)+10^-12))+IF(AUTOEVENTO="Manual",SUMPRODUCT((OFFSET(CÁLCULO!$M$15,$A22,0,$B22)=1)*OFFSET(ORÇAMENTO!$AB$15,$A22,0,$B22)*PLE!$AE$9),0))</f>
        <v>#NAME?</v>
      </c>
      <c r="AH22" s="183" t="e">
        <f ca="1">ROUND(IF(_xlfn.SINGLE(ACOMPANHAMENTO)&lt;&gt;"PLE",0,SUMIF(OFFSET(CÁLCULO!$BV$15:$CN$15,$A22,0,$B22),"&lt;="&amp;PLE.Medicao,OFFSET(CÁLCULO!$AJ$15:$BB$15,$A22,0,$B22))+IF(AdmLocal="Automática",SUMIF(OFFSET(CÁLCULO!$M$15,$A22,0,$B22),1,OFFSET(ORÇAMENTO!$X$15,$A22,0,$B22))*PLE!$AE$9,0)),2)</f>
        <v>#NAME?</v>
      </c>
      <c r="AJ22" s="183" t="e">
        <f ca="1">IF(_xlfn.SINGLE(ACOMPANHAMENTO)&lt;&gt;"BM",0,SUMPRODUCT(OFFSET(BM!$M$15,$A22,0,$B22)*(OFFSET(BM!$A$15,$A22,0,$B22)="S")*OFFSET(ORÇAMENTO!AA$15,$A22,0,$B22)/(OFFSET(ORÇAMENTO!$X$15,$A22,0,$B22)+10^-12)))</f>
        <v>#NAME?</v>
      </c>
      <c r="AK22" s="183" t="e">
        <f ca="1">IF(_xlfn.SINGLE(ACOMPANHAMENTO)&lt;&gt;"BM",0,SUMPRODUCT(OFFSET(BM!$M$15,$A22,0,$B22)*(OFFSET(BM!$A$15,$A22,0,$B22)="S")*OFFSET(ORÇAMENTO!AB$15,$A22,0,$B22)/(OFFSET(ORÇAMENTO!$X$15,$A22,0,$B22)+10^-12)))</f>
        <v>#NAME?</v>
      </c>
      <c r="AL22" s="183" t="e">
        <f ca="1">IF(_xlfn.SINGLE(ACOMPANHAMENTO)&lt;&gt;"BM",0,OFFSET(BM!$M$15,$A22,0))</f>
        <v>#NAME?</v>
      </c>
      <c r="AM22" s="183" t="e">
        <f ca="1">IF(_xlfn.SINGLE(ACOMPANHAMENTO)&lt;&gt;"BM",0,SUMPRODUCT(OFFSET(BM!$O$15,$A22,0,$B22)*(OFFSET(BM!$A$15,$A22,0,$B22)="S")*OFFSET(ORÇAMENTO!AA$15,$A22,0,$B22)/(OFFSET(ORÇAMENTO!$X$15,$A22,0,$B22)+10^-12)))</f>
        <v>#NAME?</v>
      </c>
      <c r="AN22" s="183" t="e">
        <f ca="1">IF(_xlfn.SINGLE(ACOMPANHAMENTO)&lt;&gt;"BM",0,SUMPRODUCT(OFFSET(BM!$O$15,$A22,0,$B22)*(OFFSET(BM!$A$15,$A22,0,$B22)="S")*OFFSET(ORÇAMENTO!AB$15,$A22,0,$B22)/(OFFSET(ORÇAMENTO!$X$15,$A22,0,$B22)+10^-12)))</f>
        <v>#NAME?</v>
      </c>
      <c r="AO22" s="183" t="e">
        <f ca="1">IF(_xlfn.SINGLE(ACOMPANHAMENTO)&lt;&gt;"BM",0,OFFSET(BM!$O$15,$A22,0))</f>
        <v>#NAME?</v>
      </c>
    </row>
    <row r="23" spans="1:41" ht="30" customHeight="1" x14ac:dyDescent="0.25">
      <c r="A23" t="e">
        <f ca="1">MATCH(E23,ORÇAMENTO!$E$15:$E$165,0)-1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e">
        <f ca="1">_xlfn.SINGLE(IF($C23="Automático",IF(_xlfn.SINGLE(ACOMPANHAMENTO)="BM",BM.medicao,PLE.Medicao),IF(ISBLANK($X23),"",$X23)))</f>
        <v>#NAME?</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t="e">
        <f ca="1">IF(_xlfn.SINGLE(ACOMPANHAMENTO)&lt;&gt;"PLE",0,SUMPRODUCT((OFFSET(CÁLCULO!$BV$15:$CN$15,$A23,0,$B23)&lt;=(PLE.Medicao-1))*OFFSET(CÁLCULO!$AJ$15:$BB$15,$A23,0,$B23)*OFFSET(ORÇAMENTO!$AA$15,$A23,0,$B23)/(OFFSET(ORÇAMENTO!$X$15,$A23,0,$B23)+10^-12))+IF(AUTOEVENTO="Manual",SUMPRODUCT((OFFSET(CÁLCULO!$M$15,$A23,0,$B23)=1)*OFFSET(ORÇAMENTO!$AA$15,$A23,0,$B23)*(PLE!$AE$9-PLE!$Y$9)),0))</f>
        <v>#NAME?</v>
      </c>
      <c r="AD23" s="183" t="e">
        <f ca="1">IF(_xlfn.SINGLE(ACOMPANHAMENTO)&lt;&gt;"PLE",0,SUMPRODUCT((OFFSET(CÁLCULO!$BV$15:$CN$15,$A23,0,$B23)&lt;=(PLE.Medicao-1))*OFFSET(CÁLCULO!$AJ$15:$BB$15,$A23,0,$B23)*OFFSET(ORÇAMENTO!$AB$15,$A23,0,$B23)/(OFFSET(ORÇAMENTO!$X$15,$A23,0,$B23)+10^-12))+IF(AUTOEVENTO="Manual",SUMPRODUCT((OFFSET(CÁLCULO!$M$15,$A23,0,$B23)=1)*OFFSET(ORÇAMENTO!$AB$15,$A23,0,$B23)*(PLE!$AE$9-PLE!$Y$9)),0))</f>
        <v>#NAME?</v>
      </c>
      <c r="AE23" s="183" t="e">
        <f ca="1">ROUND(
            IF(ACOMPANHAMENTO&lt;&gt;"PLE",0,
                      SUMIF(OFFSET(CÁLCULO!$BV$15:$CN$15,$A23,0,$B23),"&lt;="&amp;(PLE.Medicao-1),OFFSET(CÁLCULO!$AJ$15:$BB$15,$A23,0,$B23))
                      +IF(AdmLocal="Automática",
                              SUMIF(OFFSET(CÁLCULO!$M$15,$A23,0,$B23),1,OFFSET(ORÇAMENTO!$X$15,$A23,0,$B23))*(PLE!$AE$9-PLE!$Y$9),
                              0)),
            2)</f>
        <v>#N/A</v>
      </c>
      <c r="AF23" s="183" t="e">
        <f ca="1">IF(_xlfn.SINGLE(ACOMPANHAMENTO)&lt;&gt;"PLE",0,SUMPRODUCT((OFFSET(CÁLCULO!$BV$15:$CN$15,$A23,0,$B23)&lt;=PLE.Medicao)*OFFSET(CÁLCULO!$AJ$15:$BB$15,$A23,0,$B23)*OFFSET(ORÇAMENTO!$AA$15,$A23,0,$B23)/(OFFSET(ORÇAMENTO!$X$15,$A23,0,$B23)+10^-12))+IF(AUTOEVENTO="Manual",SUMPRODUCT((OFFSET(CÁLCULO!$M$15,$A23,0,$B23)=1)*OFFSET(ORÇAMENTO!$AA$15,$A23,0,$B23)*PLE!$AE$9),0))</f>
        <v>#NAME?</v>
      </c>
      <c r="AG23" s="183" t="e">
        <f ca="1">IF(_xlfn.SINGLE(ACOMPANHAMENTO)&lt;&gt;"PLE",0,SUMPRODUCT((OFFSET(CÁLCULO!$BV$15:$CN$15,$A23,0,$B23)&lt;=PLE.Medicao)*OFFSET(CÁLCULO!$AJ$15:$BB$15,$A23,0,$B23)*OFFSET(ORÇAMENTO!$AB$15,$A23,0,$B23)/(OFFSET(ORÇAMENTO!$X$15,$A23,0,$B23)+10^-12))+IF(AUTOEVENTO="Manual",SUMPRODUCT((OFFSET(CÁLCULO!$M$15,$A23,0,$B23)=1)*OFFSET(ORÇAMENTO!$AB$15,$A23,0,$B23)*PLE!$AE$9),0))</f>
        <v>#NAME?</v>
      </c>
      <c r="AH23" s="183" t="e">
        <f ca="1">ROUND(IF(_xlfn.SINGLE(ACOMPANHAMENTO)&lt;&gt;"PLE",0,SUMIF(OFFSET(CÁLCULO!$BV$15:$CN$15,$A23,0,$B23),"&lt;="&amp;PLE.Medicao,OFFSET(CÁLCULO!$AJ$15:$BB$15,$A23,0,$B23))+IF(AdmLocal="Automática",SUMIF(OFFSET(CÁLCULO!$M$15,$A23,0,$B23),1,OFFSET(ORÇAMENTO!$X$15,$A23,0,$B23))*PLE!$AE$9,0)),2)</f>
        <v>#NAME?</v>
      </c>
      <c r="AJ23" s="183" t="e">
        <f ca="1">IF(_xlfn.SINGLE(ACOMPANHAMENTO)&lt;&gt;"BM",0,SUMPRODUCT(OFFSET(BM!$M$15,$A23,0,$B23)*(OFFSET(BM!$A$15,$A23,0,$B23)="S")*OFFSET(ORÇAMENTO!AA$15,$A23,0,$B23)/(OFFSET(ORÇAMENTO!$X$15,$A23,0,$B23)+10^-12)))</f>
        <v>#NAME?</v>
      </c>
      <c r="AK23" s="183" t="e">
        <f ca="1">IF(_xlfn.SINGLE(ACOMPANHAMENTO)&lt;&gt;"BM",0,SUMPRODUCT(OFFSET(BM!$M$15,$A23,0,$B23)*(OFFSET(BM!$A$15,$A23,0,$B23)="S")*OFFSET(ORÇAMENTO!AB$15,$A23,0,$B23)/(OFFSET(ORÇAMENTO!$X$15,$A23,0,$B23)+10^-12)))</f>
        <v>#NAME?</v>
      </c>
      <c r="AL23" s="183" t="e">
        <f ca="1">IF(_xlfn.SINGLE(ACOMPANHAMENTO)&lt;&gt;"BM",0,OFFSET(BM!$M$15,$A23,0))</f>
        <v>#NAME?</v>
      </c>
      <c r="AM23" s="183" t="e">
        <f ca="1">IF(_xlfn.SINGLE(ACOMPANHAMENTO)&lt;&gt;"BM",0,SUMPRODUCT(OFFSET(BM!$O$15,$A23,0,$B23)*(OFFSET(BM!$A$15,$A23,0,$B23)="S")*OFFSET(ORÇAMENTO!AA$15,$A23,0,$B23)/(OFFSET(ORÇAMENTO!$X$15,$A23,0,$B23)+10^-12)))</f>
        <v>#NAME?</v>
      </c>
      <c r="AN23" s="183" t="e">
        <f ca="1">IF(_xlfn.SINGLE(ACOMPANHAMENTO)&lt;&gt;"BM",0,SUMPRODUCT(OFFSET(BM!$O$15,$A23,0,$B23)*(OFFSET(BM!$A$15,$A23,0,$B23)="S")*OFFSET(ORÇAMENTO!AB$15,$A23,0,$B23)/(OFFSET(ORÇAMENTO!$X$15,$A23,0,$B23)+10^-12)))</f>
        <v>#NAME?</v>
      </c>
      <c r="AO23" s="183" t="e">
        <f ca="1">IF(_xlfn.SINGLE(ACOMPANHAMENTO)&lt;&gt;"BM",0,OFFSET(BM!$O$15,$A23,0))</f>
        <v>#NAME?</v>
      </c>
    </row>
    <row r="24" spans="1:41" ht="12.9" customHeight="1" x14ac:dyDescent="0.25">
      <c r="D24" t="s">
        <v>536</v>
      </c>
      <c r="E24" s="1"/>
      <c r="F24" s="1"/>
      <c r="G24" s="1"/>
      <c r="H24" s="1"/>
      <c r="I24" s="2"/>
      <c r="J24" s="830" t="s">
        <v>889</v>
      </c>
      <c r="K24" s="831"/>
      <c r="L24" s="369">
        <f ca="1">IF(ISERROR(L28/$L28),0,ROUND(L28/$L28,4))</f>
        <v>1</v>
      </c>
      <c r="M24" s="371">
        <f ca="1">IF(ISERROR(M28/$L28),0,ROUND(M28/$L28,4))</f>
        <v>0</v>
      </c>
      <c r="N24" s="370">
        <f ca="1">IF(ISERROR(N28/$L28),0,ROUND(N28/$L28,4))</f>
        <v>0</v>
      </c>
      <c r="O24" s="372">
        <f ca="1">IF(ISERROR(O28/$L28),0,ROUND(O28/$L28,4))</f>
        <v>0</v>
      </c>
      <c r="P24" s="832" t="e">
        <f ca="1">O28/(L28+10^-12)</f>
        <v>#NAME?</v>
      </c>
      <c r="X24" s="302"/>
      <c r="Y24" s="304"/>
      <c r="Z24" s="305"/>
    </row>
    <row r="25" spans="1:41" ht="12.9" customHeight="1" x14ac:dyDescent="0.25">
      <c r="D25" t="s">
        <v>536</v>
      </c>
      <c r="I25" s="4"/>
      <c r="J25" s="833" t="str">
        <f>IF(import.recurso="FGTS","Financiamento","Repasse")</f>
        <v>Repasse</v>
      </c>
      <c r="K25" s="834"/>
      <c r="L25" s="286">
        <f ca="1">QCI!L24</f>
        <v>999999.99999999988</v>
      </c>
      <c r="M25" s="283" t="e">
        <f ca="1">M28-M27-M26</f>
        <v>#NAME?</v>
      </c>
      <c r="N25" s="284" t="e">
        <f ca="1">O25-M25</f>
        <v>#NAME?</v>
      </c>
      <c r="O25" s="285" t="e">
        <f ca="1">O28-O27-O26</f>
        <v>#NAME?</v>
      </c>
      <c r="P25" s="832"/>
      <c r="X25" s="373"/>
      <c r="Y25" s="374" t="s">
        <v>890</v>
      </c>
      <c r="Z25" s="375" t="s">
        <v>891</v>
      </c>
      <c r="AC25" s="376" t="s">
        <v>892</v>
      </c>
      <c r="AD25" s="376" t="s">
        <v>893</v>
      </c>
    </row>
    <row r="26" spans="1:41" ht="12.9" customHeight="1" x14ac:dyDescent="0.25">
      <c r="D26" t="s">
        <v>536</v>
      </c>
      <c r="I26" s="4"/>
      <c r="J26" s="835" t="s">
        <v>894</v>
      </c>
      <c r="K26" s="836"/>
      <c r="L26" s="377">
        <f ca="1">QCI!M24</f>
        <v>381623.56999999995</v>
      </c>
      <c r="M26" s="378" t="e">
        <f ca="1">ROUND(IF(OFFSET($X$26,0,1)&lt;&gt;"",OFFSET($X$26,0,1),SUM(R13:OFFSET(R24,-1,0))),2)</f>
        <v>#NAME?</v>
      </c>
      <c r="N26" s="379" t="e">
        <f ca="1">O26-M26</f>
        <v>#NAME?</v>
      </c>
      <c r="O26" s="380" t="e">
        <f ca="1">IF(OFFSET($X$26,0,2)&lt;&gt;"",OFFSET($X$26,0,2),$AE$3)</f>
        <v>#NAME?</v>
      </c>
      <c r="P26" s="832"/>
      <c r="X26" s="381" t="s">
        <v>456</v>
      </c>
      <c r="Y26" s="444"/>
      <c r="Z26" s="445"/>
      <c r="AC26" s="382" t="e">
        <f ca="1">MIN($L26,$O$28-OFFSET($X$27,0,1))</f>
        <v>#NAME?</v>
      </c>
      <c r="AD26" s="382" t="e">
        <f ca="1">MIN($L26,$O$28-OFFSET($X$27,0,2))</f>
        <v>#NAME?</v>
      </c>
    </row>
    <row r="27" spans="1:41" ht="12.9" customHeight="1" x14ac:dyDescent="0.25">
      <c r="D27" t="s">
        <v>536</v>
      </c>
      <c r="I27" s="4"/>
      <c r="J27" s="837" t="s">
        <v>871</v>
      </c>
      <c r="K27" s="838"/>
      <c r="L27" s="383">
        <f ca="1">QCI!N24</f>
        <v>0</v>
      </c>
      <c r="M27" s="384" t="e">
        <f ca="1">ROUND(IF(OFFSET($X$27,0,1)&lt;&gt;"",OFFSET($X$27,0,1),SUM(S13:OFFSET(S24,-1,0))),2)</f>
        <v>#NAME?</v>
      </c>
      <c r="N27" s="385" t="e">
        <f ca="1">O27-M27</f>
        <v>#NAME?</v>
      </c>
      <c r="O27" s="386" t="e">
        <f ca="1">IF(OFFSET($X$27,0,2)&lt;&gt;"",OFFSET($X$27,0,2),$AE$4)</f>
        <v>#NAME?</v>
      </c>
      <c r="P27" s="832"/>
      <c r="X27" s="387" t="s">
        <v>794</v>
      </c>
      <c r="Y27" s="446"/>
      <c r="Z27" s="447"/>
      <c r="AC27" s="382" t="e">
        <f ca="1">MIN($L27,$O$28-OFFSET($X$26,0,1))</f>
        <v>#NAME?</v>
      </c>
      <c r="AD27" s="382" t="e">
        <f ca="1">MIN($L27,$O$28-OFFSET($X$26,0,2))</f>
        <v>#NAME?</v>
      </c>
    </row>
    <row r="28" spans="1:41" ht="13.8" x14ac:dyDescent="0.25">
      <c r="D28" t="s">
        <v>536</v>
      </c>
      <c r="I28" s="4"/>
      <c r="J28" s="839" t="s">
        <v>873</v>
      </c>
      <c r="K28" s="840"/>
      <c r="L28" s="388">
        <f ca="1">SUM(L13:OFFSET(L24,-1,0))</f>
        <v>1381623.57</v>
      </c>
      <c r="M28" s="648" t="e">
        <f ca="1">ROUND(SUM(M13:OFFSET(M24,-1,0)),2)</f>
        <v>#NAME?</v>
      </c>
      <c r="N28" s="649" t="e">
        <f ca="1">O28-M28</f>
        <v>#NAME?</v>
      </c>
      <c r="O28" s="389" t="e">
        <f ca="1">SUM(O13:OFFSET(O24,-1,0))</f>
        <v>#NAME?</v>
      </c>
      <c r="P28" s="832"/>
      <c r="X28" s="314"/>
      <c r="Y28" s="316"/>
      <c r="Z28" s="317"/>
    </row>
    <row r="29" spans="1:41" x14ac:dyDescent="0.25">
      <c r="O29" s="841" t="e">
        <f ca="1">"Acumulado Anterior:  "&amp;TEXT($M$28/($L$28+10^-12),"0,00%")</f>
        <v>#NAME?</v>
      </c>
      <c r="P29" s="841"/>
    </row>
    <row r="30" spans="1:41" ht="13.8" x14ac:dyDescent="0.25">
      <c r="E30" s="135" t="s">
        <v>689</v>
      </c>
      <c r="P30" s="414"/>
    </row>
    <row r="31" spans="1:41" ht="12.75" customHeight="1" x14ac:dyDescent="0.25">
      <c r="E31" s="824"/>
      <c r="F31" s="825"/>
      <c r="G31" s="825"/>
      <c r="H31" s="825"/>
      <c r="I31" s="825"/>
      <c r="J31" s="825"/>
      <c r="K31" s="825"/>
      <c r="L31" s="825"/>
      <c r="M31" s="825"/>
      <c r="N31" s="825"/>
      <c r="O31" s="825"/>
      <c r="P31" s="826"/>
    </row>
    <row r="32" spans="1:41" ht="12.75" customHeight="1" x14ac:dyDescent="0.25">
      <c r="E32" s="824"/>
      <c r="F32" s="825"/>
      <c r="G32" s="825"/>
      <c r="H32" s="825"/>
      <c r="I32" s="825"/>
      <c r="J32" s="825"/>
      <c r="K32" s="825"/>
      <c r="L32" s="825"/>
      <c r="M32" s="825"/>
      <c r="N32" s="825"/>
      <c r="O32" s="825"/>
      <c r="P32" s="826"/>
      <c r="Y32" s="390"/>
      <c r="Z32" s="390"/>
    </row>
    <row r="33" spans="5:16" ht="12.75" customHeight="1" x14ac:dyDescent="0.25">
      <c r="E33" s="827"/>
      <c r="F33" s="828"/>
      <c r="G33" s="828"/>
      <c r="H33" s="828"/>
      <c r="I33" s="828"/>
      <c r="J33" s="828"/>
      <c r="K33" s="828"/>
      <c r="L33" s="828"/>
      <c r="M33" s="828"/>
      <c r="N33" s="828"/>
      <c r="O33" s="828"/>
      <c r="P33" s="829"/>
    </row>
    <row r="34" spans="5:16" x14ac:dyDescent="0.25">
      <c r="L34" s="571" t="str">
        <f>IF(L35=0,"Preencher a data de fechamento do RRE na aba DADOS (célula "&amp;ADDRESS(ROW(Import.DataFechaRRE),COLUMN(Import.DataFechaRRE),4)&amp;")","")</f>
        <v>Preencher a data de fechamento do RRE na aba DADOS (célula C48)</v>
      </c>
    </row>
    <row r="35" spans="5:16" ht="13.8" x14ac:dyDescent="0.25">
      <c r="E35" s="724" t="str">
        <f>Import.Município</f>
        <v>SARANDI/RS</v>
      </c>
      <c r="F35" s="724"/>
      <c r="G35" s="724"/>
      <c r="I35" s="391"/>
      <c r="K35" s="584"/>
      <c r="L35" s="772">
        <f>DADOS!$C$48</f>
        <v>0</v>
      </c>
      <c r="M35" s="772"/>
      <c r="N35" s="772"/>
      <c r="O35" s="772"/>
    </row>
    <row r="36" spans="5:16" x14ac:dyDescent="0.25">
      <c r="E36" s="9" t="s">
        <v>693</v>
      </c>
      <c r="L36" s="9" t="s">
        <v>694</v>
      </c>
    </row>
    <row r="38" spans="5:16" x14ac:dyDescent="0.25">
      <c r="E38" s="180"/>
      <c r="F38" s="180"/>
      <c r="G38" s="180"/>
      <c r="L38" s="180"/>
      <c r="M38" s="180"/>
      <c r="N38" s="180"/>
      <c r="O38" s="180"/>
    </row>
    <row r="39" spans="5:16" x14ac:dyDescent="0.25">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5">
      <c r="E40" s="77" t="s">
        <v>240</v>
      </c>
      <c r="F40" s="271" t="str">
        <f>IF(CAIXA.Modo,DADOS!C60,DADOS!C28)</f>
        <v>PABLO LUIZ ALIEVI MARI</v>
      </c>
      <c r="L40" s="77" t="s">
        <v>240</v>
      </c>
      <c r="M40" s="810">
        <f>IF(CAIXA.Modo,BM!X177,DADOS!C51)</f>
        <v>0</v>
      </c>
      <c r="N40" s="810"/>
      <c r="O40" s="810"/>
    </row>
    <row r="41" spans="5:16" x14ac:dyDescent="0.25">
      <c r="E41" s="77" t="str">
        <f>IF(CAIXA.Modo,"Função:","Cargo:")</f>
        <v>Cargo:</v>
      </c>
      <c r="F41" s="271" t="str">
        <f>IF(CAIXA.Modo,DADOS!C61,DADOS!C29)</f>
        <v>PREFEITO MUNICIPAL</v>
      </c>
      <c r="L41" s="77" t="str">
        <f>IF(CAIXA.Modo,"Matrícula:","Profissão:")</f>
        <v>Profissão:</v>
      </c>
      <c r="M41" s="810">
        <f>IF(CAIXA.Modo,BM!X178,DADOS!C52)</f>
        <v>0</v>
      </c>
      <c r="N41" s="810"/>
      <c r="O41" s="810"/>
    </row>
    <row r="42" spans="5:16" x14ac:dyDescent="0.25">
      <c r="L42" s="77" t="s">
        <v>243</v>
      </c>
      <c r="M42" s="810">
        <f>IF(CAIXA.Modo,BM!X179,DADOS!C53)</f>
        <v>0</v>
      </c>
      <c r="N42" s="810"/>
      <c r="O42" s="810"/>
    </row>
    <row r="43" spans="5:16" x14ac:dyDescent="0.25">
      <c r="L43" s="77" t="str">
        <f>IF(CAIXA.Modo,"","ART/RRT:")</f>
        <v>ART/RRT:</v>
      </c>
      <c r="M43" s="12">
        <f>IF(CAIXA.Modo,"",DADOS!C54)</f>
        <v>0</v>
      </c>
    </row>
    <row r="45" spans="5:16" x14ac:dyDescent="0.25">
      <c r="E45" s="180"/>
      <c r="F45" s="180"/>
      <c r="G45" s="180"/>
      <c r="L45" s="180"/>
      <c r="M45" s="180"/>
      <c r="N45" s="180"/>
      <c r="O45" s="180"/>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77" t="s">
        <v>240</v>
      </c>
      <c r="F47" s="809"/>
      <c r="G47" s="809"/>
      <c r="L47" s="77" t="s">
        <v>240</v>
      </c>
      <c r="M47" s="809"/>
      <c r="N47" s="809"/>
      <c r="O47" s="809"/>
    </row>
    <row r="48" spans="5:16" x14ac:dyDescent="0.25">
      <c r="E48" s="77" t="str">
        <f>IF(CAIXA.Modo,"Função:","Cargo:")</f>
        <v>Cargo:</v>
      </c>
      <c r="F48" s="809"/>
      <c r="G48" s="809"/>
      <c r="L48" s="77" t="str">
        <f>IF(CAIXA.Modo,"Função:","Cargo:")</f>
        <v>Cargo:</v>
      </c>
      <c r="M48" s="809"/>
      <c r="N48" s="809"/>
      <c r="O48" s="809"/>
    </row>
    <row r="49" spans="5:15" x14ac:dyDescent="0.25">
      <c r="E49" s="77" t="str">
        <f>IF(CAIXA.Modo,"Matr:","")</f>
        <v/>
      </c>
      <c r="F49" s="809"/>
      <c r="G49" s="809"/>
      <c r="L49" s="77" t="str">
        <f>IF(CAIXA.Modo,"Matrícula:","")</f>
        <v/>
      </c>
      <c r="M49" s="809"/>
      <c r="N49" s="809"/>
      <c r="O49" s="809"/>
    </row>
  </sheetData>
  <sheetProtection algorithmName="SHA-512" hashValue="VcY/CTLqEZdLL/78CXbPNUzzgunjjSHMTkQhb23Er1hGvt4HeAwU2grmTYKl1pVM0t+w9jZLVufTpcRseayCrg==" saltValue="3TOnYW3/sXZU1VH0CJlKUw=="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7" priority="422" stopIfTrue="1">
      <formula>OR($C12="Automático",$C12="Branco")</formula>
    </cfRule>
  </conditionalFormatting>
  <conditionalFormatting sqref="F49:G49 M49:O49">
    <cfRule type="expression" dxfId="46" priority="423" stopIfTrue="1">
      <formula>CAIXA.Modo=FALSE</formula>
    </cfRule>
  </conditionalFormatting>
  <conditionalFormatting sqref="M12 M25:M28 O12 O25:O28">
    <cfRule type="cellIs" dxfId="45" priority="424" stopIfTrue="1" operator="notBetween">
      <formula>0</formula>
      <formula>$L12</formula>
    </cfRule>
  </conditionalFormatting>
  <conditionalFormatting sqref="M10:N10">
    <cfRule type="cellIs" dxfId="44" priority="425"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3.2" x14ac:dyDescent="0.25"/>
  <cols>
    <col min="1" max="1" width="2" customWidth="1"/>
    <col min="2" max="2" width="15.5546875" customWidth="1"/>
    <col min="3" max="3" width="6.5546875" customWidth="1"/>
    <col min="4" max="5" width="20.5546875" customWidth="1"/>
    <col min="6" max="6" width="8.5546875" customWidth="1"/>
    <col min="7" max="7" width="12.5546875" customWidth="1"/>
    <col min="8" max="8" width="20.5546875" customWidth="1"/>
    <col min="10" max="10" width="14.109375" customWidth="1"/>
  </cols>
  <sheetData>
    <row r="1" spans="2:13" x14ac:dyDescent="0.25">
      <c r="B1" s="866"/>
      <c r="C1" s="866"/>
      <c r="D1" s="49"/>
      <c r="E1" s="49"/>
      <c r="F1" s="49"/>
      <c r="G1" s="52" t="s">
        <v>644</v>
      </c>
    </row>
    <row r="2" spans="2:13" x14ac:dyDescent="0.25">
      <c r="B2" s="866"/>
      <c r="C2" s="866"/>
      <c r="D2" s="49"/>
      <c r="E2" s="49"/>
      <c r="F2" s="49"/>
      <c r="G2" s="11" t="s">
        <v>895</v>
      </c>
    </row>
    <row r="3" spans="2:13" ht="26.1" customHeight="1" x14ac:dyDescent="0.25">
      <c r="B3" s="866"/>
      <c r="C3" s="866"/>
      <c r="D3" s="49"/>
      <c r="E3" s="49"/>
      <c r="F3" s="49"/>
      <c r="G3" s="393"/>
    </row>
    <row r="4" spans="2:13" ht="12.75" customHeight="1" x14ac:dyDescent="0.25">
      <c r="B4" s="866"/>
      <c r="C4" s="866"/>
      <c r="D4" s="49"/>
      <c r="E4" s="49"/>
      <c r="F4" s="49"/>
      <c r="G4" s="49"/>
    </row>
    <row r="5" spans="2:13" x14ac:dyDescent="0.25">
      <c r="C5" s="571" t="str">
        <f>IF(Import.Ofício.Num=0,"Preencher o número do Ofício","")</f>
        <v>Preencher o número do Ofício</v>
      </c>
    </row>
    <row r="6" spans="2:13" x14ac:dyDescent="0.25">
      <c r="B6" s="394" t="s">
        <v>896</v>
      </c>
      <c r="C6" s="864"/>
      <c r="D6" s="864"/>
      <c r="E6" s="394"/>
      <c r="F6" s="394"/>
      <c r="G6" s="49"/>
      <c r="J6" s="9"/>
    </row>
    <row r="7" spans="2:13" x14ac:dyDescent="0.25">
      <c r="B7" s="49"/>
      <c r="C7" s="49"/>
      <c r="D7" s="49"/>
      <c r="E7" s="49"/>
      <c r="F7" s="49"/>
      <c r="G7" s="49"/>
    </row>
    <row r="8" spans="2:13" x14ac:dyDescent="0.25">
      <c r="B8" s="865" t="str">
        <f>CONCATENATE(RRE!$E$35,", ",TEXT(RRE!$L$35,"dd"" de ""mmmm"" de ""aaaa"))</f>
        <v>SARANDI/RS, 00 de janeiro de 1900</v>
      </c>
      <c r="C8" s="865"/>
      <c r="D8" s="865"/>
      <c r="E8" s="865"/>
      <c r="F8" s="865"/>
      <c r="G8" s="865"/>
      <c r="H8" s="395"/>
      <c r="J8" s="395"/>
      <c r="K8" s="395"/>
      <c r="L8" s="395"/>
      <c r="M8" s="395"/>
    </row>
    <row r="9" spans="2:13" x14ac:dyDescent="0.25">
      <c r="B9" s="396" t="s">
        <v>897</v>
      </c>
      <c r="C9" s="49"/>
      <c r="D9" s="49"/>
      <c r="G9" s="49"/>
      <c r="H9" s="395"/>
      <c r="J9" s="395"/>
      <c r="K9" s="395"/>
      <c r="L9" s="395"/>
      <c r="M9" s="395"/>
    </row>
    <row r="10" spans="2:13" x14ac:dyDescent="0.25">
      <c r="B10" s="859" t="s">
        <v>898</v>
      </c>
      <c r="C10" s="859"/>
      <c r="D10" s="859"/>
      <c r="G10" s="49"/>
      <c r="H10" s="395"/>
      <c r="J10" s="395"/>
      <c r="K10" s="395"/>
      <c r="L10" s="395"/>
      <c r="M10" s="395"/>
    </row>
    <row r="11" spans="2:13" x14ac:dyDescent="0.25">
      <c r="B11" s="397" t="s">
        <v>899</v>
      </c>
      <c r="C11" s="809"/>
      <c r="D11" s="809"/>
      <c r="G11" s="49"/>
      <c r="H11" s="395"/>
      <c r="J11" s="395"/>
      <c r="K11" s="395"/>
      <c r="L11" s="395"/>
      <c r="M11" s="395"/>
    </row>
    <row r="12" spans="2:13" x14ac:dyDescent="0.25">
      <c r="B12" s="398"/>
      <c r="C12" s="398"/>
      <c r="D12" s="398"/>
      <c r="E12" s="398"/>
      <c r="F12" s="398"/>
      <c r="G12" s="49"/>
      <c r="H12" s="395"/>
      <c r="J12" s="395"/>
      <c r="K12" s="395"/>
      <c r="L12" s="395"/>
      <c r="M12" s="395"/>
    </row>
    <row r="13" spans="2:13" x14ac:dyDescent="0.25">
      <c r="B13" s="49"/>
      <c r="C13" s="49"/>
      <c r="D13" s="49"/>
      <c r="E13" s="49"/>
      <c r="F13" s="49"/>
      <c r="G13" s="49"/>
    </row>
    <row r="14" spans="2:13" x14ac:dyDescent="0.25">
      <c r="B14" s="396" t="s">
        <v>900</v>
      </c>
      <c r="C14" s="859" t="str">
        <f ca="1">CONCATENATE(RRE.Numero,"ª"," Solicitação de ",IF(import.recurso="OGU","Desbloqueio","Desembolso")," de Recursos.")</f>
        <v>1ª Solicitação de Desembolso de Recursos.</v>
      </c>
      <c r="D14" s="859"/>
      <c r="E14" s="859"/>
      <c r="F14" s="859"/>
      <c r="G14" s="859"/>
    </row>
    <row r="15" spans="2:13" ht="12.75" customHeight="1" x14ac:dyDescent="0.25">
      <c r="B15" s="396" t="s">
        <v>901</v>
      </c>
      <c r="C15" s="860" t="str">
        <f>CONCATENATE("Contrato de ",IF(import.recurso="OGU","Repasse","Financiamento")," - Operação nº ",Import.CR,IF(Import.TransfereGOV="","",CONCATENATE(" - TransfereGOV nº ",Import.TransfereGOV)))</f>
        <v xml:space="preserve">Contrato de Financiamento - Operação nº </v>
      </c>
      <c r="D15" s="860"/>
      <c r="E15" s="860"/>
      <c r="F15" s="860"/>
      <c r="G15" s="860"/>
    </row>
    <row r="16" spans="2:13" x14ac:dyDescent="0.25">
      <c r="B16" s="396"/>
      <c r="C16" s="860"/>
      <c r="D16" s="860"/>
      <c r="E16" s="860"/>
      <c r="F16" s="860"/>
      <c r="G16" s="860"/>
    </row>
    <row r="17" spans="2:7" x14ac:dyDescent="0.25">
      <c r="B17" s="49"/>
      <c r="C17" s="49"/>
      <c r="D17" s="49"/>
      <c r="E17" s="49"/>
      <c r="F17" s="49"/>
      <c r="G17" s="49"/>
    </row>
    <row r="18" spans="2:7" ht="12.75" customHeight="1" x14ac:dyDescent="0.25">
      <c r="B18" s="271" t="s">
        <v>902</v>
      </c>
      <c r="C18" s="861" t="str">
        <f>Import.DescLote</f>
        <v>PAVIMENTAÇÃO ASFÁLTICA EM DIVERSOS TRECHOS NO MUNICÍPIO DE SARANDI</v>
      </c>
      <c r="D18" s="861"/>
      <c r="E18" s="861"/>
      <c r="F18" s="861"/>
      <c r="G18" s="861"/>
    </row>
    <row r="19" spans="2:7" ht="12.75" customHeight="1" x14ac:dyDescent="0.25">
      <c r="B19" s="857" t="s">
        <v>903</v>
      </c>
      <c r="C19" s="858" t="str">
        <f>Import.Proponente</f>
        <v>MUNICÍPIO DE SARANDI</v>
      </c>
      <c r="D19" s="858"/>
      <c r="E19" s="858"/>
      <c r="F19" s="858"/>
      <c r="G19" s="858"/>
    </row>
    <row r="20" spans="2:7" x14ac:dyDescent="0.25">
      <c r="B20" s="857"/>
      <c r="C20" s="858"/>
      <c r="D20" s="858"/>
      <c r="E20" s="858"/>
      <c r="F20" s="858"/>
      <c r="G20" s="858"/>
    </row>
    <row r="21" spans="2:7" x14ac:dyDescent="0.25">
      <c r="B21" s="49"/>
      <c r="C21" s="49"/>
      <c r="D21" s="49"/>
      <c r="E21" s="49"/>
      <c r="F21" s="49"/>
      <c r="G21" s="49"/>
    </row>
    <row r="22" spans="2:7" x14ac:dyDescent="0.25">
      <c r="B22" t="str">
        <f>IF(B11="GIGOV","Senhor Gerente","Senhor Superintendente")</f>
        <v>Senhor Gerente</v>
      </c>
      <c r="D22" s="49"/>
      <c r="E22" s="49"/>
      <c r="F22" s="49"/>
      <c r="G22" s="49"/>
    </row>
    <row r="23" spans="2:7" x14ac:dyDescent="0.25">
      <c r="B23" s="49"/>
      <c r="C23" s="49"/>
      <c r="D23" s="49"/>
      <c r="E23" s="49"/>
      <c r="F23" s="49"/>
      <c r="G23" s="49"/>
    </row>
    <row r="24" spans="2:7" ht="12.75" customHeight="1" x14ac:dyDescent="0.25">
      <c r="B24" s="861"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61"/>
      <c r="D24" s="861"/>
      <c r="E24" s="861"/>
      <c r="F24" s="861"/>
      <c r="G24" s="861"/>
    </row>
    <row r="25" spans="2:7" x14ac:dyDescent="0.25">
      <c r="B25" s="861"/>
      <c r="C25" s="861"/>
      <c r="D25" s="861"/>
      <c r="E25" s="861"/>
      <c r="F25" s="861"/>
      <c r="G25" s="861"/>
    </row>
    <row r="26" spans="2:7" x14ac:dyDescent="0.25">
      <c r="B26" s="861"/>
      <c r="C26" s="861"/>
      <c r="D26" s="861"/>
      <c r="E26" s="861"/>
      <c r="F26" s="861"/>
      <c r="G26" s="861"/>
    </row>
    <row r="27" spans="2:7" x14ac:dyDescent="0.25">
      <c r="B27" s="49"/>
      <c r="C27" s="49"/>
      <c r="D27" s="49"/>
      <c r="E27" s="49"/>
      <c r="F27" s="49"/>
      <c r="G27" s="49"/>
    </row>
    <row r="28" spans="2:7" ht="12.75" customHeight="1" x14ac:dyDescent="0.25">
      <c r="B28" s="856"/>
      <c r="C28" s="856"/>
      <c r="D28" s="862" t="s">
        <v>904</v>
      </c>
      <c r="E28" s="862" t="str">
        <f ca="1">"Evolução da "&amp;RRE.Numero&amp;"ª Medição"</f>
        <v>Evolução da 1ª Medição</v>
      </c>
      <c r="F28" s="863" t="s">
        <v>905</v>
      </c>
      <c r="G28" s="863"/>
    </row>
    <row r="29" spans="2:7" x14ac:dyDescent="0.25">
      <c r="B29" s="856"/>
      <c r="C29" s="856"/>
      <c r="D29" s="862"/>
      <c r="E29" s="862"/>
      <c r="F29" s="863"/>
      <c r="G29" s="863"/>
    </row>
    <row r="30" spans="2:7" x14ac:dyDescent="0.25">
      <c r="B30" s="851" t="str">
        <f>IF(import.recurso="FGTS","Financiamento:","Repasse:")</f>
        <v>Repasse:</v>
      </c>
      <c r="C30" s="851"/>
      <c r="D30" s="399">
        <f ca="1">RRE!L25</f>
        <v>999999.99999999988</v>
      </c>
      <c r="E30" s="399" t="e">
        <f ca="1">RRE!N25</f>
        <v>#NAME?</v>
      </c>
      <c r="F30" s="852" t="e">
        <f ca="1">RRE!O25</f>
        <v>#NAME?</v>
      </c>
      <c r="G30" s="852"/>
    </row>
    <row r="31" spans="2:7" x14ac:dyDescent="0.25">
      <c r="B31" s="851" t="s">
        <v>906</v>
      </c>
      <c r="C31" s="851"/>
      <c r="D31" s="399">
        <f ca="1">RRE!L26</f>
        <v>381623.56999999995</v>
      </c>
      <c r="E31" s="399" t="e">
        <f ca="1">RRE!N26</f>
        <v>#NAME?</v>
      </c>
      <c r="F31" s="852" t="e">
        <f ca="1">RRE!O26</f>
        <v>#NAME?</v>
      </c>
      <c r="G31" s="852"/>
    </row>
    <row r="32" spans="2:7" x14ac:dyDescent="0.25">
      <c r="B32" s="851" t="s">
        <v>801</v>
      </c>
      <c r="C32" s="851"/>
      <c r="D32" s="399">
        <f ca="1">RRE!L27</f>
        <v>0</v>
      </c>
      <c r="E32" s="399" t="e">
        <f ca="1">RRE!N27</f>
        <v>#NAME?</v>
      </c>
      <c r="F32" s="852" t="e">
        <f ca="1">RRE!O27</f>
        <v>#NAME?</v>
      </c>
      <c r="G32" s="852"/>
    </row>
    <row r="33" spans="2:7" x14ac:dyDescent="0.25">
      <c r="B33" s="851" t="s">
        <v>802</v>
      </c>
      <c r="C33" s="851"/>
      <c r="D33" s="399">
        <f ca="1">RRE!L28</f>
        <v>1381623.57</v>
      </c>
      <c r="E33" s="399" t="e">
        <f ca="1">RRE!N28</f>
        <v>#NAME?</v>
      </c>
      <c r="F33" s="852" t="e">
        <f ca="1">RRE!O28</f>
        <v>#NAME?</v>
      </c>
      <c r="G33" s="852"/>
    </row>
    <row r="34" spans="2:7" x14ac:dyDescent="0.25">
      <c r="B34" s="853" t="s">
        <v>907</v>
      </c>
      <c r="C34" s="853"/>
      <c r="D34" s="400" t="s">
        <v>688</v>
      </c>
      <c r="E34" s="401" t="e">
        <f ca="1">RRE!$N$28/(RRE!$L$28+10^-12)</f>
        <v>#NAME?</v>
      </c>
      <c r="F34" s="854" t="e">
        <f ca="1">RRE!P24</f>
        <v>#NAME?</v>
      </c>
      <c r="G34" s="854"/>
    </row>
    <row r="35" spans="2:7" x14ac:dyDescent="0.25">
      <c r="B35" s="181"/>
      <c r="C35" s="49"/>
      <c r="D35" s="49"/>
      <c r="E35" s="49"/>
      <c r="F35" s="49"/>
      <c r="G35" s="49"/>
    </row>
    <row r="36" spans="2:7" x14ac:dyDescent="0.25">
      <c r="B36" s="181"/>
      <c r="C36" s="181"/>
      <c r="D36" s="181"/>
      <c r="E36" s="181"/>
      <c r="F36" s="181"/>
      <c r="G36" s="49"/>
    </row>
    <row r="37" spans="2:7" x14ac:dyDescent="0.25">
      <c r="B37" s="855" t="str">
        <f ca="1">IF(RRE.Numero&gt;1,"2. Encaminhamos ainda a documentação relativa à prestação de contas da etapa físico-financeira anterior.","")</f>
        <v/>
      </c>
      <c r="C37" s="855"/>
      <c r="D37" s="855"/>
      <c r="E37" s="855"/>
      <c r="F37" s="855"/>
      <c r="G37" s="855"/>
    </row>
    <row r="38" spans="2:7" x14ac:dyDescent="0.25">
      <c r="B38" s="855"/>
      <c r="C38" s="855"/>
      <c r="D38" s="855"/>
      <c r="E38" s="855"/>
      <c r="F38" s="855"/>
      <c r="G38" s="855"/>
    </row>
    <row r="39" spans="2:7" ht="12.75" customHeight="1" x14ac:dyDescent="0.25">
      <c r="B39" s="855" t="str">
        <f ca="1">IF(AND(RRE.Numero&gt;1,NOT(ISBLANK(Import.TransfereGOV))),"3. Na oportunidade, informamos que a execução financeira da parcela anterior está devidamente comprovada no TransfereGOV.","")</f>
        <v/>
      </c>
      <c r="C39" s="855"/>
      <c r="D39" s="855"/>
      <c r="E39" s="855"/>
      <c r="F39" s="855"/>
      <c r="G39" s="855"/>
    </row>
    <row r="40" spans="2:7" x14ac:dyDescent="0.25">
      <c r="B40" s="855"/>
      <c r="C40" s="855"/>
      <c r="D40" s="855"/>
      <c r="E40" s="855"/>
      <c r="F40" s="855"/>
      <c r="G40" s="855"/>
    </row>
    <row r="41" spans="2:7" x14ac:dyDescent="0.25">
      <c r="B41" s="402"/>
      <c r="C41" s="397"/>
      <c r="D41" s="397"/>
      <c r="E41" s="397"/>
      <c r="F41" s="397"/>
      <c r="G41" s="397"/>
    </row>
    <row r="42" spans="2:7" ht="12.75" customHeight="1" x14ac:dyDescent="0.25">
      <c r="B42" s="855"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5"/>
      <c r="D42" s="855"/>
      <c r="E42" s="855"/>
      <c r="F42" s="855"/>
      <c r="G42" s="855"/>
    </row>
    <row r="43" spans="2:7" x14ac:dyDescent="0.25">
      <c r="B43" s="855"/>
      <c r="C43" s="855"/>
      <c r="D43" s="855"/>
      <c r="E43" s="855"/>
      <c r="F43" s="855"/>
      <c r="G43" s="855"/>
    </row>
    <row r="44" spans="2:7" x14ac:dyDescent="0.25">
      <c r="B44" s="855"/>
      <c r="C44" s="855"/>
      <c r="D44" s="855"/>
      <c r="E44" s="855"/>
      <c r="F44" s="855"/>
      <c r="G44" s="855"/>
    </row>
    <row r="45" spans="2:7" x14ac:dyDescent="0.25">
      <c r="B45" s="855"/>
      <c r="C45" s="855"/>
      <c r="D45" s="855"/>
      <c r="E45" s="855"/>
      <c r="F45" s="855"/>
      <c r="G45" s="855"/>
    </row>
    <row r="46" spans="2:7" x14ac:dyDescent="0.25">
      <c r="B46" s="855"/>
      <c r="C46" s="855"/>
      <c r="D46" s="855"/>
      <c r="E46" s="855"/>
      <c r="F46" s="855"/>
      <c r="G46" s="855"/>
    </row>
    <row r="47" spans="2:7" x14ac:dyDescent="0.25">
      <c r="G47" s="277"/>
    </row>
    <row r="48" spans="2:7" x14ac:dyDescent="0.25">
      <c r="G48" s="277"/>
    </row>
    <row r="49" spans="2:7" x14ac:dyDescent="0.25">
      <c r="B49" s="49" t="s">
        <v>908</v>
      </c>
      <c r="G49" s="277"/>
    </row>
    <row r="50" spans="2:7" x14ac:dyDescent="0.25">
      <c r="B50" s="277"/>
      <c r="C50" s="277"/>
      <c r="D50" s="277"/>
      <c r="E50" s="277"/>
      <c r="F50" s="277"/>
      <c r="G50" s="277"/>
    </row>
    <row r="51" spans="2:7" x14ac:dyDescent="0.25">
      <c r="B51" s="49"/>
      <c r="C51" s="49"/>
      <c r="D51" s="49"/>
      <c r="E51" s="49"/>
      <c r="F51" s="49"/>
      <c r="G51" s="49"/>
    </row>
    <row r="52" spans="2:7" x14ac:dyDescent="0.25">
      <c r="B52" s="49"/>
      <c r="C52" s="49"/>
      <c r="D52" s="49"/>
      <c r="E52" s="49"/>
      <c r="F52" s="49"/>
      <c r="G52" s="49"/>
    </row>
    <row r="53" spans="2:7" x14ac:dyDescent="0.25">
      <c r="B53" s="403"/>
      <c r="C53" s="403"/>
      <c r="D53" s="403"/>
      <c r="E53" s="49"/>
      <c r="F53" s="49"/>
      <c r="G53" s="49"/>
    </row>
    <row r="54" spans="2:7" x14ac:dyDescent="0.25">
      <c r="B54" s="849" t="str">
        <f>DADOS!$C$28</f>
        <v>PABLO LUIZ ALIEVI MARI</v>
      </c>
      <c r="C54" s="849"/>
      <c r="D54" s="849"/>
      <c r="E54" s="849"/>
      <c r="F54" s="849"/>
      <c r="G54" s="849"/>
    </row>
    <row r="55" spans="2:7" x14ac:dyDescent="0.25">
      <c r="B55" s="849" t="str">
        <f>DADOS!$C$29</f>
        <v>PREFEITO MUNICIPAL</v>
      </c>
      <c r="C55" s="849"/>
      <c r="D55" s="849"/>
      <c r="E55" s="849"/>
      <c r="F55" s="849"/>
      <c r="G55" s="849"/>
    </row>
    <row r="56" spans="2:7" x14ac:dyDescent="0.25">
      <c r="B56" s="850"/>
      <c r="C56" s="850"/>
      <c r="D56" s="850"/>
      <c r="E56" s="850"/>
      <c r="F56" s="850"/>
      <c r="G56" s="850"/>
    </row>
  </sheetData>
  <sheetProtection algorithmName="SHA-512" hashValue="naC9t1DodbbC68mEcIC7S7eI8bvA9iObmuUAd8GETNBRnFjWyHXIxQnttiB5ACquPf9ae/MkQNFZTMgBfLsNlg==" saltValue="8l9i1NttpJ2VY5a+qQnQ0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&amp;LPMv3.13&amp;R&amp;P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09375" defaultRowHeight="14.4" x14ac:dyDescent="0.3"/>
  <cols>
    <col min="1" max="1" width="15" style="516" customWidth="1"/>
    <col min="2" max="2" width="25" style="516" customWidth="1"/>
    <col min="3" max="3" width="12" style="516" customWidth="1"/>
    <col min="4" max="4" width="15.554687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546875" style="516" customWidth="1"/>
    <col min="20" max="16384" width="9.109375" style="516"/>
  </cols>
  <sheetData>
    <row r="1" spans="1:19" x14ac:dyDescent="0.3">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3">
      <c r="A2" s="660"/>
      <c r="B2" s="661"/>
      <c r="C2" s="660"/>
      <c r="D2" s="660"/>
      <c r="E2" s="660"/>
      <c r="F2" s="662"/>
      <c r="G2" s="660"/>
      <c r="H2" s="663"/>
      <c r="I2" s="663"/>
      <c r="J2" s="664"/>
      <c r="K2" s="665"/>
      <c r="L2" s="666"/>
      <c r="M2" s="660"/>
      <c r="N2" s="667"/>
      <c r="O2" s="660"/>
      <c r="P2" s="667"/>
      <c r="Q2" s="660"/>
      <c r="R2" s="668"/>
      <c r="S2" s="665"/>
    </row>
  </sheetData>
  <sheetProtection algorithmName="SHA-512" hashValue="I8P3QUyJYJoltiv6R32MA69WKUUEnXygzUh3IJ0wJWPxGOPBv8HAU6rAGlSiHzqBz/PmS4A1lSN5bYmP/lJp8w==" saltValue="a5IFJ5gY3SxjnZSAcO6dIQ==" spinCount="100000" sheet="1" objects="1" scenarios="1"/>
  <conditionalFormatting sqref="A2:S2">
    <cfRule type="expression" dxfId="38" priority="73">
      <formula>$A2="Macrosserviço"</formula>
    </cfRule>
  </conditionalFormatting>
  <conditionalFormatting sqref="E2">
    <cfRule type="expression" dxfId="37" priority="79">
      <formula>OR(E2="",IF($A2="Macrosserviço",LEN($E2)&gt;100,LEN($E2)&gt;500))</formula>
    </cfRule>
  </conditionalFormatting>
  <conditionalFormatting sqref="M2">
    <cfRule type="expression" dxfId="36" priority="74">
      <formula>IF($A2="Serviço",LEN(M2)&gt;500,M2&lt;&gt;"")</formula>
    </cfRule>
  </conditionalFormatting>
  <conditionalFormatting sqref="A2">
    <cfRule type="expression" dxfId="35" priority="66">
      <formula>AND(A2&lt;&gt;"Macrosserviço",A2&lt;&gt;"Serviço")</formula>
    </cfRule>
  </conditionalFormatting>
  <conditionalFormatting sqref="C2">
    <cfRule type="expression" dxfId="34" priority="65">
      <formula>IF($A2="Serviço",AND(C2&lt;&gt;"Composição",C2&lt;&gt;"Cotação",C2&lt;&gt;"SINAPI",C2&lt;&gt;"Outros"),C2&lt;&gt;"")</formula>
    </cfRule>
  </conditionalFormatting>
  <conditionalFormatting sqref="D2">
    <cfRule type="expression" dxfId="33" priority="64">
      <formula>IF($A2="Serviço",OR(D2="",LEN($D2)&gt;13),D2&lt;&gt;"")</formula>
    </cfRule>
  </conditionalFormatting>
  <conditionalFormatting sqref="H2">
    <cfRule type="expression" dxfId="32" priority="63">
      <formula>IF(A2="Serviço",OR(NOT(ISNUMBER(H2)),H2&lt;&gt;ROUND(H2,2),AND(C2&lt;&gt;"SINAPI",H2=0),H2&lt;0,H2&gt;9999999999.99),H2&lt;&gt;"")</formula>
    </cfRule>
  </conditionalFormatting>
  <conditionalFormatting sqref="I2">
    <cfRule type="expression" dxfId="31" priority="62">
      <formula>IF($A2="Serviço",OR(NOT(ISNUMBER(I2)),I2&lt;&gt;ROUND(I2,2),I2&lt;=0,I2&gt;9999999999.99,AND(I2&gt;H2,H2&gt;0)),I2&lt;&gt;"")</formula>
    </cfRule>
  </conditionalFormatting>
  <conditionalFormatting sqref="J2">
    <cfRule type="expression" dxfId="30" priority="61">
      <formula>IF($A2="Serviço",OR(NOT(ISNUMBER(VALUE(J2))),VALUE(J2)&lt;&gt;ROUND(VALUE(J2),4),VALUE(J2)&lt;=0,VALUE(J2)&gt;100%),J2&lt;&gt;"")</formula>
    </cfRule>
  </conditionalFormatting>
  <conditionalFormatting sqref="N2">
    <cfRule type="expression" dxfId="29" priority="60">
      <formula>IF($A2="Serviço",OR(NOT(ISNUMBER(N2)),N2&lt;&gt;ROUND(N2,0),N2&lt;1,N2&gt;999),N2&lt;&gt;"")</formula>
    </cfRule>
  </conditionalFormatting>
  <conditionalFormatting sqref="O2">
    <cfRule type="expression" dxfId="28" priority="59">
      <formula>IF($A2="Serviço",OR(O2="",LEN(O2)&gt;100),O2&lt;&gt;"")</formula>
    </cfRule>
  </conditionalFormatting>
  <conditionalFormatting sqref="P2">
    <cfRule type="expression" dxfId="27" priority="58">
      <formula>IF($A2="Macrosserviço",P2&lt;&gt;"",OR(NOT(ISNUMBER(P2)),P2&lt;&gt;ROUND(P2,0),P2&lt;1,P2&gt;999))</formula>
    </cfRule>
  </conditionalFormatting>
  <conditionalFormatting sqref="Q2">
    <cfRule type="expression" dxfId="26" priority="57">
      <formula>IF($A2="Macrosserviço",Q2&lt;&gt;"",OR(Q2="",LEN(Q2)&gt;100))</formula>
    </cfRule>
  </conditionalFormatting>
  <conditionalFormatting sqref="B2">
    <cfRule type="cellIs" dxfId="25" priority="56" operator="equal">
      <formula>""</formula>
    </cfRule>
  </conditionalFormatting>
  <conditionalFormatting sqref="R2">
    <cfRule type="expression" dxfId="24" priority="48">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5"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09375" defaultRowHeight="14.4" x14ac:dyDescent="0.3"/>
  <cols>
    <col min="1" max="1" width="15" style="516" customWidth="1"/>
    <col min="2" max="2" width="50" style="516" customWidth="1"/>
    <col min="3" max="3" width="20" style="516" customWidth="1"/>
    <col min="4" max="4" width="50" style="516" customWidth="1"/>
    <col min="5" max="5" width="35" style="516" customWidth="1"/>
    <col min="6" max="16384" width="9.109375" style="516"/>
  </cols>
  <sheetData>
    <row r="1" spans="1:5" x14ac:dyDescent="0.3">
      <c r="A1" s="515" t="s">
        <v>925</v>
      </c>
      <c r="B1" s="515" t="s">
        <v>761</v>
      </c>
      <c r="C1" s="515" t="s">
        <v>926</v>
      </c>
      <c r="D1" s="515" t="s">
        <v>922</v>
      </c>
      <c r="E1" s="515" t="s">
        <v>927</v>
      </c>
    </row>
    <row r="2" spans="1:5" ht="45" customHeight="1" x14ac:dyDescent="0.3">
      <c r="A2" s="670"/>
      <c r="B2" s="670"/>
      <c r="C2" s="669"/>
      <c r="D2" s="669"/>
      <c r="E2" s="669"/>
    </row>
  </sheetData>
  <sheetProtection algorithmName="SHA-512" hashValue="80m1nqu5+L/QAxoS7UCTPgjBTCApXJzcvu2nJ4knk34TBbs7sckQk5w0JvxajQMCSPQp3aaRyf7ZDDJZIhihDA==" saltValue="mqZhuIzNa4796kTHgH3IUg=="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09375" defaultRowHeight="14.4" x14ac:dyDescent="0.3"/>
  <cols>
    <col min="1" max="1" width="15" style="516" customWidth="1"/>
    <col min="2" max="2" width="25" style="516" customWidth="1"/>
    <col min="3" max="3" width="12" style="516" customWidth="1"/>
    <col min="4" max="4" width="15.554687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546875" style="516" customWidth="1"/>
    <col min="18" max="16384" width="9.109375" style="516"/>
  </cols>
  <sheetData>
    <row r="1" spans="1:17" x14ac:dyDescent="0.3">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3">
      <c r="A2" s="588"/>
      <c r="B2" s="589"/>
      <c r="C2" s="588"/>
      <c r="D2" s="588"/>
      <c r="E2" s="588"/>
      <c r="F2" s="590"/>
      <c r="G2" s="588"/>
      <c r="H2" s="591"/>
      <c r="I2" s="591"/>
      <c r="J2" s="592"/>
      <c r="K2" s="593"/>
      <c r="L2" s="593"/>
      <c r="M2" s="588"/>
      <c r="N2" s="594"/>
      <c r="O2" s="588"/>
      <c r="P2" s="595"/>
      <c r="Q2" s="593"/>
    </row>
  </sheetData>
  <sheetProtection algorithmName="SHA-512" hashValue="6irnfJnBx0irA7pneN7VlHJSrBcSewz5X6uey4NxERcKNdApTuHt6pBnqb6RzFoW+nWvtZegTzx/K0QumHcMBA==" saltValue="5P2wofaUCKtq4P1Rf1yH2Q=="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09375" defaultRowHeight="14.4" x14ac:dyDescent="0.3"/>
  <cols>
    <col min="1" max="1" width="15" style="516" customWidth="1"/>
    <col min="2" max="2" width="70" style="516" customWidth="1"/>
    <col min="3" max="3" width="10" style="516" customWidth="1"/>
    <col min="4" max="4" width="20" style="516" customWidth="1"/>
    <col min="5" max="16384" width="9.109375" style="516"/>
  </cols>
  <sheetData>
    <row r="1" spans="1:4" x14ac:dyDescent="0.3">
      <c r="A1" s="515" t="s">
        <v>928</v>
      </c>
      <c r="B1" s="515" t="s">
        <v>929</v>
      </c>
      <c r="C1" s="515" t="s">
        <v>780</v>
      </c>
      <c r="D1" s="515" t="s">
        <v>930</v>
      </c>
    </row>
    <row r="2" spans="1:4" ht="45" customHeight="1" x14ac:dyDescent="0.3">
      <c r="A2" s="598"/>
      <c r="B2" s="598"/>
      <c r="C2" s="650"/>
      <c r="D2" s="596"/>
    </row>
  </sheetData>
  <sheetProtection algorithmName="SHA-512" hashValue="jsvDkHU4j1Nf1P+sXl92pIGyCfm51mGmMjpjvQXxzNWBvpJM2TnqCvlkVIR8LWG74X+Msfs3rm7wBl1ungijNg==" saltValue="CHFTnT0hH3/ugVT5OD8sN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Leonardo Zamberlan</cp:lastModifiedBy>
  <cp:revision>5</cp:revision>
  <cp:lastPrinted>2026-01-12T16:43:46Z</cp:lastPrinted>
  <dcterms:created xsi:type="dcterms:W3CDTF">1997-01-10T22:22:50Z</dcterms:created>
  <dcterms:modified xsi:type="dcterms:W3CDTF">2026-01-12T16:46:27Z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