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M:\Governo\Licitacoes\2024\CONCORRÊNCIA ELETRÔNICA\Conc 011\"/>
    </mc:Choice>
  </mc:AlternateContent>
  <xr:revisionPtr revIDLastSave="0" documentId="13_ncr:1_{4A5EF8CB-AB58-435A-90EF-E47885CC6B9D}" xr6:coauthVersionLast="47" xr6:coauthVersionMax="47" xr10:uidLastSave="{00000000-0000-0000-0000-000000000000}"/>
  <bookViews>
    <workbookView xWindow="-120" yWindow="-120" windowWidth="29040" windowHeight="15720" tabRatio="841" activeTab="5" xr2:uid="{00000000-000D-0000-FFFF-FFFF00000000}"/>
  </bookViews>
  <sheets>
    <sheet name="HORÁRIOS " sheetId="5" r:id="rId1"/>
    <sheet name="INVEST. E DESPESAS" sheetId="9" r:id="rId2"/>
    <sheet name="CÁLCULO TARIFÁRIO " sheetId="10" r:id="rId3"/>
    <sheet name="RECEITA ESTIMADA" sheetId="11" r:id="rId4"/>
    <sheet name="DEPRECIAÇÃO" sheetId="12" r:id="rId5"/>
    <sheet name="TIR VPL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9" i="10" l="1"/>
  <c r="G64" i="10"/>
  <c r="G57" i="10"/>
  <c r="G56" i="10"/>
  <c r="G9" i="12"/>
  <c r="J218" i="9" l="1"/>
  <c r="J219" i="9" s="1"/>
  <c r="E218" i="9"/>
  <c r="E219" i="9" s="1"/>
  <c r="L218" i="9" l="1"/>
  <c r="L219" i="9" s="1"/>
  <c r="D9" i="10" l="1"/>
  <c r="D6" i="10"/>
  <c r="H187" i="9"/>
  <c r="H177" i="9"/>
  <c r="I6" i="9" l="1"/>
  <c r="E32" i="9"/>
  <c r="L32" i="9" s="1"/>
  <c r="J96" i="9"/>
  <c r="L96" i="9" s="1"/>
  <c r="E33" i="9"/>
  <c r="K7" i="9"/>
  <c r="D10" i="9"/>
  <c r="D8" i="9"/>
  <c r="D9" i="9"/>
  <c r="B9" i="10"/>
  <c r="B6" i="10"/>
  <c r="J7" i="9" l="1"/>
  <c r="I12" i="9"/>
  <c r="I168" i="9" l="1"/>
  <c r="J168" i="9" s="1"/>
  <c r="L168" i="9" s="1"/>
  <c r="H186" i="9" l="1"/>
  <c r="J186" i="9" s="1"/>
  <c r="L186" i="9" s="1"/>
  <c r="G7" i="10"/>
  <c r="F49" i="10"/>
  <c r="G10" i="10"/>
  <c r="G9" i="10"/>
  <c r="J213" i="9"/>
  <c r="E213" i="9"/>
  <c r="J212" i="9"/>
  <c r="E212" i="9"/>
  <c r="J211" i="9"/>
  <c r="E211" i="9"/>
  <c r="I206" i="9"/>
  <c r="G206" i="9"/>
  <c r="I205" i="9"/>
  <c r="J205" i="9" s="1"/>
  <c r="G205" i="9"/>
  <c r="I204" i="9"/>
  <c r="G204" i="9"/>
  <c r="I203" i="9"/>
  <c r="J203" i="9" s="1"/>
  <c r="G203" i="9"/>
  <c r="I202" i="9"/>
  <c r="G202" i="9"/>
  <c r="I201" i="9"/>
  <c r="J201" i="9" s="1"/>
  <c r="G201" i="9"/>
  <c r="I200" i="9"/>
  <c r="G200" i="9"/>
  <c r="I199" i="9"/>
  <c r="G199" i="9"/>
  <c r="J199" i="9" s="1"/>
  <c r="C199" i="9"/>
  <c r="C200" i="9" s="1"/>
  <c r="I198" i="9"/>
  <c r="J198" i="9" s="1"/>
  <c r="G198" i="9"/>
  <c r="E198" i="9"/>
  <c r="L192" i="9"/>
  <c r="H191" i="9"/>
  <c r="J191" i="9" s="1"/>
  <c r="L191" i="9" s="1"/>
  <c r="H190" i="9"/>
  <c r="J190" i="9" s="1"/>
  <c r="L190" i="9" s="1"/>
  <c r="H188" i="9"/>
  <c r="J188" i="9" s="1"/>
  <c r="J187" i="9"/>
  <c r="L187" i="9" s="1"/>
  <c r="L185" i="9"/>
  <c r="L184" i="9"/>
  <c r="I177" i="9"/>
  <c r="I176" i="9"/>
  <c r="J176" i="9" s="1"/>
  <c r="L176" i="9" s="1"/>
  <c r="I175" i="9"/>
  <c r="J175" i="9" s="1"/>
  <c r="I174" i="9"/>
  <c r="J174" i="9" s="1"/>
  <c r="L174" i="9" s="1"/>
  <c r="I173" i="9"/>
  <c r="I172" i="9"/>
  <c r="J172" i="9" s="1"/>
  <c r="L172" i="9" s="1"/>
  <c r="I171" i="9"/>
  <c r="J171" i="9" s="1"/>
  <c r="L171" i="9" s="1"/>
  <c r="I170" i="9"/>
  <c r="J170" i="9" s="1"/>
  <c r="L170" i="9" s="1"/>
  <c r="I169" i="9"/>
  <c r="J169" i="9" s="1"/>
  <c r="J163" i="9"/>
  <c r="E163" i="9"/>
  <c r="J162" i="9"/>
  <c r="E162" i="9"/>
  <c r="E161" i="9"/>
  <c r="L161" i="9" s="1"/>
  <c r="J160" i="9"/>
  <c r="E160" i="9"/>
  <c r="J159" i="9"/>
  <c r="E159" i="9"/>
  <c r="J158" i="9"/>
  <c r="E158" i="9"/>
  <c r="J157" i="9"/>
  <c r="E157" i="9"/>
  <c r="I152" i="9"/>
  <c r="J152" i="9" s="1"/>
  <c r="E152" i="9"/>
  <c r="I151" i="9"/>
  <c r="J151" i="9" s="1"/>
  <c r="E151" i="9"/>
  <c r="I150" i="9"/>
  <c r="J150" i="9" s="1"/>
  <c r="E150" i="9"/>
  <c r="I149" i="9"/>
  <c r="J149" i="9" s="1"/>
  <c r="E149" i="9"/>
  <c r="J142" i="9"/>
  <c r="E142" i="9"/>
  <c r="J141" i="9"/>
  <c r="L141" i="9" s="1"/>
  <c r="J140" i="9"/>
  <c r="L140" i="9" s="1"/>
  <c r="J139" i="9"/>
  <c r="C139" i="9"/>
  <c r="E139" i="9" s="1"/>
  <c r="J138" i="9"/>
  <c r="L138" i="9" s="1"/>
  <c r="J137" i="9"/>
  <c r="L137" i="9" s="1"/>
  <c r="J136" i="9"/>
  <c r="L136" i="9" s="1"/>
  <c r="J131" i="9"/>
  <c r="L131" i="9" s="1"/>
  <c r="J130" i="9"/>
  <c r="L130" i="9" s="1"/>
  <c r="J129" i="9"/>
  <c r="L129" i="9" s="1"/>
  <c r="J128" i="9"/>
  <c r="L128" i="9" s="1"/>
  <c r="J127" i="9"/>
  <c r="L127" i="9" s="1"/>
  <c r="J126" i="9"/>
  <c r="L126" i="9" s="1"/>
  <c r="J124" i="9"/>
  <c r="L124" i="9" s="1"/>
  <c r="J123" i="9"/>
  <c r="L123" i="9" s="1"/>
  <c r="E122" i="9"/>
  <c r="L122" i="9" s="1"/>
  <c r="E121" i="9"/>
  <c r="L121" i="9" s="1"/>
  <c r="E120" i="9"/>
  <c r="E119" i="9"/>
  <c r="J114" i="9"/>
  <c r="E113" i="9"/>
  <c r="L113" i="9" s="1"/>
  <c r="E112" i="9"/>
  <c r="L112" i="9" s="1"/>
  <c r="E111" i="9"/>
  <c r="L111" i="9" s="1"/>
  <c r="E110" i="9"/>
  <c r="L110" i="9" s="1"/>
  <c r="I104" i="9"/>
  <c r="E95" i="9"/>
  <c r="L95" i="9" s="1"/>
  <c r="E94" i="9"/>
  <c r="L94" i="9" s="1"/>
  <c r="J92" i="9"/>
  <c r="L92" i="9" s="1"/>
  <c r="E91" i="9"/>
  <c r="L91" i="9" s="1"/>
  <c r="E88" i="9"/>
  <c r="L88" i="9" s="1"/>
  <c r="J83" i="9"/>
  <c r="J84" i="9" s="1"/>
  <c r="G59" i="10" s="1"/>
  <c r="E82" i="9"/>
  <c r="L82" i="9" s="1"/>
  <c r="E81" i="9"/>
  <c r="L81" i="9" s="1"/>
  <c r="E80" i="9"/>
  <c r="E79" i="9"/>
  <c r="L79" i="9" s="1"/>
  <c r="E78" i="9"/>
  <c r="L78" i="9" s="1"/>
  <c r="E77" i="9"/>
  <c r="L77" i="9" s="1"/>
  <c r="E76" i="9"/>
  <c r="L76" i="9" s="1"/>
  <c r="E75" i="9"/>
  <c r="L75" i="9" s="1"/>
  <c r="E74" i="9"/>
  <c r="L74" i="9" s="1"/>
  <c r="E73" i="9"/>
  <c r="L73" i="9" s="1"/>
  <c r="E72" i="9"/>
  <c r="L72" i="9" s="1"/>
  <c r="E71" i="9"/>
  <c r="L71" i="9" s="1"/>
  <c r="E70" i="9"/>
  <c r="L70" i="9" s="1"/>
  <c r="E69" i="9"/>
  <c r="L69" i="9" s="1"/>
  <c r="E68" i="9"/>
  <c r="L68" i="9" s="1"/>
  <c r="E67" i="9"/>
  <c r="L67" i="9" s="1"/>
  <c r="E66" i="9"/>
  <c r="L66" i="9" s="1"/>
  <c r="E65" i="9"/>
  <c r="L65" i="9" s="1"/>
  <c r="E64" i="9"/>
  <c r="L64" i="9" s="1"/>
  <c r="E63" i="9"/>
  <c r="L63" i="9" s="1"/>
  <c r="E62" i="9"/>
  <c r="L62" i="9" s="1"/>
  <c r="E61" i="9"/>
  <c r="L61" i="9" s="1"/>
  <c r="E60" i="9"/>
  <c r="L60" i="9" s="1"/>
  <c r="E59" i="9"/>
  <c r="L59" i="9" s="1"/>
  <c r="E58" i="9"/>
  <c r="L58" i="9" s="1"/>
  <c r="I52" i="9"/>
  <c r="E39" i="9"/>
  <c r="L39" i="9" s="1"/>
  <c r="E38" i="9"/>
  <c r="L38" i="9" s="1"/>
  <c r="E31" i="9"/>
  <c r="E30" i="9"/>
  <c r="J29" i="9"/>
  <c r="E29" i="9"/>
  <c r="J28" i="9"/>
  <c r="E28" i="9"/>
  <c r="J27" i="9"/>
  <c r="J26" i="9"/>
  <c r="E26" i="9"/>
  <c r="J25" i="9"/>
  <c r="E24" i="9"/>
  <c r="K11" i="9"/>
  <c r="C51" i="9" s="1"/>
  <c r="E51" i="9" s="1"/>
  <c r="L51" i="9" s="1"/>
  <c r="J11" i="9"/>
  <c r="K10" i="9"/>
  <c r="C50" i="9" s="1"/>
  <c r="E50" i="9" s="1"/>
  <c r="L50" i="9" s="1"/>
  <c r="J10" i="9"/>
  <c r="C23" i="9"/>
  <c r="K9" i="9"/>
  <c r="J9" i="9"/>
  <c r="C89" i="9"/>
  <c r="K8" i="9"/>
  <c r="C48" i="9" s="1"/>
  <c r="E48" i="9" s="1"/>
  <c r="L48" i="9" s="1"/>
  <c r="J8" i="9"/>
  <c r="C102" i="9"/>
  <c r="K6" i="9"/>
  <c r="C47" i="9" s="1"/>
  <c r="L157" i="9" l="1"/>
  <c r="L160" i="9"/>
  <c r="L158" i="9"/>
  <c r="L162" i="9"/>
  <c r="L28" i="9"/>
  <c r="H31" i="9"/>
  <c r="J31" i="9" s="1"/>
  <c r="L31" i="9" s="1"/>
  <c r="J204" i="9"/>
  <c r="K12" i="9"/>
  <c r="L80" i="9"/>
  <c r="J206" i="9"/>
  <c r="L163" i="9"/>
  <c r="C49" i="9"/>
  <c r="E49" i="9" s="1"/>
  <c r="L49" i="9" s="1"/>
  <c r="G11" i="10"/>
  <c r="J153" i="9"/>
  <c r="L175" i="9"/>
  <c r="L212" i="9"/>
  <c r="E132" i="9"/>
  <c r="L142" i="9"/>
  <c r="J200" i="9"/>
  <c r="L40" i="9"/>
  <c r="L119" i="9"/>
  <c r="L159" i="9"/>
  <c r="E214" i="9"/>
  <c r="E84" i="9"/>
  <c r="B9" i="12" s="1"/>
  <c r="J202" i="9"/>
  <c r="L150" i="9"/>
  <c r="L114" i="9"/>
  <c r="E153" i="9"/>
  <c r="E164" i="9"/>
  <c r="L152" i="9"/>
  <c r="J164" i="9"/>
  <c r="G65" i="10" s="1"/>
  <c r="L29" i="9"/>
  <c r="L120" i="9"/>
  <c r="L26" i="9"/>
  <c r="E114" i="9"/>
  <c r="L151" i="9"/>
  <c r="J214" i="9"/>
  <c r="L211" i="9"/>
  <c r="L213" i="9"/>
  <c r="E199" i="9"/>
  <c r="L199" i="9" s="1"/>
  <c r="G6" i="10"/>
  <c r="G8" i="10" s="1"/>
  <c r="J6" i="9"/>
  <c r="J12" i="9" s="1"/>
  <c r="C44" i="9" s="1"/>
  <c r="H52" i="9" s="1"/>
  <c r="G173" i="9"/>
  <c r="L198" i="9"/>
  <c r="H33" i="9"/>
  <c r="J33" i="9" s="1"/>
  <c r="L33" i="9" s="1"/>
  <c r="H24" i="9"/>
  <c r="J24" i="9" s="1"/>
  <c r="L24" i="9" s="1"/>
  <c r="C25" i="9"/>
  <c r="E25" i="9" s="1"/>
  <c r="L25" i="9" s="1"/>
  <c r="E23" i="9"/>
  <c r="C27" i="9"/>
  <c r="E27" i="9" s="1"/>
  <c r="L27" i="9" s="1"/>
  <c r="C201" i="9"/>
  <c r="E200" i="9"/>
  <c r="C90" i="9"/>
  <c r="E90" i="9" s="1"/>
  <c r="J97" i="9"/>
  <c r="E89" i="9"/>
  <c r="E11" i="12" s="1"/>
  <c r="H11" i="12" s="1"/>
  <c r="C93" i="9"/>
  <c r="E93" i="9" s="1"/>
  <c r="L93" i="9" s="1"/>
  <c r="H30" i="9"/>
  <c r="J30" i="9" s="1"/>
  <c r="L30" i="9" s="1"/>
  <c r="L188" i="9"/>
  <c r="E47" i="9"/>
  <c r="E102" i="9"/>
  <c r="H103" i="9"/>
  <c r="H105" i="9"/>
  <c r="J105" i="9" s="1"/>
  <c r="L105" i="9" s="1"/>
  <c r="E143" i="9"/>
  <c r="L139" i="9"/>
  <c r="L169" i="9"/>
  <c r="J143" i="9"/>
  <c r="G63" i="10" s="1"/>
  <c r="E40" i="9"/>
  <c r="B5" i="12" s="1"/>
  <c r="G5" i="12" s="1"/>
  <c r="L83" i="9"/>
  <c r="L149" i="9"/>
  <c r="L143" i="9" l="1"/>
  <c r="J207" i="9"/>
  <c r="G68" i="10" s="1"/>
  <c r="L84" i="9"/>
  <c r="H53" i="9"/>
  <c r="G177" i="9"/>
  <c r="J177" i="9" s="1"/>
  <c r="L177" i="9" s="1"/>
  <c r="L164" i="9"/>
  <c r="L90" i="9"/>
  <c r="G11" i="12"/>
  <c r="B20" i="10"/>
  <c r="B19" i="10"/>
  <c r="B21" i="10"/>
  <c r="B22" i="10"/>
  <c r="L153" i="9"/>
  <c r="J34" i="9"/>
  <c r="H189" i="9"/>
  <c r="J189" i="9" s="1"/>
  <c r="H125" i="9"/>
  <c r="J173" i="9"/>
  <c r="L214" i="9"/>
  <c r="B17" i="10"/>
  <c r="B16" i="10"/>
  <c r="B15" i="10"/>
  <c r="B14" i="10"/>
  <c r="E201" i="9"/>
  <c r="L201" i="9" s="1"/>
  <c r="C202" i="9"/>
  <c r="L23" i="9"/>
  <c r="L34" i="9" s="1"/>
  <c r="L47" i="9"/>
  <c r="I53" i="9"/>
  <c r="E106" i="9"/>
  <c r="L102" i="9"/>
  <c r="L97" i="9"/>
  <c r="J98" i="9"/>
  <c r="G60" i="10" s="1"/>
  <c r="J52" i="9"/>
  <c r="C45" i="9"/>
  <c r="E44" i="9"/>
  <c r="J103" i="9"/>
  <c r="H104" i="9"/>
  <c r="J104" i="9" s="1"/>
  <c r="L104" i="9" s="1"/>
  <c r="E98" i="9"/>
  <c r="B11" i="12" s="1"/>
  <c r="L89" i="9"/>
  <c r="L200" i="9"/>
  <c r="E34" i="9"/>
  <c r="B3" i="12" s="1"/>
  <c r="J53" i="9" l="1"/>
  <c r="L53" i="9" s="1"/>
  <c r="B13" i="12"/>
  <c r="G13" i="12" s="1"/>
  <c r="J178" i="9"/>
  <c r="G66" i="10" s="1"/>
  <c r="L98" i="9"/>
  <c r="F21" i="10"/>
  <c r="E21" i="10"/>
  <c r="E22" i="10"/>
  <c r="F22" i="10"/>
  <c r="F19" i="10"/>
  <c r="E19" i="10"/>
  <c r="E20" i="10"/>
  <c r="F20" i="10"/>
  <c r="L173" i="9"/>
  <c r="L178" i="9" s="1"/>
  <c r="L189" i="9"/>
  <c r="J125" i="9"/>
  <c r="J193" i="9"/>
  <c r="J194" i="9" s="1"/>
  <c r="E15" i="10"/>
  <c r="F15" i="10"/>
  <c r="E14" i="10"/>
  <c r="F14" i="10"/>
  <c r="E16" i="10"/>
  <c r="F16" i="10"/>
  <c r="E17" i="10"/>
  <c r="F17" i="10"/>
  <c r="L44" i="9"/>
  <c r="C203" i="9"/>
  <c r="E202" i="9"/>
  <c r="L202" i="9" s="1"/>
  <c r="E45" i="9"/>
  <c r="L45" i="9" s="1"/>
  <c r="C46" i="9"/>
  <c r="E46" i="9" s="1"/>
  <c r="L46" i="9" s="1"/>
  <c r="L103" i="9"/>
  <c r="L106" i="9" s="1"/>
  <c r="J106" i="9"/>
  <c r="G61" i="10" s="1"/>
  <c r="J54" i="9"/>
  <c r="G58" i="10" s="1"/>
  <c r="L52" i="9"/>
  <c r="E18" i="10" l="1"/>
  <c r="F23" i="10"/>
  <c r="E23" i="10"/>
  <c r="F18" i="10"/>
  <c r="G17" i="10" s="1"/>
  <c r="L193" i="9"/>
  <c r="L125" i="9"/>
  <c r="L132" i="9" s="1"/>
  <c r="J132" i="9"/>
  <c r="G62" i="10" s="1"/>
  <c r="C204" i="9"/>
  <c r="E203" i="9"/>
  <c r="L203" i="9" s="1"/>
  <c r="L54" i="9"/>
  <c r="E54" i="9"/>
  <c r="B7" i="12" l="1"/>
  <c r="G14" i="10"/>
  <c r="G16" i="10"/>
  <c r="G15" i="10"/>
  <c r="E24" i="10"/>
  <c r="G20" i="10"/>
  <c r="G21" i="10"/>
  <c r="G22" i="10"/>
  <c r="G19" i="10"/>
  <c r="J222" i="9"/>
  <c r="G30" i="10" s="1"/>
  <c r="L194" i="9"/>
  <c r="G67" i="10"/>
  <c r="C205" i="9"/>
  <c r="E204" i="9"/>
  <c r="L204" i="9" s="1"/>
  <c r="G38" i="10" l="1"/>
  <c r="B7" i="8" s="1"/>
  <c r="G35" i="10"/>
  <c r="G4" i="11"/>
  <c r="G47" i="10"/>
  <c r="G48" i="10"/>
  <c r="G44" i="10"/>
  <c r="G45" i="10"/>
  <c r="G46" i="10"/>
  <c r="F28" i="10"/>
  <c r="G28" i="10" s="1"/>
  <c r="G72" i="10" s="1"/>
  <c r="G10" i="11"/>
  <c r="G8" i="11"/>
  <c r="G9" i="11"/>
  <c r="G5" i="11"/>
  <c r="G6" i="11"/>
  <c r="G3" i="11"/>
  <c r="G11" i="11"/>
  <c r="G7" i="11"/>
  <c r="G32" i="10"/>
  <c r="G70" i="10" s="1"/>
  <c r="G12" i="11"/>
  <c r="E205" i="9"/>
  <c r="L205" i="9" s="1"/>
  <c r="C206" i="9"/>
  <c r="E206" i="9" s="1"/>
  <c r="D8" i="5"/>
  <c r="G40" i="10" l="1"/>
  <c r="B8" i="8"/>
  <c r="G49" i="10"/>
  <c r="G73" i="10" s="1"/>
  <c r="B13" i="8"/>
  <c r="B6" i="8"/>
  <c r="G13" i="11"/>
  <c r="B4" i="8"/>
  <c r="B5" i="8"/>
  <c r="B11" i="8"/>
  <c r="B9" i="8"/>
  <c r="B12" i="8"/>
  <c r="B10" i="8"/>
  <c r="G71" i="10"/>
  <c r="L206" i="9"/>
  <c r="L207" i="9" s="1"/>
  <c r="L222" i="9" s="1"/>
  <c r="E207" i="9"/>
  <c r="E222" i="9" l="1"/>
  <c r="B3" i="8" s="1"/>
  <c r="F51" i="10"/>
  <c r="F52" i="10" s="1"/>
  <c r="G74" i="10"/>
  <c r="F57" i="10" s="1"/>
  <c r="B16" i="8" l="1"/>
  <c r="B17" i="8"/>
  <c r="F62" i="10"/>
  <c r="F70" i="10"/>
  <c r="F72" i="10"/>
  <c r="F60" i="10"/>
  <c r="F58" i="10"/>
  <c r="F66" i="10"/>
  <c r="F59" i="10"/>
  <c r="F73" i="10"/>
  <c r="F61" i="10"/>
  <c r="F56" i="10"/>
  <c r="F65" i="10"/>
  <c r="F67" i="10"/>
  <c r="F68" i="10"/>
  <c r="F69" i="10"/>
  <c r="F63" i="10"/>
  <c r="F71" i="10"/>
  <c r="F64" i="10"/>
  <c r="F12" i="8"/>
  <c r="F13" i="8"/>
  <c r="F11" i="8"/>
  <c r="F5" i="8"/>
  <c r="F8" i="8"/>
  <c r="F10" i="8"/>
  <c r="F9" i="8"/>
  <c r="F7" i="8"/>
  <c r="F6" i="8"/>
  <c r="F3" i="8"/>
  <c r="G3" i="8" s="1"/>
  <c r="F4" i="8" l="1"/>
  <c r="G4" i="8" s="1"/>
  <c r="G5" i="8" s="1"/>
  <c r="G6" i="8" s="1"/>
  <c r="G7" i="8" s="1"/>
  <c r="G8" i="8" l="1"/>
  <c r="G9" i="8" s="1"/>
  <c r="G10" i="8" s="1"/>
  <c r="G11" i="8" l="1"/>
  <c r="G12" i="8" s="1"/>
  <c r="G13" i="8" s="1"/>
  <c r="B18" i="8"/>
</calcChain>
</file>

<file path=xl/sharedStrings.xml><?xml version="1.0" encoding="utf-8"?>
<sst xmlns="http://schemas.openxmlformats.org/spreadsheetml/2006/main" count="645" uniqueCount="310">
  <si>
    <t>HORÁRIO</t>
  </si>
  <si>
    <t>MOTOS</t>
  </si>
  <si>
    <t>PNE</t>
  </si>
  <si>
    <t>CARROS</t>
  </si>
  <si>
    <t>HORAS DISPONÍVEIS</t>
  </si>
  <si>
    <t>SEMANA</t>
  </si>
  <si>
    <t>SABADO</t>
  </si>
  <si>
    <t>DIAS TRAB. SEMANA</t>
  </si>
  <si>
    <t>SABADOS TRABALHADO</t>
  </si>
  <si>
    <t>NÚMERO INICIAL DE VAGAS</t>
  </si>
  <si>
    <t>GASTOS INICIAIS</t>
  </si>
  <si>
    <t>INVESTIMENTO</t>
  </si>
  <si>
    <t>OPERAÇÃO</t>
  </si>
  <si>
    <t>TOTAL</t>
  </si>
  <si>
    <t>ESPECIFICAÇÃO</t>
  </si>
  <si>
    <t>UNID.</t>
  </si>
  <si>
    <t>TOTAL 1</t>
  </si>
  <si>
    <t>TOTAL 2</t>
  </si>
  <si>
    <t>PLANILHA DE CUSTOS</t>
  </si>
  <si>
    <t>PREÇO UNITÁRIO</t>
  </si>
  <si>
    <t>QUANTIDADE</t>
  </si>
  <si>
    <t>PARQUÍMETRO</t>
  </si>
  <si>
    <t>SEGURO DE PARQUÍMETRO</t>
  </si>
  <si>
    <t>CONTADOR DE MOEDAS</t>
  </si>
  <si>
    <t>INSTALAÇÃO DE CONJUNTOS PARQUIMETRO NAS VIAS</t>
  </si>
  <si>
    <t>BATERIA 12V RESERVA</t>
  </si>
  <si>
    <t>TABLET P/ LEITURA DE PARQUÍMETRO</t>
  </si>
  <si>
    <t>MANUTENÇÃO DE PARQUÍMETROS</t>
  </si>
  <si>
    <t>REPOSIÇÃO DIVERSA (BATERIA, PEDESTAL, SELETOR...)</t>
  </si>
  <si>
    <t>PÇ</t>
  </si>
  <si>
    <t>VB</t>
  </si>
  <si>
    <t>IMPRESSORA LASER COM WI-FI</t>
  </si>
  <si>
    <t>PLACA DE REGULAMENTAÇÃO</t>
  </si>
  <si>
    <t>POSTE GALVANIZADO + TRAVESSA + PORCAS+ ARRUELAS</t>
  </si>
  <si>
    <t>CJ</t>
  </si>
  <si>
    <t>INSTALAÇÃO PLACA E POSTE</t>
  </si>
  <si>
    <t>PINTURA DE VAGA  A FRIO</t>
  </si>
  <si>
    <t>PINTURA DE VAGA  A FRIO - LEGENDA IDOSO</t>
  </si>
  <si>
    <t>PINTURA DE VAGA  A FRIO - LEGENDA PNE</t>
  </si>
  <si>
    <t>PINTURA DE VAGA  A FRIO - LEGENDA CARGA E DESCARGA</t>
  </si>
  <si>
    <t>MESA PARA GERENCIA</t>
  </si>
  <si>
    <t>MESA PARA AUXILIAR ADMINISTRATIVOS</t>
  </si>
  <si>
    <t>MESA PARA SUPERVISÃO</t>
  </si>
  <si>
    <t>MESA DE REUNIÃO</t>
  </si>
  <si>
    <t>CADEIRA GIRATÓRIA</t>
  </si>
  <si>
    <t>CADEIRA FIXA SEM BRAÇO</t>
  </si>
  <si>
    <t>MESA PARA COMPUTADORES</t>
  </si>
  <si>
    <t>ARQUIVO 4 GAVETAS</t>
  </si>
  <si>
    <t>ARMÁRIO DE AÇO 2 PORTAS</t>
  </si>
  <si>
    <t>ESTANTE METÁLICA</t>
  </si>
  <si>
    <t>BALCÃO DE ATENDIMENTO</t>
  </si>
  <si>
    <t>ARMÁRIO DE AÇO 16 PORTAS</t>
  </si>
  <si>
    <t>CENTRAL TELEFONICA</t>
  </si>
  <si>
    <t>GELADEIRA</t>
  </si>
  <si>
    <t>MICROONDAS</t>
  </si>
  <si>
    <t>BEBEDOURO</t>
  </si>
  <si>
    <t>PIA</t>
  </si>
  <si>
    <t>APARELHO DE TELEFONE</t>
  </si>
  <si>
    <t>ADSL</t>
  </si>
  <si>
    <t>RELÓGIO PONTO</t>
  </si>
  <si>
    <t>MÃO DE OBRA/INSTALAÇÃO DE EQUIPAMENTOS</t>
  </si>
  <si>
    <t>ADAPTAÇÃO DO IMÓVEL</t>
  </si>
  <si>
    <t>MANUTENÇÃO</t>
  </si>
  <si>
    <t>LICENÇA DO SOFTWARE</t>
  </si>
  <si>
    <t>PDA - PERSONAL DIGITAL ASSISTENT / SMARTPHONE</t>
  </si>
  <si>
    <t>IMPRESSORA PORTÁTIL</t>
  </si>
  <si>
    <t>IMPLANTAÇÃO DO SISTEMA COM TREINAMENTO</t>
  </si>
  <si>
    <t>MENSALIDADE LICENÇA DE SOFTWARE</t>
  </si>
  <si>
    <t>BATERIA AUXILIAR PARA PDA</t>
  </si>
  <si>
    <t>PAINEL PARA RECARGA DE BATERIAS / IMPRESSORAS</t>
  </si>
  <si>
    <t>MEDIÇÃO DE SINAL - TELEFONE MÓVEL</t>
  </si>
  <si>
    <t>TELEFONE MÓVEL - PLANO 3G/4G</t>
  </si>
  <si>
    <t>LICENÇA DE SOFTWARE EMBARCADO</t>
  </si>
  <si>
    <t>CONSUMÍVEIS</t>
  </si>
  <si>
    <t>TELEFONE MÓVEL - PLANO GPRS/3G/4G</t>
  </si>
  <si>
    <t>PASSAGEM AÉREA</t>
  </si>
  <si>
    <t>VEÍCULO UTILITÁRIO</t>
  </si>
  <si>
    <t>KM/ROD</t>
  </si>
  <si>
    <t>HOSPEDAGEM</t>
  </si>
  <si>
    <t>DIÁRIA</t>
  </si>
  <si>
    <t>ALIMENTAÇÃO</t>
  </si>
  <si>
    <t>TRANSPORTE, HOSPEDAGEM E ALIMENTAÇÃO PARA OPERACIONALIZAÇÃO</t>
  </si>
  <si>
    <t>INSTALAÇÃO CÂMERAS</t>
  </si>
  <si>
    <t>CARTAZ PARA DIVULGAÇÃO</t>
  </si>
  <si>
    <t>PANFLETO PARA DIVULGAÇÃO</t>
  </si>
  <si>
    <t>LOCAÇÃO DE IMÓVEL</t>
  </si>
  <si>
    <t>SEGURANÇA E VIGILÂNCIA</t>
  </si>
  <si>
    <t>SEGURO DE VIDA FUNCIONÁRIOS</t>
  </si>
  <si>
    <t>LUZ/ÁGUA</t>
  </si>
  <si>
    <t>HONORÁRIOS CONTÁBEIS</t>
  </si>
  <si>
    <t>FOTOCÓPIAS</t>
  </si>
  <si>
    <t>COMPUTAÇÃO GRÁFICA</t>
  </si>
  <si>
    <t>MANUTENÇÃO DE EQUIPAMENTOS DE INFORMÁTICA</t>
  </si>
  <si>
    <t>INTERNET</t>
  </si>
  <si>
    <t>BOBINA PAPEL TÉRMICO - AVISO/RECIBO</t>
  </si>
  <si>
    <t>BOBINA PAPEL TÉRMICO - PARQUÍMETRO</t>
  </si>
  <si>
    <t>TONEL DE HP</t>
  </si>
  <si>
    <t>CRACHÁ DE IDENTIFICAÇÃO</t>
  </si>
  <si>
    <t>MATERIAIS DIVERSOS DE EXPEDIENTE</t>
  </si>
  <si>
    <t>MATERIAIS DIVERSOS DE LIMPEZA</t>
  </si>
  <si>
    <t>SMART CARD</t>
  </si>
  <si>
    <t>HONORÁRIOS PROFISSIONAIS - TÉCNICOS</t>
  </si>
  <si>
    <t>HORA</t>
  </si>
  <si>
    <t>HONORÁRIOS PSICÓLOGO</t>
  </si>
  <si>
    <t>MATERIAIS DIDÁTICOS</t>
  </si>
  <si>
    <t>INSTALAÇÕES/EQUIPAMENTOS</t>
  </si>
  <si>
    <t>HONORÁRIOS PROFISSIONAIS</t>
  </si>
  <si>
    <t>TRANSPORTE</t>
  </si>
  <si>
    <t>HOSPEDAGENS</t>
  </si>
  <si>
    <t>GERENTE</t>
  </si>
  <si>
    <t>ENGENHEIRO RESPONSÁVEL TÉCNICO</t>
  </si>
  <si>
    <t>COORDENADORES</t>
  </si>
  <si>
    <t>AUXILIAR ADMINISTRATIVO</t>
  </si>
  <si>
    <t>SUPERVISORA - TURNO DE 8 HORAS</t>
  </si>
  <si>
    <t>ORIENTADORA - TURNO DE 8 HORAS</t>
  </si>
  <si>
    <t>ASSISTENTE DE MANUTENÇÃO DE PARQUÍMETRO/LEITURA</t>
  </si>
  <si>
    <t>AUXILIAR DE MANUTENÇÃO DE SINALIZAÇAO</t>
  </si>
  <si>
    <t>AUXILIAR DE SERVIÇOS GERAIS</t>
  </si>
  <si>
    <t>QUANT.</t>
  </si>
  <si>
    <t>SALÁRIO</t>
  </si>
  <si>
    <t>ENC. SOCIAIS</t>
  </si>
  <si>
    <t>QUANT./MÊS</t>
  </si>
  <si>
    <t>Nº FUNC.</t>
  </si>
  <si>
    <t>UNIT.</t>
  </si>
  <si>
    <t>JAQUETAS</t>
  </si>
  <si>
    <t>CALÇA</t>
  </si>
  <si>
    <t>CONJUNTO IMPERMEÁVEL</t>
  </si>
  <si>
    <t>CAMISA MANGA CURTA</t>
  </si>
  <si>
    <t>CAMISA MANGA LONGA</t>
  </si>
  <si>
    <t>CALÇADO</t>
  </si>
  <si>
    <t>BOLSA IMPERMEÁVEL</t>
  </si>
  <si>
    <t>BONÉ</t>
  </si>
  <si>
    <t>GUARDA CHUVA</t>
  </si>
  <si>
    <t>PÇ/FUNC.</t>
  </si>
  <si>
    <t>RÁDIO</t>
  </si>
  <si>
    <t>JORNAL</t>
  </si>
  <si>
    <t>CUSTO DE IMPLANTAÇÃO</t>
  </si>
  <si>
    <t>VAGA</t>
  </si>
  <si>
    <t>DIAS</t>
  </si>
  <si>
    <t>HORAS</t>
  </si>
  <si>
    <t>HORAS EFETIVAS</t>
  </si>
  <si>
    <t>UTILIZAÇÃO</t>
  </si>
  <si>
    <t>VALOR UNITÁRIO</t>
  </si>
  <si>
    <t>SERVIÇOS</t>
  </si>
  <si>
    <t>DISTRIBUIÇÃO</t>
  </si>
  <si>
    <t>BASE</t>
  </si>
  <si>
    <t>VALOR</t>
  </si>
  <si>
    <t>ALÍQUOTA</t>
  </si>
  <si>
    <t>CUSTO/MÊS</t>
  </si>
  <si>
    <t>ISS</t>
  </si>
  <si>
    <t>COFINS</t>
  </si>
  <si>
    <t>CONTRIBUIÇÃO SOCIAL - LUCRO PRESUMIDO</t>
  </si>
  <si>
    <t>PIS</t>
  </si>
  <si>
    <t>IRPJ - LUCRO PRESUMIDO</t>
  </si>
  <si>
    <t>EQUIPAMENTOS DE INFORMÁTICA E USO GERAL</t>
  </si>
  <si>
    <t>SINALIZAÇÃO REGULAMENTADORA</t>
  </si>
  <si>
    <t>EQUIPAMENTOS E MATERIAIS DE ESCRITÓRIO</t>
  </si>
  <si>
    <t>SISTEMAS DE FISCALIZAÇÃO ON-LINE</t>
  </si>
  <si>
    <t>TECNOLOGIA</t>
  </si>
  <si>
    <t>CUSTOS COM A CENTRAL DE ATENDIMENTO</t>
  </si>
  <si>
    <t>MATERIAL DE CONSUMO</t>
  </si>
  <si>
    <t>RECRUTAMENTO E SELEÇÃO</t>
  </si>
  <si>
    <t>TREINAMENTO</t>
  </si>
  <si>
    <t>SALÁRIOS + ENCARGOS</t>
  </si>
  <si>
    <t>VALE TRANSPORTE</t>
  </si>
  <si>
    <t>UNIFORMES</t>
  </si>
  <si>
    <t>ÓRGÃOS DE COMUNICAÇÃO</t>
  </si>
  <si>
    <t>COMISSÃO DE VENDAS (POSTOS DE VENDA)</t>
  </si>
  <si>
    <t>TAXA DE ADMINISTRAÇÃO</t>
  </si>
  <si>
    <t>REMUNERAÇÃO À PREFEITURA</t>
  </si>
  <si>
    <t>IMPOSTOS E CONTRIBUIÇÕES</t>
  </si>
  <si>
    <t>TAXA DE RESPEITO</t>
  </si>
  <si>
    <t>m²</t>
  </si>
  <si>
    <t>MÊS</t>
  </si>
  <si>
    <t>TERMINAL POS - PONTO DE VENDA PDV</t>
  </si>
  <si>
    <t>VALOR FATURADO MÊS</t>
  </si>
  <si>
    <t>PERCENTUAL</t>
  </si>
  <si>
    <t>MESA DE MADEIRA 10 LUGARES C/ CADEIRA OU BANCO</t>
  </si>
  <si>
    <t xml:space="preserve">CONDICIONADOR DE AR </t>
  </si>
  <si>
    <t>TIR - TAXA INTERNA DE RETORNO</t>
  </si>
  <si>
    <t>TIR</t>
  </si>
  <si>
    <t>VPL</t>
  </si>
  <si>
    <t>FLUXO DE CAIXA</t>
  </si>
  <si>
    <t>FLUXO DESCONTADO</t>
  </si>
  <si>
    <t>ANO</t>
  </si>
  <si>
    <t>anos</t>
  </si>
  <si>
    <t>PAYBACK COMPENSADO</t>
  </si>
  <si>
    <t>+</t>
  </si>
  <si>
    <t>RETORNO CAPITAL INVESTIDO</t>
  </si>
  <si>
    <t>OPERAÇÃO/MÊS HORAS</t>
  </si>
  <si>
    <t>DISTRIBUIÇÃO E ATENDIMENTO</t>
  </si>
  <si>
    <t>ASSISTENTE ADMINISTRATIVO</t>
  </si>
  <si>
    <t>COMPUTADOR I5, 8GB RAM, HD 1TB</t>
  </si>
  <si>
    <t>ORIENTADORA</t>
  </si>
  <si>
    <t>1 - Encargos sociais é composto por previdência social(20%)salário educação(2,5%)Sesc/Sesi(1,5%)Senac/Senai(1%)Sebrae(0,60%)Incra(0,20%)RAT -Seguro acidente de trabalho(2%)FGTS(8%) = 35,80%</t>
  </si>
  <si>
    <t>2 - Encargos trabalhistas é composto 13° salário e 1/3 sob férias (11,13%) , Provisão para rescisão (5,008%) , Custo para reposição de profissional ausente ( 15,03%) = 31,17%</t>
  </si>
  <si>
    <t>ENCARGOS</t>
  </si>
  <si>
    <t>ENCARGOS SOCIAIS E TRABALHISTAS</t>
  </si>
  <si>
    <t>Proporção p/ Vaga</t>
  </si>
  <si>
    <t>C&amp;D</t>
  </si>
  <si>
    <t>QTD de vagas</t>
  </si>
  <si>
    <t>Sin. Vertical(Un)</t>
  </si>
  <si>
    <t>Sin. Horizontal(m2)</t>
  </si>
  <si>
    <t>Tipo de Vaga</t>
  </si>
  <si>
    <t>Total</t>
  </si>
  <si>
    <t>PINTURA DE VAGA  A FRIO - P/ VAGA RÁPIDA + OFICIAL + EMB/DES</t>
  </si>
  <si>
    <t>Ráp+Ofic+E&amp;D</t>
  </si>
  <si>
    <t>CONSTITUIÇÃO EMPRESA NA CIDADE - JUNTA COMERCIAL</t>
  </si>
  <si>
    <t>VALE ALIMENTAÇÃO</t>
  </si>
  <si>
    <t>Obs: 40% de comissão para pontos de venda, considerando que terá outras formas de venda do crédito, via aplicativo e parquímetro.</t>
  </si>
  <si>
    <t>CONFIGURAÇÃO E ENTREGA TÉCNICA</t>
  </si>
  <si>
    <t>DO TOTAL DESCONTA 6% EM FOLHA DO FUNCIONÁRIO REFERENTE AO VALE TRÂNSPORTE, VALE ALIMENTAÇÃO DE ACORDO COM POLÍTICA DA CONCESSIONÁRIA</t>
  </si>
  <si>
    <t>RECEITA</t>
  </si>
  <si>
    <t>RECEITA PREVISTA - ARRECADAÇÃO</t>
  </si>
  <si>
    <t>TOTAL DA ARRECADAÇÃO PREVISTA</t>
  </si>
  <si>
    <t>2.1 INVESTIMENTOS OPERACIONAIS</t>
  </si>
  <si>
    <t>2.1.1 TECNOLOGIA</t>
  </si>
  <si>
    <t>2.1.2 EQUIPAMENTOS DE INFORMÁTICA E DE USO GERAL</t>
  </si>
  <si>
    <t>2.1.3 SINALIZAÇÃO REGULAMENTADORA</t>
  </si>
  <si>
    <t>2.1.4 EQUIPAMENTO E MATERIAL DE ESCRITÓRIO</t>
  </si>
  <si>
    <t>2.1.5 SISTEMA DE FISCALIZAÇÃO ON-LINE</t>
  </si>
  <si>
    <t>2.1.6 SISTEMA DE POSTOS DE VENDA - PDV´s</t>
  </si>
  <si>
    <t>2.2 TRANSPORTE, HOSPEDAGEM E ALIMENTAÇÃO PARA IMPLANTAÇÃO</t>
  </si>
  <si>
    <t>2.3 LANÇAMENTO E OPERACIONALIZAÇÃO</t>
  </si>
  <si>
    <t>2.3.1 CUSTOS COM CENTRAL DE ATENDIMENTO</t>
  </si>
  <si>
    <t>2.4 MATERIAL DE CONSUMO</t>
  </si>
  <si>
    <t>2.5 MÃO DE OBRA</t>
  </si>
  <si>
    <t>2.5.1 RECRUTAMENTO E SELEÇÃO</t>
  </si>
  <si>
    <t>2.5.2 TREINAMENTO</t>
  </si>
  <si>
    <t>2.5.3 SALARIOS + ENCARGOS</t>
  </si>
  <si>
    <t>2.5.4 VALE TRANSPORTE + ALIMENTAÇÃO</t>
  </si>
  <si>
    <t>2.5.5 UNIFORMES</t>
  </si>
  <si>
    <t>2.6 MÍDIA</t>
  </si>
  <si>
    <t>DESPESA OPERACIONAL</t>
  </si>
  <si>
    <t>6 BASE DE CÁLCULO DO PREÇO PÚBLICO - ESTACIONAMENTO ROTATIVO CONTROLADO</t>
  </si>
  <si>
    <t>6.1 REMUNERAÇÃO À PREFEITURA</t>
  </si>
  <si>
    <t xml:space="preserve">6.2 CUSTO OPERACIONAL </t>
  </si>
  <si>
    <t>6.3 COMISSÃO DE VENDAS (PONTOS DE VENDA)</t>
  </si>
  <si>
    <t>6.4 TAXA DE ADMINISTRAÇÃO</t>
  </si>
  <si>
    <t>6.5 TOTAL DE CUSTEIO</t>
  </si>
  <si>
    <t>6.6 IMPOSTOS E CONTRIBUIÇÕES</t>
  </si>
  <si>
    <t>6.7 CUSTO OPERACIONAL</t>
  </si>
  <si>
    <t xml:space="preserve">7. QUADRO RESUMO DAS DESPESAS </t>
  </si>
  <si>
    <t>2. INVESTIMENTOS E DESPESAS</t>
  </si>
  <si>
    <t>SISTEMA DE ESTACIONAMENTO ROTATIVO CONTROLADO</t>
  </si>
  <si>
    <t>Meses</t>
  </si>
  <si>
    <t>ANO 0 - SOMENTE INVESTIMENTO CONSIDERADO O TOTAL</t>
  </si>
  <si>
    <t>ANO 1 ATÉ 10 - RETORNO FINACEIRO DA TAXA DE ADMINISTRAÇÃO</t>
  </si>
  <si>
    <t>TAXA OCUP.</t>
  </si>
  <si>
    <t>1. DISTRIBUIÇÃO</t>
  </si>
  <si>
    <t>Vagas p/ Par.</t>
  </si>
  <si>
    <t>Vagas p/ Mon.</t>
  </si>
  <si>
    <t>Vagas p/ PDV</t>
  </si>
  <si>
    <r>
      <t>m</t>
    </r>
    <r>
      <rPr>
        <vertAlign val="superscript"/>
        <sz val="11"/>
        <color theme="1"/>
        <rFont val="Arial"/>
        <family val="2"/>
      </rPr>
      <t>2</t>
    </r>
  </si>
  <si>
    <t>Idoso (pago)</t>
  </si>
  <si>
    <t>Carro (pago)</t>
  </si>
  <si>
    <t>PREVISÃO DE FATURAMENTO DO SISTEMA DE ESTACIONAMENTO ROTATIVO PAGO</t>
  </si>
  <si>
    <t>TEMPO DE PERMANÊNCIA</t>
  </si>
  <si>
    <t>30 MINUTOS</t>
  </si>
  <si>
    <t>60 MINUTOS</t>
  </si>
  <si>
    <t>90 MINUTOS</t>
  </si>
  <si>
    <t>120 MINUTOS</t>
  </si>
  <si>
    <t>VALOR DA TARIFA</t>
  </si>
  <si>
    <t>FATURAMENTO TOTAL CARROS</t>
  </si>
  <si>
    <t>FATURAMENTO TOTAL MOTOS</t>
  </si>
  <si>
    <t>ARRECADAÇÃO TOTAL</t>
  </si>
  <si>
    <t>Moto(bolsão)</t>
  </si>
  <si>
    <t>MENSALIDADE TECNOLOGIA OCR EMBARCADO</t>
  </si>
  <si>
    <t>6.8 VIABILIDADE OPERACIONAL</t>
  </si>
  <si>
    <t>MANUTENÇÃO DA SINALIZAÇÃO VERTICAL 1% AO MÊS</t>
  </si>
  <si>
    <t>SENSOR DE VAGA COM COMUNICAÇÃO 10% VAGAS CARRO</t>
  </si>
  <si>
    <t>CARRO ATÉ 2 ANOS DE USO</t>
  </si>
  <si>
    <t>6.3 TAXA CARTÃO DE CRÉDITO/DÉBITO</t>
  </si>
  <si>
    <t>Obs: 60% das operações transacionadas via cartão de crédito/débito</t>
  </si>
  <si>
    <t xml:space="preserve">ESTIMATIVA DE ARRECADAÇÃO </t>
  </si>
  <si>
    <t>ITEM</t>
  </si>
  <si>
    <t>ANO 1</t>
  </si>
  <si>
    <t>ANO 2</t>
  </si>
  <si>
    <t>ANO 3</t>
  </si>
  <si>
    <t>ANO 4</t>
  </si>
  <si>
    <t>ANO 5</t>
  </si>
  <si>
    <t>ANO 6</t>
  </si>
  <si>
    <t>ANO 7</t>
  </si>
  <si>
    <t>ANO 8</t>
  </si>
  <si>
    <t>ANO 9</t>
  </si>
  <si>
    <t>ANO 10</t>
  </si>
  <si>
    <t>2.1 - TECNOLOGIA</t>
  </si>
  <si>
    <t>2.1.2 - EQUIP. INFORMÁTICA</t>
  </si>
  <si>
    <t>2.1.4 - MATERIAL DE ESCRITÓRIO</t>
  </si>
  <si>
    <t>2.1.3 - SINALIZAÇÃO</t>
  </si>
  <si>
    <t>2.1.5 - SISTEMA DE FISCALIZAÇÃO ON-LINE</t>
  </si>
  <si>
    <t>2.1.6 -SISTEMA DE POSTOS DE VENDA - PDV</t>
  </si>
  <si>
    <t>COMPOSIÇÃO DE INVESTIMENTO E CRONOGRAMA DE REINVESTIMENTOS/DEPRECIAÇÃO</t>
  </si>
  <si>
    <t>SUB-TOTAL</t>
  </si>
  <si>
    <t>Equipamentos com previsão de vida útil 10 anos, com devidas manuteções preventivas e corretivas.</t>
  </si>
  <si>
    <t>Equipamentos com previsão de vida útil 5 anos.</t>
  </si>
  <si>
    <t>Custo de reposição/manutenção inclusos nas despesas mensais.</t>
  </si>
  <si>
    <t>Previsão de troca do carro de fiscalização em até 5 anos de uso.</t>
  </si>
  <si>
    <t>Previsão de troca dos PDA´s dos monitores a cada 3 anos, no mínimo 3 trocas em 10 anos. Previsão de troca das impressoras a cada 5 anos.</t>
  </si>
  <si>
    <t>Previsão de troca dos equipamentos PDV a cada 5 anos.</t>
  </si>
  <si>
    <t>NO RETORNO DO CAPITAL INVESTIDO É ACRESCIDO A REPOSIÇÃO PREVISTA NA PLANILHA DE DEPRECIAÇÃO</t>
  </si>
  <si>
    <t>QUEBRA DE CAIXA (10% SOBRE SALARIO DO ORIENTADOR)</t>
  </si>
  <si>
    <t>08:00-12:00</t>
  </si>
  <si>
    <t>13:00-18:00</t>
  </si>
  <si>
    <t>MÍDIAS DIGITAIS</t>
  </si>
  <si>
    <t>MANUTENÇÃO DA SINALIZAÇÃO HORIZONTAL 6% AO MÊS</t>
  </si>
  <si>
    <t>2.7 OUTORGA ANTECIPADA</t>
  </si>
  <si>
    <t>OUTORGA ANTECIPADA</t>
  </si>
  <si>
    <t>SUPERVISOR</t>
  </si>
  <si>
    <t>TAXA DESCONTO (I) (SELIC 06/2024)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</si>
</sst>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[$-F400]h:mm:ss\ AM/PM"/>
    <numFmt numFmtId="166" formatCode="0.0%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i/>
      <sz val="12"/>
      <color theme="1"/>
      <name val="Arial"/>
      <family val="2"/>
    </font>
    <font>
      <sz val="14"/>
      <color theme="0"/>
      <name val="Arial"/>
      <family val="2"/>
    </font>
    <font>
      <i/>
      <sz val="12"/>
      <color theme="0"/>
      <name val="Arial"/>
      <family val="2"/>
    </font>
    <font>
      <sz val="11"/>
      <color theme="5"/>
      <name val="Arial"/>
      <family val="2"/>
    </font>
    <font>
      <sz val="12"/>
      <color theme="5"/>
      <name val="Arial"/>
      <family val="2"/>
    </font>
    <font>
      <b/>
      <sz val="12"/>
      <color rgb="FFFF0000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Arial"/>
      <family val="2"/>
    </font>
    <font>
      <sz val="11"/>
      <name val="Arial"/>
      <family val="2"/>
    </font>
    <font>
      <sz val="11"/>
      <color indexed="8"/>
      <name val="Arial"/>
      <family val="2"/>
      <charset val="1"/>
    </font>
    <font>
      <i/>
      <sz val="11"/>
      <color theme="1"/>
      <name val="Arial"/>
      <family val="2"/>
    </font>
    <font>
      <b/>
      <i/>
      <sz val="11"/>
      <color theme="1"/>
      <name val="Arial"/>
      <family val="2"/>
    </font>
    <font>
      <sz val="8"/>
      <name val="Calibri"/>
      <family val="2"/>
      <scheme val="minor"/>
    </font>
    <font>
      <vertAlign val="superscript"/>
      <sz val="11"/>
      <color theme="1"/>
      <name val="Arial"/>
      <family val="2"/>
    </font>
    <font>
      <b/>
      <sz val="12"/>
      <color theme="1"/>
      <name val="Arial"/>
      <family val="2"/>
    </font>
    <font>
      <i/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357">
    <xf numFmtId="0" fontId="0" fillId="0" borderId="0" xfId="0"/>
    <xf numFmtId="0" fontId="0" fillId="3" borderId="20" xfId="0" applyFill="1" applyBorder="1"/>
    <xf numFmtId="0" fontId="0" fillId="3" borderId="25" xfId="0" applyFill="1" applyBorder="1"/>
    <xf numFmtId="0" fontId="0" fillId="4" borderId="14" xfId="0" applyFill="1" applyBorder="1"/>
    <xf numFmtId="0" fontId="3" fillId="0" borderId="0" xfId="0" applyFont="1"/>
    <xf numFmtId="0" fontId="7" fillId="0" borderId="0" xfId="0" applyFont="1"/>
    <xf numFmtId="164" fontId="8" fillId="0" borderId="0" xfId="0" applyNumberFormat="1" applyFont="1"/>
    <xf numFmtId="0" fontId="10" fillId="0" borderId="0" xfId="0" applyFont="1"/>
    <xf numFmtId="0" fontId="12" fillId="0" borderId="0" xfId="0" applyFont="1"/>
    <xf numFmtId="0" fontId="12" fillId="8" borderId="12" xfId="0" applyFont="1" applyFill="1" applyBorder="1"/>
    <xf numFmtId="0" fontId="12" fillId="8" borderId="13" xfId="0" applyFont="1" applyFill="1" applyBorder="1"/>
    <xf numFmtId="44" fontId="12" fillId="8" borderId="14" xfId="1" applyFont="1" applyFill="1" applyBorder="1"/>
    <xf numFmtId="0" fontId="11" fillId="8" borderId="12" xfId="0" applyFont="1" applyFill="1" applyBorder="1" applyAlignment="1">
      <alignment horizontal="center"/>
    </xf>
    <xf numFmtId="0" fontId="13" fillId="0" borderId="0" xfId="0" applyFont="1"/>
    <xf numFmtId="0" fontId="10" fillId="11" borderId="1" xfId="0" applyFont="1" applyFill="1" applyBorder="1"/>
    <xf numFmtId="0" fontId="10" fillId="11" borderId="2" xfId="0" applyFont="1" applyFill="1" applyBorder="1"/>
    <xf numFmtId="44" fontId="10" fillId="11" borderId="30" xfId="1" applyFont="1" applyFill="1" applyBorder="1"/>
    <xf numFmtId="0" fontId="10" fillId="8" borderId="5" xfId="0" applyFont="1" applyFill="1" applyBorder="1" applyAlignment="1">
      <alignment horizontal="center"/>
    </xf>
    <xf numFmtId="0" fontId="0" fillId="0" borderId="0" xfId="0" applyAlignment="1">
      <alignment wrapText="1"/>
    </xf>
    <xf numFmtId="44" fontId="12" fillId="0" borderId="30" xfId="1" applyFont="1" applyBorder="1"/>
    <xf numFmtId="0" fontId="12" fillId="0" borderId="0" xfId="0" applyFont="1" applyAlignment="1">
      <alignment horizontal="left"/>
    </xf>
    <xf numFmtId="9" fontId="12" fillId="0" borderId="0" xfId="0" applyNumberFormat="1" applyFont="1"/>
    <xf numFmtId="44" fontId="12" fillId="0" borderId="0" xfId="1" applyFont="1" applyBorder="1"/>
    <xf numFmtId="0" fontId="11" fillId="0" borderId="34" xfId="0" applyFont="1" applyBorder="1" applyAlignment="1">
      <alignment horizontal="center"/>
    </xf>
    <xf numFmtId="10" fontId="12" fillId="0" borderId="6" xfId="2" applyNumberFormat="1" applyFont="1" applyBorder="1"/>
    <xf numFmtId="0" fontId="11" fillId="0" borderId="36" xfId="0" applyFont="1" applyBorder="1" applyAlignment="1">
      <alignment horizontal="center"/>
    </xf>
    <xf numFmtId="44" fontId="0" fillId="0" borderId="0" xfId="0" applyNumberFormat="1"/>
    <xf numFmtId="44" fontId="0" fillId="8" borderId="6" xfId="1" applyFont="1" applyFill="1" applyBorder="1"/>
    <xf numFmtId="44" fontId="0" fillId="0" borderId="6" xfId="1" applyFont="1" applyBorder="1"/>
    <xf numFmtId="9" fontId="12" fillId="8" borderId="6" xfId="2" applyFont="1" applyFill="1" applyBorder="1" applyAlignment="1">
      <alignment horizontal="center"/>
    </xf>
    <xf numFmtId="9" fontId="12" fillId="0" borderId="30" xfId="0" applyNumberFormat="1" applyFont="1" applyBorder="1"/>
    <xf numFmtId="44" fontId="12" fillId="0" borderId="22" xfId="0" applyNumberFormat="1" applyFont="1" applyBorder="1"/>
    <xf numFmtId="44" fontId="0" fillId="0" borderId="3" xfId="0" applyNumberFormat="1" applyBorder="1"/>
    <xf numFmtId="10" fontId="1" fillId="0" borderId="30" xfId="0" applyNumberFormat="1" applyFont="1" applyBorder="1"/>
    <xf numFmtId="44" fontId="12" fillId="0" borderId="0" xfId="0" applyNumberFormat="1" applyFont="1"/>
    <xf numFmtId="0" fontId="12" fillId="0" borderId="40" xfId="0" applyFont="1" applyBorder="1" applyAlignment="1">
      <alignment horizontal="center"/>
    </xf>
    <xf numFmtId="0" fontId="12" fillId="0" borderId="38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9" fontId="11" fillId="0" borderId="9" xfId="2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9" fontId="12" fillId="0" borderId="9" xfId="2" applyFont="1" applyBorder="1" applyAlignment="1">
      <alignment horizontal="center" vertical="center"/>
    </xf>
    <xf numFmtId="43" fontId="0" fillId="8" borderId="6" xfId="3" applyFont="1" applyFill="1" applyBorder="1"/>
    <xf numFmtId="0" fontId="16" fillId="0" borderId="0" xfId="0" applyFont="1"/>
    <xf numFmtId="44" fontId="12" fillId="0" borderId="33" xfId="1" applyFont="1" applyBorder="1"/>
    <xf numFmtId="44" fontId="12" fillId="0" borderId="14" xfId="1" applyFont="1" applyBorder="1"/>
    <xf numFmtId="43" fontId="12" fillId="0" borderId="0" xfId="3" applyFont="1" applyBorder="1" applyAlignment="1">
      <alignment horizontal="center" vertical="center"/>
    </xf>
    <xf numFmtId="165" fontId="0" fillId="0" borderId="23" xfId="0" applyNumberFormat="1" applyBorder="1" applyAlignment="1">
      <alignment horizontal="right"/>
    </xf>
    <xf numFmtId="165" fontId="0" fillId="0" borderId="24" xfId="0" applyNumberFormat="1" applyBorder="1" applyAlignment="1">
      <alignment horizontal="right"/>
    </xf>
    <xf numFmtId="0" fontId="0" fillId="2" borderId="24" xfId="0" applyFill="1" applyBorder="1" applyAlignment="1">
      <alignment horizontal="right"/>
    </xf>
    <xf numFmtId="0" fontId="0" fillId="2" borderId="25" xfId="0" applyFill="1" applyBorder="1" applyAlignment="1">
      <alignment horizontal="right"/>
    </xf>
    <xf numFmtId="8" fontId="3" fillId="0" borderId="6" xfId="0" applyNumberFormat="1" applyFont="1" applyBorder="1" applyAlignment="1">
      <alignment horizontal="center"/>
    </xf>
    <xf numFmtId="44" fontId="3" fillId="0" borderId="0" xfId="1" applyFont="1"/>
    <xf numFmtId="9" fontId="3" fillId="0" borderId="0" xfId="2" applyFont="1"/>
    <xf numFmtId="0" fontId="3" fillId="12" borderId="21" xfId="0" applyFont="1" applyFill="1" applyBorder="1" applyAlignment="1">
      <alignment horizontal="left"/>
    </xf>
    <xf numFmtId="10" fontId="3" fillId="0" borderId="6" xfId="0" applyNumberFormat="1" applyFont="1" applyBorder="1" applyAlignment="1">
      <alignment horizontal="right"/>
    </xf>
    <xf numFmtId="0" fontId="3" fillId="0" borderId="22" xfId="0" applyFont="1" applyBorder="1" applyAlignment="1">
      <alignment horizontal="right"/>
    </xf>
    <xf numFmtId="9" fontId="3" fillId="0" borderId="0" xfId="0" applyNumberFormat="1" applyFont="1"/>
    <xf numFmtId="44" fontId="3" fillId="0" borderId="6" xfId="0" applyNumberFormat="1" applyFont="1" applyBorder="1" applyAlignment="1">
      <alignment horizontal="right"/>
    </xf>
    <xf numFmtId="0" fontId="3" fillId="6" borderId="18" xfId="0" applyFont="1" applyFill="1" applyBorder="1"/>
    <xf numFmtId="0" fontId="18" fillId="0" borderId="0" xfId="0" applyFont="1"/>
    <xf numFmtId="0" fontId="3" fillId="0" borderId="6" xfId="0" applyFont="1" applyBorder="1"/>
    <xf numFmtId="0" fontId="3" fillId="6" borderId="6" xfId="0" applyFont="1" applyFill="1" applyBorder="1"/>
    <xf numFmtId="0" fontId="3" fillId="6" borderId="24" xfId="0" applyFont="1" applyFill="1" applyBorder="1"/>
    <xf numFmtId="0" fontId="3" fillId="6" borderId="45" xfId="0" applyFont="1" applyFill="1" applyBorder="1"/>
    <xf numFmtId="0" fontId="20" fillId="0" borderId="0" xfId="0" applyFont="1" applyAlignment="1">
      <alignment horizontal="center"/>
    </xf>
    <xf numFmtId="0" fontId="18" fillId="0" borderId="6" xfId="0" applyFont="1" applyBorder="1"/>
    <xf numFmtId="0" fontId="3" fillId="6" borderId="19" xfId="0" applyFont="1" applyFill="1" applyBorder="1"/>
    <xf numFmtId="0" fontId="3" fillId="0" borderId="0" xfId="0" applyFont="1" applyAlignment="1">
      <alignment horizontal="center"/>
    </xf>
    <xf numFmtId="0" fontId="3" fillId="6" borderId="42" xfId="0" applyFont="1" applyFill="1" applyBorder="1"/>
    <xf numFmtId="0" fontId="3" fillId="6" borderId="46" xfId="0" applyFont="1" applyFill="1" applyBorder="1"/>
    <xf numFmtId="0" fontId="3" fillId="6" borderId="47" xfId="0" applyFont="1" applyFill="1" applyBorder="1"/>
    <xf numFmtId="0" fontId="3" fillId="6" borderId="28" xfId="0" applyFont="1" applyFill="1" applyBorder="1"/>
    <xf numFmtId="44" fontId="3" fillId="0" borderId="0" xfId="0" applyNumberFormat="1" applyFont="1" applyAlignment="1">
      <alignment horizontal="center"/>
    </xf>
    <xf numFmtId="8" fontId="3" fillId="0" borderId="0" xfId="0" applyNumberFormat="1" applyFont="1" applyAlignment="1">
      <alignment horizontal="center"/>
    </xf>
    <xf numFmtId="0" fontId="3" fillId="12" borderId="23" xfId="0" applyFont="1" applyFill="1" applyBorder="1" applyAlignment="1">
      <alignment horizontal="left"/>
    </xf>
    <xf numFmtId="2" fontId="3" fillId="13" borderId="24" xfId="0" applyNumberFormat="1" applyFont="1" applyFill="1" applyBorder="1" applyAlignment="1">
      <alignment horizontal="right"/>
    </xf>
    <xf numFmtId="0" fontId="3" fillId="0" borderId="25" xfId="0" applyFont="1" applyBorder="1" applyAlignment="1">
      <alignment horizontal="right"/>
    </xf>
    <xf numFmtId="9" fontId="0" fillId="0" borderId="0" xfId="2" applyFont="1"/>
    <xf numFmtId="0" fontId="12" fillId="0" borderId="31" xfId="0" applyFont="1" applyBorder="1" applyAlignment="1">
      <alignment horizontal="left" vertical="center"/>
    </xf>
    <xf numFmtId="0" fontId="12" fillId="0" borderId="22" xfId="0" applyFont="1" applyBorder="1" applyAlignment="1">
      <alignment horizontal="center"/>
    </xf>
    <xf numFmtId="10" fontId="12" fillId="0" borderId="30" xfId="0" applyNumberFormat="1" applyFont="1" applyBorder="1"/>
    <xf numFmtId="44" fontId="3" fillId="0" borderId="0" xfId="1" applyFont="1" applyBorder="1"/>
    <xf numFmtId="9" fontId="3" fillId="0" borderId="0" xfId="2" applyFont="1" applyBorder="1"/>
    <xf numFmtId="44" fontId="3" fillId="0" borderId="6" xfId="1" applyFont="1" applyBorder="1" applyAlignment="1">
      <alignment horizontal="center"/>
    </xf>
    <xf numFmtId="0" fontId="21" fillId="6" borderId="30" xfId="0" applyFont="1" applyFill="1" applyBorder="1"/>
    <xf numFmtId="0" fontId="21" fillId="6" borderId="6" xfId="0" applyFont="1" applyFill="1" applyBorder="1" applyAlignment="1">
      <alignment horizontal="center"/>
    </xf>
    <xf numFmtId="0" fontId="21" fillId="6" borderId="6" xfId="0" applyFont="1" applyFill="1" applyBorder="1"/>
    <xf numFmtId="164" fontId="8" fillId="0" borderId="32" xfId="0" applyNumberFormat="1" applyFont="1" applyBorder="1" applyAlignment="1">
      <alignment horizontal="center"/>
    </xf>
    <xf numFmtId="0" fontId="12" fillId="0" borderId="13" xfId="0" applyFont="1" applyBorder="1"/>
    <xf numFmtId="0" fontId="12" fillId="0" borderId="10" xfId="0" applyFont="1" applyBorder="1"/>
    <xf numFmtId="0" fontId="12" fillId="0" borderId="11" xfId="0" applyFont="1" applyBorder="1"/>
    <xf numFmtId="0" fontId="0" fillId="0" borderId="10" xfId="0" applyBorder="1"/>
    <xf numFmtId="0" fontId="0" fillId="0" borderId="11" xfId="0" applyBorder="1"/>
    <xf numFmtId="0" fontId="5" fillId="9" borderId="10" xfId="0" applyFont="1" applyFill="1" applyBorder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3" fillId="0" borderId="10" xfId="0" applyFont="1" applyBorder="1"/>
    <xf numFmtId="0" fontId="11" fillId="0" borderId="22" xfId="0" applyFont="1" applyBorder="1" applyAlignment="1">
      <alignment horizontal="center"/>
    </xf>
    <xf numFmtId="0" fontId="12" fillId="0" borderId="10" xfId="0" applyFont="1" applyBorder="1" applyAlignment="1">
      <alignment horizontal="left" vertical="center"/>
    </xf>
    <xf numFmtId="0" fontId="0" fillId="0" borderId="21" xfId="0" applyBorder="1"/>
    <xf numFmtId="10" fontId="12" fillId="8" borderId="22" xfId="2" applyNumberFormat="1" applyFont="1" applyFill="1" applyBorder="1" applyAlignment="1">
      <alignment horizontal="center"/>
    </xf>
    <xf numFmtId="0" fontId="0" fillId="0" borderId="14" xfId="0" applyBorder="1"/>
    <xf numFmtId="0" fontId="12" fillId="0" borderId="10" xfId="0" applyFont="1" applyBorder="1" applyAlignment="1">
      <alignment horizontal="left"/>
    </xf>
    <xf numFmtId="44" fontId="12" fillId="0" borderId="11" xfId="1" applyFont="1" applyBorder="1"/>
    <xf numFmtId="0" fontId="12" fillId="0" borderId="0" xfId="0" applyFont="1" applyAlignment="1">
      <alignment horizontal="right"/>
    </xf>
    <xf numFmtId="44" fontId="12" fillId="0" borderId="11" xfId="0" applyNumberFormat="1" applyFont="1" applyBorder="1"/>
    <xf numFmtId="0" fontId="12" fillId="0" borderId="34" xfId="0" applyFont="1" applyBorder="1"/>
    <xf numFmtId="0" fontId="12" fillId="0" borderId="36" xfId="0" applyFont="1" applyBorder="1"/>
    <xf numFmtId="0" fontId="10" fillId="8" borderId="12" xfId="0" applyFont="1" applyFill="1" applyBorder="1" applyAlignment="1">
      <alignment horizontal="center"/>
    </xf>
    <xf numFmtId="0" fontId="10" fillId="8" borderId="18" xfId="0" applyFont="1" applyFill="1" applyBorder="1" applyAlignment="1">
      <alignment horizontal="center"/>
    </xf>
    <xf numFmtId="0" fontId="10" fillId="8" borderId="19" xfId="0" applyFont="1" applyFill="1" applyBorder="1" applyAlignment="1">
      <alignment horizontal="center"/>
    </xf>
    <xf numFmtId="0" fontId="10" fillId="8" borderId="20" xfId="0" applyFont="1" applyFill="1" applyBorder="1" applyAlignment="1">
      <alignment horizontal="center"/>
    </xf>
    <xf numFmtId="0" fontId="10" fillId="9" borderId="44" xfId="0" applyFont="1" applyFill="1" applyBorder="1" applyAlignment="1">
      <alignment horizontal="center"/>
    </xf>
    <xf numFmtId="0" fontId="10" fillId="8" borderId="41" xfId="0" applyFont="1" applyFill="1" applyBorder="1" applyAlignment="1">
      <alignment horizontal="center"/>
    </xf>
    <xf numFmtId="0" fontId="10" fillId="8" borderId="15" xfId="0" applyFont="1" applyFill="1" applyBorder="1" applyAlignment="1">
      <alignment horizontal="center"/>
    </xf>
    <xf numFmtId="0" fontId="10" fillId="8" borderId="17" xfId="0" applyFont="1" applyFill="1" applyBorder="1" applyAlignment="1">
      <alignment horizontal="center"/>
    </xf>
    <xf numFmtId="0" fontId="3" fillId="0" borderId="21" xfId="0" applyFont="1" applyBorder="1"/>
    <xf numFmtId="0" fontId="3" fillId="0" borderId="6" xfId="0" applyFont="1" applyBorder="1" applyAlignment="1">
      <alignment horizontal="left" vertical="center"/>
    </xf>
    <xf numFmtId="44" fontId="3" fillId="0" borderId="6" xfId="1" applyFont="1" applyBorder="1"/>
    <xf numFmtId="44" fontId="3" fillId="0" borderId="22" xfId="1" applyFont="1" applyBorder="1"/>
    <xf numFmtId="0" fontId="3" fillId="0" borderId="18" xfId="0" applyFont="1" applyBorder="1" applyAlignment="1">
      <alignment horizontal="left" vertical="center"/>
    </xf>
    <xf numFmtId="0" fontId="3" fillId="0" borderId="19" xfId="0" applyFont="1" applyBorder="1"/>
    <xf numFmtId="44" fontId="3" fillId="0" borderId="19" xfId="1" applyFont="1" applyBorder="1"/>
    <xf numFmtId="44" fontId="3" fillId="0" borderId="20" xfId="1" applyFont="1" applyBorder="1"/>
    <xf numFmtId="44" fontId="3" fillId="0" borderId="27" xfId="1" applyFont="1" applyBorder="1"/>
    <xf numFmtId="0" fontId="3" fillId="0" borderId="21" xfId="0" applyFont="1" applyBorder="1" applyAlignment="1">
      <alignment horizontal="left" vertical="center"/>
    </xf>
    <xf numFmtId="44" fontId="3" fillId="0" borderId="28" xfId="1" applyFont="1" applyBorder="1"/>
    <xf numFmtId="0" fontId="3" fillId="0" borderId="21" xfId="0" applyFont="1" applyBorder="1" applyAlignment="1">
      <alignment horizontal="left"/>
    </xf>
    <xf numFmtId="0" fontId="10" fillId="8" borderId="23" xfId="0" applyFont="1" applyFill="1" applyBorder="1" applyAlignment="1">
      <alignment horizontal="center" vertical="center"/>
    </xf>
    <xf numFmtId="0" fontId="3" fillId="8" borderId="24" xfId="0" applyFont="1" applyFill="1" applyBorder="1"/>
    <xf numFmtId="44" fontId="3" fillId="8" borderId="24" xfId="1" applyFont="1" applyFill="1" applyBorder="1"/>
    <xf numFmtId="44" fontId="3" fillId="8" borderId="25" xfId="1" applyFont="1" applyFill="1" applyBorder="1"/>
    <xf numFmtId="0" fontId="3" fillId="0" borderId="13" xfId="0" applyFont="1" applyBorder="1"/>
    <xf numFmtId="0" fontId="3" fillId="8" borderId="23" xfId="0" applyFont="1" applyFill="1" applyBorder="1"/>
    <xf numFmtId="44" fontId="3" fillId="8" borderId="29" xfId="1" applyFont="1" applyFill="1" applyBorder="1"/>
    <xf numFmtId="0" fontId="10" fillId="8" borderId="35" xfId="0" applyFont="1" applyFill="1" applyBorder="1" applyAlignment="1">
      <alignment horizontal="center"/>
    </xf>
    <xf numFmtId="0" fontId="10" fillId="8" borderId="34" xfId="0" applyFont="1" applyFill="1" applyBorder="1" applyAlignment="1">
      <alignment horizontal="center"/>
    </xf>
    <xf numFmtId="0" fontId="10" fillId="8" borderId="36" xfId="0" applyFont="1" applyFill="1" applyBorder="1" applyAlignment="1">
      <alignment horizontal="center"/>
    </xf>
    <xf numFmtId="0" fontId="10" fillId="9" borderId="0" xfId="0" applyFont="1" applyFill="1" applyAlignment="1">
      <alignment horizontal="center"/>
    </xf>
    <xf numFmtId="0" fontId="10" fillId="8" borderId="32" xfId="0" applyFont="1" applyFill="1" applyBorder="1" applyAlignment="1">
      <alignment horizontal="center"/>
    </xf>
    <xf numFmtId="0" fontId="3" fillId="8" borderId="13" xfId="0" applyFont="1" applyFill="1" applyBorder="1"/>
    <xf numFmtId="44" fontId="3" fillId="8" borderId="14" xfId="1" applyFont="1" applyFill="1" applyBorder="1"/>
    <xf numFmtId="0" fontId="3" fillId="8" borderId="12" xfId="0" applyFont="1" applyFill="1" applyBorder="1"/>
    <xf numFmtId="0" fontId="10" fillId="8" borderId="47" xfId="0" applyFont="1" applyFill="1" applyBorder="1" applyAlignment="1">
      <alignment horizontal="center"/>
    </xf>
    <xf numFmtId="44" fontId="3" fillId="8" borderId="33" xfId="1" applyFont="1" applyFill="1" applyBorder="1"/>
    <xf numFmtId="0" fontId="10" fillId="9" borderId="4" xfId="0" applyFont="1" applyFill="1" applyBorder="1" applyAlignment="1">
      <alignment horizontal="center"/>
    </xf>
    <xf numFmtId="0" fontId="10" fillId="8" borderId="27" xfId="0" applyFont="1" applyFill="1" applyBorder="1" applyAlignment="1">
      <alignment horizontal="center"/>
    </xf>
    <xf numFmtId="0" fontId="3" fillId="0" borderId="11" xfId="0" applyFont="1" applyBorder="1"/>
    <xf numFmtId="0" fontId="3" fillId="2" borderId="30" xfId="0" applyFont="1" applyFill="1" applyBorder="1"/>
    <xf numFmtId="10" fontId="0" fillId="2" borderId="2" xfId="2" applyNumberFormat="1" applyFont="1" applyFill="1" applyBorder="1"/>
    <xf numFmtId="0" fontId="0" fillId="0" borderId="2" xfId="0" applyBorder="1"/>
    <xf numFmtId="0" fontId="0" fillId="0" borderId="3" xfId="0" applyBorder="1"/>
    <xf numFmtId="10" fontId="0" fillId="9" borderId="0" xfId="2" applyNumberFormat="1" applyFont="1" applyFill="1" applyBorder="1"/>
    <xf numFmtId="0" fontId="3" fillId="9" borderId="6" xfId="0" applyFont="1" applyFill="1" applyBorder="1"/>
    <xf numFmtId="44" fontId="3" fillId="9" borderId="6" xfId="1" applyFont="1" applyFill="1" applyBorder="1"/>
    <xf numFmtId="44" fontId="3" fillId="9" borderId="22" xfId="1" applyFont="1" applyFill="1" applyBorder="1"/>
    <xf numFmtId="0" fontId="3" fillId="9" borderId="0" xfId="0" applyFont="1" applyFill="1"/>
    <xf numFmtId="44" fontId="3" fillId="9" borderId="28" xfId="1" applyFont="1" applyFill="1" applyBorder="1"/>
    <xf numFmtId="0" fontId="10" fillId="0" borderId="34" xfId="0" applyFont="1" applyBorder="1" applyAlignment="1">
      <alignment horizontal="center"/>
    </xf>
    <xf numFmtId="0" fontId="10" fillId="0" borderId="36" xfId="0" applyFont="1" applyBorder="1" applyAlignment="1">
      <alignment horizontal="center"/>
    </xf>
    <xf numFmtId="10" fontId="3" fillId="0" borderId="6" xfId="2" applyNumberFormat="1" applyFont="1" applyBorder="1"/>
    <xf numFmtId="44" fontId="3" fillId="0" borderId="39" xfId="1" applyFont="1" applyBorder="1"/>
    <xf numFmtId="44" fontId="3" fillId="0" borderId="30" xfId="1" applyFont="1" applyBorder="1"/>
    <xf numFmtId="0" fontId="10" fillId="8" borderId="7" xfId="0" applyFont="1" applyFill="1" applyBorder="1"/>
    <xf numFmtId="0" fontId="10" fillId="8" borderId="4" xfId="0" applyFont="1" applyFill="1" applyBorder="1" applyAlignment="1">
      <alignment horizontal="center"/>
    </xf>
    <xf numFmtId="44" fontId="3" fillId="0" borderId="0" xfId="0" applyNumberFormat="1" applyFont="1"/>
    <xf numFmtId="44" fontId="15" fillId="0" borderId="51" xfId="1" applyFont="1" applyBorder="1"/>
    <xf numFmtId="43" fontId="15" fillId="0" borderId="24" xfId="0" applyNumberFormat="1" applyFont="1" applyBorder="1"/>
    <xf numFmtId="0" fontId="0" fillId="0" borderId="52" xfId="0" applyBorder="1"/>
    <xf numFmtId="0" fontId="12" fillId="0" borderId="55" xfId="0" applyFont="1" applyBorder="1" applyAlignment="1">
      <alignment horizontal="center"/>
    </xf>
    <xf numFmtId="44" fontId="0" fillId="8" borderId="20" xfId="1" applyFont="1" applyFill="1" applyBorder="1"/>
    <xf numFmtId="44" fontId="0" fillId="9" borderId="22" xfId="1" applyFont="1" applyFill="1" applyBorder="1"/>
    <xf numFmtId="44" fontId="0" fillId="8" borderId="22" xfId="1" applyFont="1" applyFill="1" applyBorder="1"/>
    <xf numFmtId="44" fontId="0" fillId="9" borderId="25" xfId="1" applyFont="1" applyFill="1" applyBorder="1"/>
    <xf numFmtId="9" fontId="11" fillId="0" borderId="34" xfId="2" applyFont="1" applyBorder="1" applyAlignment="1">
      <alignment horizontal="center" vertical="center"/>
    </xf>
    <xf numFmtId="0" fontId="3" fillId="6" borderId="34" xfId="0" applyFont="1" applyFill="1" applyBorder="1"/>
    <xf numFmtId="0" fontId="3" fillId="6" borderId="56" xfId="0" applyFont="1" applyFill="1" applyBorder="1"/>
    <xf numFmtId="0" fontId="3" fillId="7" borderId="6" xfId="0" applyFont="1" applyFill="1" applyBorder="1"/>
    <xf numFmtId="0" fontId="3" fillId="6" borderId="52" xfId="0" applyFont="1" applyFill="1" applyBorder="1"/>
    <xf numFmtId="0" fontId="3" fillId="6" borderId="57" xfId="0" applyFont="1" applyFill="1" applyBorder="1"/>
    <xf numFmtId="0" fontId="3" fillId="6" borderId="55" xfId="0" applyFont="1" applyFill="1" applyBorder="1"/>
    <xf numFmtId="0" fontId="12" fillId="0" borderId="1" xfId="0" applyFont="1" applyBorder="1" applyAlignment="1">
      <alignment horizontal="left"/>
    </xf>
    <xf numFmtId="0" fontId="12" fillId="0" borderId="2" xfId="0" applyFont="1" applyBorder="1" applyAlignment="1">
      <alignment horizontal="left"/>
    </xf>
    <xf numFmtId="0" fontId="12" fillId="0" borderId="3" xfId="0" applyFont="1" applyBorder="1" applyAlignment="1">
      <alignment horizontal="left"/>
    </xf>
    <xf numFmtId="166" fontId="12" fillId="0" borderId="30" xfId="0" applyNumberFormat="1" applyFont="1" applyBorder="1"/>
    <xf numFmtId="0" fontId="12" fillId="14" borderId="6" xfId="0" applyFont="1" applyFill="1" applyBorder="1" applyAlignment="1">
      <alignment horizontal="center"/>
    </xf>
    <xf numFmtId="0" fontId="12" fillId="14" borderId="22" xfId="0" applyFont="1" applyFill="1" applyBorder="1" applyAlignment="1">
      <alignment horizontal="center"/>
    </xf>
    <xf numFmtId="0" fontId="1" fillId="6" borderId="0" xfId="0" applyFont="1" applyFill="1"/>
    <xf numFmtId="0" fontId="1" fillId="0" borderId="0" xfId="0" applyFont="1"/>
    <xf numFmtId="0" fontId="1" fillId="0" borderId="6" xfId="0" applyFont="1" applyBorder="1"/>
    <xf numFmtId="44" fontId="0" fillId="0" borderId="6" xfId="0" applyNumberFormat="1" applyBorder="1"/>
    <xf numFmtId="0" fontId="0" fillId="0" borderId="6" xfId="0" applyBorder="1"/>
    <xf numFmtId="0" fontId="3" fillId="0" borderId="35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12" fillId="0" borderId="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43" fontId="15" fillId="0" borderId="13" xfId="0" applyNumberFormat="1" applyFont="1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2" borderId="38" xfId="0" applyFill="1" applyBorder="1" applyAlignment="1">
      <alignment horizontal="right" vertical="center"/>
    </xf>
    <xf numFmtId="0" fontId="0" fillId="2" borderId="34" xfId="0" applyFill="1" applyBorder="1" applyAlignment="1">
      <alignment horizontal="right" vertical="center"/>
    </xf>
    <xf numFmtId="0" fontId="0" fillId="2" borderId="39" xfId="0" applyFill="1" applyBorder="1" applyAlignment="1">
      <alignment horizontal="right" vertical="center"/>
    </xf>
    <xf numFmtId="0" fontId="0" fillId="2" borderId="36" xfId="0" applyFill="1" applyBorder="1" applyAlignment="1">
      <alignment horizontal="right" vertical="center"/>
    </xf>
    <xf numFmtId="165" fontId="0" fillId="0" borderId="40" xfId="0" applyNumberFormat="1" applyBorder="1" applyAlignment="1">
      <alignment horizontal="right" vertical="center"/>
    </xf>
    <xf numFmtId="165" fontId="0" fillId="0" borderId="35" xfId="0" applyNumberFormat="1" applyBorder="1" applyAlignment="1">
      <alignment horizontal="right" vertical="center"/>
    </xf>
    <xf numFmtId="165" fontId="0" fillId="0" borderId="38" xfId="0" applyNumberFormat="1" applyBorder="1" applyAlignment="1">
      <alignment horizontal="right" vertical="center"/>
    </xf>
    <xf numFmtId="165" fontId="0" fillId="0" borderId="34" xfId="0" applyNumberFormat="1" applyBorder="1" applyAlignment="1">
      <alignment horizontal="right" vertical="center"/>
    </xf>
    <xf numFmtId="0" fontId="10" fillId="7" borderId="1" xfId="0" applyFont="1" applyFill="1" applyBorder="1" applyAlignment="1">
      <alignment horizontal="left"/>
    </xf>
    <xf numFmtId="0" fontId="10" fillId="7" borderId="2" xfId="0" applyFont="1" applyFill="1" applyBorder="1" applyAlignment="1">
      <alignment horizontal="left"/>
    </xf>
    <xf numFmtId="0" fontId="10" fillId="7" borderId="3" xfId="0" applyFont="1" applyFill="1" applyBorder="1" applyAlignment="1">
      <alignment horizontal="left"/>
    </xf>
    <xf numFmtId="164" fontId="8" fillId="0" borderId="10" xfId="0" applyNumberFormat="1" applyFont="1" applyBorder="1" applyAlignment="1">
      <alignment horizontal="center"/>
    </xf>
    <xf numFmtId="164" fontId="8" fillId="0" borderId="0" xfId="0" applyNumberFormat="1" applyFont="1" applyAlignment="1">
      <alignment horizontal="center"/>
    </xf>
    <xf numFmtId="164" fontId="8" fillId="0" borderId="11" xfId="0" applyNumberFormat="1" applyFont="1" applyBorder="1" applyAlignment="1">
      <alignment horizontal="center"/>
    </xf>
    <xf numFmtId="0" fontId="10" fillId="7" borderId="10" xfId="0" applyFont="1" applyFill="1" applyBorder="1" applyAlignment="1">
      <alignment horizontal="left"/>
    </xf>
    <xf numFmtId="0" fontId="10" fillId="7" borderId="0" xfId="0" applyFont="1" applyFill="1" applyAlignment="1">
      <alignment horizontal="left"/>
    </xf>
    <xf numFmtId="0" fontId="10" fillId="7" borderId="11" xfId="0" applyFont="1" applyFill="1" applyBorder="1" applyAlignment="1">
      <alignment horizontal="left"/>
    </xf>
    <xf numFmtId="0" fontId="11" fillId="10" borderId="1" xfId="0" applyFont="1" applyFill="1" applyBorder="1" applyAlignment="1">
      <alignment horizontal="left"/>
    </xf>
    <xf numFmtId="0" fontId="11" fillId="10" borderId="2" xfId="0" applyFont="1" applyFill="1" applyBorder="1" applyAlignment="1">
      <alignment horizontal="left"/>
    </xf>
    <xf numFmtId="0" fontId="11" fillId="10" borderId="3" xfId="0" applyFont="1" applyFill="1" applyBorder="1" applyAlignment="1">
      <alignment horizontal="left"/>
    </xf>
    <xf numFmtId="0" fontId="10" fillId="7" borderId="7" xfId="0" applyFont="1" applyFill="1" applyBorder="1" applyAlignment="1">
      <alignment horizontal="left"/>
    </xf>
    <xf numFmtId="0" fontId="10" fillId="7" borderId="4" xfId="0" applyFont="1" applyFill="1" applyBorder="1" applyAlignment="1">
      <alignment horizontal="left"/>
    </xf>
    <xf numFmtId="0" fontId="10" fillId="7" borderId="8" xfId="0" applyFont="1" applyFill="1" applyBorder="1" applyAlignment="1">
      <alignment horizontal="left"/>
    </xf>
    <xf numFmtId="0" fontId="10" fillId="7" borderId="12" xfId="0" applyFont="1" applyFill="1" applyBorder="1" applyAlignment="1">
      <alignment horizontal="left"/>
    </xf>
    <xf numFmtId="0" fontId="10" fillId="7" borderId="13" xfId="0" applyFont="1" applyFill="1" applyBorder="1" applyAlignment="1">
      <alignment horizontal="left"/>
    </xf>
    <xf numFmtId="0" fontId="10" fillId="7" borderId="14" xfId="0" applyFont="1" applyFill="1" applyBorder="1" applyAlignment="1">
      <alignment horizontal="left"/>
    </xf>
    <xf numFmtId="0" fontId="19" fillId="0" borderId="0" xfId="0" applyFont="1" applyAlignment="1">
      <alignment horizontal="left" wrapText="1"/>
    </xf>
    <xf numFmtId="0" fontId="10" fillId="8" borderId="1" xfId="0" applyFont="1" applyFill="1" applyBorder="1" applyAlignment="1">
      <alignment horizontal="center"/>
    </xf>
    <xf numFmtId="0" fontId="10" fillId="8" borderId="2" xfId="0" applyFont="1" applyFill="1" applyBorder="1" applyAlignment="1">
      <alignment horizontal="center"/>
    </xf>
    <xf numFmtId="0" fontId="10" fillId="8" borderId="3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9" fillId="8" borderId="7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9" fillId="8" borderId="12" xfId="0" applyFont="1" applyFill="1" applyBorder="1" applyAlignment="1">
      <alignment horizontal="center" vertical="center"/>
    </xf>
    <xf numFmtId="0" fontId="9" fillId="8" borderId="13" xfId="0" applyFont="1" applyFill="1" applyBorder="1" applyAlignment="1">
      <alignment horizontal="center" vertical="center"/>
    </xf>
    <xf numFmtId="0" fontId="9" fillId="8" borderId="14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5" borderId="7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6" borderId="6" xfId="0" applyFont="1" applyFill="1" applyBorder="1" applyAlignment="1">
      <alignment horizontal="center"/>
    </xf>
    <xf numFmtId="0" fontId="3" fillId="6" borderId="35" xfId="0" applyFont="1" applyFill="1" applyBorder="1" applyAlignment="1">
      <alignment horizontal="left" vertical="center"/>
    </xf>
    <xf numFmtId="0" fontId="3" fillId="6" borderId="21" xfId="0" applyFont="1" applyFill="1" applyBorder="1" applyAlignment="1">
      <alignment horizontal="left" vertical="center"/>
    </xf>
    <xf numFmtId="0" fontId="3" fillId="6" borderId="23" xfId="0" applyFont="1" applyFill="1" applyBorder="1" applyAlignment="1">
      <alignment horizontal="left" vertical="center"/>
    </xf>
    <xf numFmtId="0" fontId="3" fillId="0" borderId="40" xfId="0" applyFont="1" applyBorder="1" applyAlignment="1">
      <alignment horizontal="left"/>
    </xf>
    <xf numFmtId="0" fontId="3" fillId="0" borderId="38" xfId="0" applyFont="1" applyBorder="1" applyAlignment="1">
      <alignment horizontal="left"/>
    </xf>
    <xf numFmtId="0" fontId="14" fillId="0" borderId="49" xfId="0" applyFont="1" applyBorder="1" applyAlignment="1">
      <alignment horizontal="center"/>
    </xf>
    <xf numFmtId="0" fontId="14" fillId="0" borderId="50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12" fillId="0" borderId="31" xfId="0" applyFont="1" applyBorder="1" applyAlignment="1">
      <alignment horizontal="left"/>
    </xf>
    <xf numFmtId="0" fontId="12" fillId="0" borderId="37" xfId="0" applyFont="1" applyBorder="1" applyAlignment="1">
      <alignment horizontal="left"/>
    </xf>
    <xf numFmtId="0" fontId="12" fillId="0" borderId="9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1" fillId="0" borderId="2" xfId="0" applyFont="1" applyBorder="1" applyAlignment="1">
      <alignment horizontal="left"/>
    </xf>
    <xf numFmtId="0" fontId="11" fillId="0" borderId="3" xfId="0" applyFont="1" applyBorder="1" applyAlignment="1">
      <alignment horizontal="left"/>
    </xf>
    <xf numFmtId="0" fontId="11" fillId="0" borderId="43" xfId="0" applyFont="1" applyBorder="1" applyAlignment="1">
      <alignment horizontal="left"/>
    </xf>
    <xf numFmtId="0" fontId="11" fillId="0" borderId="44" xfId="0" applyFont="1" applyBorder="1" applyAlignment="1">
      <alignment horizontal="left"/>
    </xf>
    <xf numFmtId="0" fontId="11" fillId="0" borderId="26" xfId="0" applyFont="1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7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1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44" fontId="0" fillId="8" borderId="19" xfId="1" applyFont="1" applyFill="1" applyBorder="1" applyAlignment="1">
      <alignment horizontal="right"/>
    </xf>
    <xf numFmtId="44" fontId="0" fillId="9" borderId="6" xfId="1" applyFont="1" applyFill="1" applyBorder="1" applyAlignment="1">
      <alignment horizontal="right"/>
    </xf>
    <xf numFmtId="44" fontId="0" fillId="8" borderId="6" xfId="1" applyFont="1" applyFill="1" applyBorder="1" applyAlignment="1">
      <alignment horizontal="right"/>
    </xf>
    <xf numFmtId="44" fontId="0" fillId="9" borderId="24" xfId="1" applyFont="1" applyFill="1" applyBorder="1" applyAlignment="1">
      <alignment horizontal="right"/>
    </xf>
    <xf numFmtId="0" fontId="0" fillId="0" borderId="0" xfId="0" applyAlignment="1">
      <alignment horizontal="center"/>
    </xf>
    <xf numFmtId="44" fontId="11" fillId="6" borderId="2" xfId="0" applyNumberFormat="1" applyFont="1" applyFill="1" applyBorder="1" applyAlignment="1">
      <alignment horizontal="center"/>
    </xf>
    <xf numFmtId="0" fontId="11" fillId="6" borderId="3" xfId="0" applyFont="1" applyFill="1" applyBorder="1" applyAlignment="1">
      <alignment horizontal="center"/>
    </xf>
    <xf numFmtId="0" fontId="10" fillId="0" borderId="1" xfId="0" applyFont="1" applyBorder="1" applyAlignment="1">
      <alignment horizontal="left"/>
    </xf>
    <xf numFmtId="0" fontId="10" fillId="0" borderId="2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0" fillId="0" borderId="35" xfId="0" applyFont="1" applyBorder="1" applyAlignment="1">
      <alignment horizontal="left"/>
    </xf>
    <xf numFmtId="0" fontId="10" fillId="0" borderId="34" xfId="0" applyFont="1" applyBorder="1" applyAlignment="1">
      <alignment horizontal="left"/>
    </xf>
    <xf numFmtId="0" fontId="11" fillId="6" borderId="1" xfId="0" applyFont="1" applyFill="1" applyBorder="1" applyAlignment="1">
      <alignment horizontal="left"/>
    </xf>
    <xf numFmtId="0" fontId="11" fillId="6" borderId="2" xfId="0" applyFont="1" applyFill="1" applyBorder="1" applyAlignment="1">
      <alignment horizontal="left"/>
    </xf>
    <xf numFmtId="44" fontId="11" fillId="6" borderId="2" xfId="0" applyNumberFormat="1" applyFont="1" applyFill="1" applyBorder="1" applyAlignment="1">
      <alignment horizontal="right"/>
    </xf>
    <xf numFmtId="44" fontId="11" fillId="6" borderId="3" xfId="0" applyNumberFormat="1" applyFont="1" applyFill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2" xfId="0" applyFont="1" applyBorder="1" applyAlignment="1">
      <alignment horizontal="left"/>
    </xf>
    <xf numFmtId="0" fontId="12" fillId="0" borderId="3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1" fillId="6" borderId="12" xfId="0" applyFont="1" applyFill="1" applyBorder="1" applyAlignment="1">
      <alignment horizontal="left"/>
    </xf>
    <xf numFmtId="0" fontId="11" fillId="6" borderId="13" xfId="0" applyFont="1" applyFill="1" applyBorder="1" applyAlignment="1">
      <alignment horizontal="left"/>
    </xf>
    <xf numFmtId="0" fontId="0" fillId="0" borderId="21" xfId="0" applyBorder="1" applyAlignment="1">
      <alignment horizontal="center" vertical="center"/>
    </xf>
    <xf numFmtId="0" fontId="5" fillId="15" borderId="7" xfId="0" applyFont="1" applyFill="1" applyBorder="1" applyAlignment="1">
      <alignment horizontal="center" vertical="center" wrapText="1"/>
    </xf>
    <xf numFmtId="0" fontId="5" fillId="15" borderId="4" xfId="0" applyFont="1" applyFill="1" applyBorder="1" applyAlignment="1">
      <alignment horizontal="center" vertical="center" wrapText="1"/>
    </xf>
    <xf numFmtId="0" fontId="5" fillId="15" borderId="8" xfId="0" applyFont="1" applyFill="1" applyBorder="1" applyAlignment="1">
      <alignment horizontal="center" vertical="center" wrapText="1"/>
    </xf>
    <xf numFmtId="0" fontId="5" fillId="15" borderId="12" xfId="0" applyFont="1" applyFill="1" applyBorder="1" applyAlignment="1">
      <alignment horizontal="center" vertical="center" wrapText="1"/>
    </xf>
    <xf numFmtId="0" fontId="5" fillId="15" borderId="13" xfId="0" applyFont="1" applyFill="1" applyBorder="1" applyAlignment="1">
      <alignment horizontal="center" vertical="center" wrapText="1"/>
    </xf>
    <xf numFmtId="0" fontId="5" fillId="15" borderId="14" xfId="0" applyFont="1" applyFill="1" applyBorder="1" applyAlignment="1">
      <alignment horizontal="center" vertical="center" wrapText="1"/>
    </xf>
    <xf numFmtId="0" fontId="10" fillId="8" borderId="10" xfId="0" applyFont="1" applyFill="1" applyBorder="1" applyAlignment="1">
      <alignment horizontal="center"/>
    </xf>
    <xf numFmtId="0" fontId="10" fillId="8" borderId="0" xfId="0" applyFont="1" applyFill="1" applyAlignment="1">
      <alignment horizontal="center"/>
    </xf>
    <xf numFmtId="0" fontId="10" fillId="8" borderId="11" xfId="0" applyFont="1" applyFill="1" applyBorder="1" applyAlignment="1">
      <alignment horizontal="center"/>
    </xf>
    <xf numFmtId="0" fontId="12" fillId="0" borderId="21" xfId="0" applyFont="1" applyBorder="1" applyAlignment="1">
      <alignment horizontal="left" vertical="center"/>
    </xf>
    <xf numFmtId="0" fontId="12" fillId="0" borderId="40" xfId="0" applyFont="1" applyBorder="1" applyAlignment="1">
      <alignment horizontal="left" vertical="center"/>
    </xf>
    <xf numFmtId="0" fontId="12" fillId="0" borderId="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9" fontId="12" fillId="0" borderId="6" xfId="2" applyFont="1" applyBorder="1" applyAlignment="1">
      <alignment horizontal="center" vertical="center"/>
    </xf>
    <xf numFmtId="9" fontId="12" fillId="0" borderId="38" xfId="2" applyFont="1" applyBorder="1" applyAlignment="1">
      <alignment horizontal="center" vertical="center"/>
    </xf>
    <xf numFmtId="0" fontId="12" fillId="0" borderId="48" xfId="0" applyFont="1" applyBorder="1" applyAlignment="1">
      <alignment horizontal="left" vertical="center"/>
    </xf>
    <xf numFmtId="0" fontId="12" fillId="0" borderId="35" xfId="0" applyFont="1" applyBorder="1" applyAlignment="1">
      <alignment horizontal="left" vertical="center"/>
    </xf>
    <xf numFmtId="0" fontId="12" fillId="0" borderId="16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24" fillId="6" borderId="1" xfId="0" applyFont="1" applyFill="1" applyBorder="1" applyAlignment="1">
      <alignment horizontal="center"/>
    </xf>
    <xf numFmtId="0" fontId="24" fillId="6" borderId="2" xfId="0" applyFont="1" applyFill="1" applyBorder="1" applyAlignment="1">
      <alignment horizontal="center"/>
    </xf>
    <xf numFmtId="0" fontId="24" fillId="6" borderId="3" xfId="0" applyFont="1" applyFill="1" applyBorder="1" applyAlignment="1">
      <alignment horizontal="center"/>
    </xf>
    <xf numFmtId="0" fontId="12" fillId="0" borderId="53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54" xfId="0" applyFont="1" applyBorder="1" applyAlignment="1">
      <alignment horizontal="center"/>
    </xf>
    <xf numFmtId="0" fontId="17" fillId="5" borderId="1" xfId="0" applyFont="1" applyFill="1" applyBorder="1" applyAlignment="1">
      <alignment horizontal="center"/>
    </xf>
    <xf numFmtId="0" fontId="17" fillId="5" borderId="2" xfId="0" applyFont="1" applyFill="1" applyBorder="1" applyAlignment="1">
      <alignment horizontal="center"/>
    </xf>
    <xf numFmtId="0" fontId="17" fillId="5" borderId="3" xfId="0" applyFont="1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0" borderId="56" xfId="0" applyFont="1" applyBorder="1" applyAlignment="1">
      <alignment horizontal="center"/>
    </xf>
    <xf numFmtId="0" fontId="3" fillId="0" borderId="58" xfId="0" applyFont="1" applyBorder="1" applyAlignment="1">
      <alignment horizontal="center"/>
    </xf>
    <xf numFmtId="0" fontId="3" fillId="0" borderId="59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5" fillId="0" borderId="37" xfId="0" applyFont="1" applyBorder="1" applyAlignment="1">
      <alignment horizontal="left"/>
    </xf>
    <xf numFmtId="0" fontId="3" fillId="0" borderId="0" xfId="0" applyFont="1" applyAlignment="1">
      <alignment horizontal="left"/>
    </xf>
    <xf numFmtId="44" fontId="3" fillId="0" borderId="6" xfId="0" applyNumberFormat="1" applyFont="1" applyBorder="1" applyAlignment="1">
      <alignment horizontal="center"/>
    </xf>
    <xf numFmtId="0" fontId="3" fillId="0" borderId="34" xfId="0" applyFont="1" applyBorder="1" applyAlignment="1">
      <alignment horizontal="center"/>
    </xf>
  </cellXfs>
  <cellStyles count="4">
    <cellStyle name="Moeda" xfId="1" builtinId="4"/>
    <cellStyle name="Normal" xfId="0" builtinId="0"/>
    <cellStyle name="Porcentagem" xfId="2" builtinId="5"/>
    <cellStyle name="Vírgula" xfId="3" builtinId="3"/>
  </cellStyles>
  <dxfs count="0"/>
  <tableStyles count="0" defaultTableStyle="TableStyleMedium2" defaultPivotStyle="PivotStyleLight16"/>
  <colors>
    <mruColors>
      <color rgb="FFFFFF66"/>
      <color rgb="FF66FF99"/>
      <color rgb="FF66FFFF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'TIR VPL'!$G$2</c:f>
              <c:strCache>
                <c:ptCount val="1"/>
                <c:pt idx="0">
                  <c:v>RETORNO CAPITAL INVESTIDO</c:v>
                </c:pt>
              </c:strCache>
            </c:strRef>
          </c:cat>
          <c:val>
            <c:numRef>
              <c:f>'TIR VPL'!$G$3</c:f>
              <c:numCache>
                <c:formatCode>"R$"#,##0.00_);[Red]\("R$"#,##0.00\)</c:formatCode>
                <c:ptCount val="1"/>
                <c:pt idx="0">
                  <c:v>-727071.5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782-49F6-897C-8EEC5C8415AD}"/>
            </c:ext>
          </c:extLst>
        </c:ser>
        <c:ser>
          <c:idx val="1"/>
          <c:order val="1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'TIR VPL'!$G$2</c:f>
              <c:strCache>
                <c:ptCount val="1"/>
                <c:pt idx="0">
                  <c:v>RETORNO CAPITAL INVESTIDO</c:v>
                </c:pt>
              </c:strCache>
            </c:strRef>
          </c:cat>
          <c:val>
            <c:numRef>
              <c:f>'TIR VPL'!$G$4</c:f>
              <c:numCache>
                <c:formatCode>"R$"#,##0.00_);[Red]\("R$"#,##0.00\)</c:formatCode>
                <c:ptCount val="1"/>
                <c:pt idx="0">
                  <c:v>-597410.04262443434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CD-4F6D-9606-D59DB2BBC3F5}"/>
            </c:ext>
          </c:extLst>
        </c:ser>
        <c:ser>
          <c:idx val="2"/>
          <c:order val="2"/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'TIR VPL'!$G$2</c:f>
              <c:strCache>
                <c:ptCount val="1"/>
                <c:pt idx="0">
                  <c:v>RETORNO CAPITAL INVESTIDO</c:v>
                </c:pt>
              </c:strCache>
            </c:strRef>
          </c:cat>
          <c:val>
            <c:numRef>
              <c:f>'TIR VPL'!$G$5</c:f>
              <c:numCache>
                <c:formatCode>"R$"#,##0.00_);[Red]\("R$"#,##0.00\)</c:formatCode>
                <c:ptCount val="1"/>
                <c:pt idx="0">
                  <c:v>-480069.35721668263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FCD-4F6D-9606-D59DB2BBC3F5}"/>
            </c:ext>
          </c:extLst>
        </c:ser>
        <c:ser>
          <c:idx val="3"/>
          <c:order val="3"/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'TIR VPL'!$G$2</c:f>
              <c:strCache>
                <c:ptCount val="1"/>
                <c:pt idx="0">
                  <c:v>RETORNO CAPITAL INVESTIDO</c:v>
                </c:pt>
              </c:strCache>
            </c:strRef>
          </c:cat>
          <c:val>
            <c:numRef>
              <c:f>'TIR VPL'!$G$6</c:f>
              <c:numCache>
                <c:formatCode>"R$"#,##0.00_);[Red]\("R$"#,##0.00\)</c:formatCode>
                <c:ptCount val="1"/>
                <c:pt idx="0">
                  <c:v>-373878.69168930553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FCD-4F6D-9606-D59DB2BBC3F5}"/>
            </c:ext>
          </c:extLst>
        </c:ser>
        <c:ser>
          <c:idx val="4"/>
          <c:order val="4"/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'TIR VPL'!$G$2</c:f>
              <c:strCache>
                <c:ptCount val="1"/>
                <c:pt idx="0">
                  <c:v>RETORNO CAPITAL INVESTIDO</c:v>
                </c:pt>
              </c:strCache>
            </c:strRef>
          </c:cat>
          <c:val>
            <c:numRef>
              <c:f>'TIR VPL'!$G$7</c:f>
              <c:numCache>
                <c:formatCode>"R$"#,##0.00_);[Red]\("R$"#,##0.00\)</c:formatCode>
                <c:ptCount val="1"/>
                <c:pt idx="0">
                  <c:v>-286878.54189077421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FCD-4F6D-9606-D59DB2BBC3F5}"/>
            </c:ext>
          </c:extLst>
        </c:ser>
        <c:ser>
          <c:idx val="5"/>
          <c:order val="5"/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delete val="1"/>
          </c:dLbls>
          <c:cat>
            <c:strRef>
              <c:f>'TIR VPL'!$G$2</c:f>
              <c:strCache>
                <c:ptCount val="1"/>
                <c:pt idx="0">
                  <c:v>RETORNO CAPITAL INVESTIDO</c:v>
                </c:pt>
              </c:strCache>
            </c:strRef>
          </c:cat>
          <c:val>
            <c:numRef>
              <c:f>'TIR VPL'!$G$8</c:f>
              <c:numCache>
                <c:formatCode>"R$"#,##0.00_);[Red]\("R$"#,##0.00\)</c:formatCode>
                <c:ptCount val="1"/>
                <c:pt idx="0">
                  <c:v>-199910.08053463727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FCD-4F6D-9606-D59DB2BBC3F5}"/>
            </c:ext>
          </c:extLst>
        </c:ser>
        <c:ser>
          <c:idx val="6"/>
          <c:order val="6"/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'TIR VPL'!$G$2</c:f>
              <c:strCache>
                <c:ptCount val="1"/>
                <c:pt idx="0">
                  <c:v>RETORNO CAPITAL INVESTIDO</c:v>
                </c:pt>
              </c:strCache>
            </c:strRef>
          </c:cat>
          <c:val>
            <c:numRef>
              <c:f>'TIR VPL'!$G$9</c:f>
              <c:numCache>
                <c:formatCode>"R$"#,##0.00_);[Red]\("R$"#,##0.00\)</c:formatCode>
                <c:ptCount val="1"/>
                <c:pt idx="0">
                  <c:v>-232905.59061958123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8A-4DE9-BB4D-98A2B2F1BA5E}"/>
            </c:ext>
          </c:extLst>
        </c:ser>
        <c:ser>
          <c:idx val="7"/>
          <c:order val="7"/>
          <c:spPr>
            <a:gradFill rotWithShape="1">
              <a:gsLst>
                <a:gs pos="0">
                  <a:schemeClr val="accent2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'TIR VPL'!$G$2</c:f>
              <c:strCache>
                <c:ptCount val="1"/>
                <c:pt idx="0">
                  <c:v>RETORNO CAPITAL INVESTIDO</c:v>
                </c:pt>
              </c:strCache>
            </c:strRef>
          </c:cat>
          <c:val>
            <c:numRef>
              <c:f>'TIR VPL'!$G$10</c:f>
              <c:numCache>
                <c:formatCode>"R$"#,##0.00_);[Red]\("R$"#,##0.00\)</c:formatCode>
                <c:ptCount val="1"/>
                <c:pt idx="0">
                  <c:v>-170779.80789102372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8A-4DE9-BB4D-98A2B2F1BA5E}"/>
            </c:ext>
          </c:extLst>
        </c:ser>
        <c:ser>
          <c:idx val="8"/>
          <c:order val="8"/>
          <c:spPr>
            <a:gradFill rotWithShape="1">
              <a:gsLst>
                <a:gs pos="0">
                  <a:schemeClr val="accent3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'TIR VPL'!$G$2</c:f>
              <c:strCache>
                <c:ptCount val="1"/>
                <c:pt idx="0">
                  <c:v>RETORNO CAPITAL INVESTIDO</c:v>
                </c:pt>
              </c:strCache>
            </c:strRef>
          </c:cat>
          <c:val>
            <c:numRef>
              <c:f>'TIR VPL'!$G$11</c:f>
              <c:numCache>
                <c:formatCode>"R$"#,##0.00_);[Red]\("R$"#,##0.00\)</c:formatCode>
                <c:ptCount val="1"/>
                <c:pt idx="0">
                  <c:v>-106322.08596472733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8A-4DE9-BB4D-98A2B2F1BA5E}"/>
            </c:ext>
          </c:extLst>
        </c:ser>
        <c:ser>
          <c:idx val="9"/>
          <c:order val="9"/>
          <c:spPr>
            <a:gradFill rotWithShape="1">
              <a:gsLst>
                <a:gs pos="0">
                  <a:schemeClr val="accent4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'TIR VPL'!$G$2</c:f>
              <c:strCache>
                <c:ptCount val="1"/>
                <c:pt idx="0">
                  <c:v>RETORNO CAPITAL INVESTIDO</c:v>
                </c:pt>
              </c:strCache>
            </c:strRef>
          </c:cat>
          <c:val>
            <c:numRef>
              <c:f>'TIR VPL'!$G$12</c:f>
              <c:numCache>
                <c:formatCode>"R$"#,##0.00_);[Red]\("R$"#,##0.00\)</c:formatCode>
                <c:ptCount val="1"/>
                <c:pt idx="0">
                  <c:v>-47989.305940929691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8A-4DE9-BB4D-98A2B2F1BA5E}"/>
            </c:ext>
          </c:extLst>
        </c:ser>
        <c:ser>
          <c:idx val="10"/>
          <c:order val="10"/>
          <c:spPr>
            <a:gradFill rotWithShape="1">
              <a:gsLst>
                <a:gs pos="0">
                  <a:schemeClr val="accent5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'TIR VPL'!$G$2</c:f>
              <c:strCache>
                <c:ptCount val="1"/>
                <c:pt idx="0">
                  <c:v>RETORNO CAPITAL INVESTIDO</c:v>
                </c:pt>
              </c:strCache>
            </c:strRef>
          </c:cat>
          <c:val>
            <c:numRef>
              <c:f>'TIR VPL'!$G$13</c:f>
              <c:numCache>
                <c:formatCode>"R$"#,##0.00_);[Red]\("R$"#,##0.00\)</c:formatCode>
                <c:ptCount val="1"/>
                <c:pt idx="0">
                  <c:v>4800.5402344527829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8A-4DE9-BB4D-98A2B2F1BA5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19330528"/>
        <c:axId val="519338432"/>
      </c:barChart>
      <c:catAx>
        <c:axId val="519330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519338432"/>
        <c:crosses val="autoZero"/>
        <c:auto val="1"/>
        <c:lblAlgn val="ctr"/>
        <c:lblOffset val="100"/>
        <c:noMultiLvlLbl val="0"/>
      </c:catAx>
      <c:valAx>
        <c:axId val="51933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R$&quot;#,##0.00_);[Red]\(&quot;R$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51933052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19049</xdr:rowOff>
    </xdr:from>
    <xdr:to>
      <xdr:col>7</xdr:col>
      <xdr:colOff>9524</xdr:colOff>
      <xdr:row>39</xdr:row>
      <xdr:rowOff>19049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workbookViewId="0">
      <selection activeCell="D5" sqref="D5"/>
    </sheetView>
  </sheetViews>
  <sheetFormatPr defaultRowHeight="15" x14ac:dyDescent="0.25"/>
  <cols>
    <col min="1" max="2" width="16.140625" customWidth="1"/>
    <col min="4" max="4" width="13" customWidth="1"/>
  </cols>
  <sheetData>
    <row r="1" spans="1:4" x14ac:dyDescent="0.25">
      <c r="A1" s="199" t="s">
        <v>0</v>
      </c>
      <c r="B1" s="200"/>
      <c r="C1" s="201" t="s">
        <v>4</v>
      </c>
      <c r="D1" s="202"/>
    </row>
    <row r="2" spans="1:4" x14ac:dyDescent="0.25">
      <c r="A2" s="213" t="s">
        <v>302</v>
      </c>
      <c r="B2" s="215" t="s">
        <v>303</v>
      </c>
      <c r="C2" s="209" t="s">
        <v>5</v>
      </c>
      <c r="D2" s="211">
        <v>9</v>
      </c>
    </row>
    <row r="3" spans="1:4" ht="1.5" customHeight="1" x14ac:dyDescent="0.25">
      <c r="A3" s="214"/>
      <c r="B3" s="216"/>
      <c r="C3" s="210"/>
      <c r="D3" s="212"/>
    </row>
    <row r="4" spans="1:4" ht="15.75" thickBot="1" x14ac:dyDescent="0.3">
      <c r="A4" s="47">
        <v>0.33333333333333331</v>
      </c>
      <c r="B4" s="48">
        <v>0.5</v>
      </c>
      <c r="C4" s="49" t="s">
        <v>6</v>
      </c>
      <c r="D4" s="50">
        <v>4</v>
      </c>
    </row>
    <row r="5" spans="1:4" ht="15.75" thickBot="1" x14ac:dyDescent="0.3"/>
    <row r="6" spans="1:4" x14ac:dyDescent="0.25">
      <c r="A6" s="203" t="s">
        <v>7</v>
      </c>
      <c r="B6" s="204"/>
      <c r="C6" s="204"/>
      <c r="D6" s="1">
        <v>22</v>
      </c>
    </row>
    <row r="7" spans="1:4" ht="15.75" thickBot="1" x14ac:dyDescent="0.3">
      <c r="A7" s="205" t="s">
        <v>8</v>
      </c>
      <c r="B7" s="206"/>
      <c r="C7" s="206"/>
      <c r="D7" s="2">
        <v>4</v>
      </c>
    </row>
    <row r="8" spans="1:4" ht="15.75" thickBot="1" x14ac:dyDescent="0.3">
      <c r="A8" s="207" t="s">
        <v>189</v>
      </c>
      <c r="B8" s="208"/>
      <c r="C8" s="208"/>
      <c r="D8" s="3">
        <f>(D7*D4)+(D6*D2)</f>
        <v>214</v>
      </c>
    </row>
  </sheetData>
  <mergeCells count="9">
    <mergeCell ref="A1:B1"/>
    <mergeCell ref="C1:D1"/>
    <mergeCell ref="A6:C6"/>
    <mergeCell ref="A7:C7"/>
    <mergeCell ref="A8:C8"/>
    <mergeCell ref="C2:C3"/>
    <mergeCell ref="D2:D3"/>
    <mergeCell ref="A2:A3"/>
    <mergeCell ref="B2:B3"/>
  </mergeCells>
  <phoneticPr fontId="22" type="noConversion"/>
  <pageMargins left="0.511811024" right="0.511811024" top="0.78740157499999996" bottom="0.78740157499999996" header="0.31496062000000002" footer="0.31496062000000002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7A530-35E9-4338-A0D3-349C45F6988D}">
  <sheetPr>
    <pageSetUpPr fitToPage="1"/>
  </sheetPr>
  <dimension ref="A1:N226"/>
  <sheetViews>
    <sheetView topLeftCell="A76" zoomScale="85" zoomScaleNormal="85" workbookViewId="0">
      <selection activeCell="A221" sqref="A221:L222"/>
    </sheetView>
  </sheetViews>
  <sheetFormatPr defaultRowHeight="15" x14ac:dyDescent="0.25"/>
  <cols>
    <col min="1" max="1" width="60.85546875" customWidth="1"/>
    <col min="2" max="2" width="14.140625" bestFit="1" customWidth="1"/>
    <col min="3" max="3" width="14.85546875" bestFit="1" customWidth="1"/>
    <col min="4" max="4" width="19.85546875" bestFit="1" customWidth="1"/>
    <col min="5" max="5" width="16" bestFit="1" customWidth="1"/>
    <col min="6" max="6" width="1.42578125" customWidth="1"/>
    <col min="7" max="7" width="12.5703125" bestFit="1" customWidth="1"/>
    <col min="8" max="8" width="15.28515625" bestFit="1" customWidth="1"/>
    <col min="9" max="9" width="19.140625" bestFit="1" customWidth="1"/>
    <col min="10" max="10" width="17" customWidth="1"/>
    <col min="11" max="11" width="1.42578125" customWidth="1"/>
    <col min="12" max="12" width="16" bestFit="1" customWidth="1"/>
    <col min="13" max="13" width="16.85546875" customWidth="1"/>
  </cols>
  <sheetData>
    <row r="1" spans="1:14" x14ac:dyDescent="0.25">
      <c r="A1" s="255" t="s">
        <v>244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7"/>
    </row>
    <row r="2" spans="1:14" x14ac:dyDescent="0.25">
      <c r="A2" s="258"/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60"/>
    </row>
    <row r="3" spans="1:14" ht="18" customHeight="1" thickBot="1" x14ac:dyDescent="0.3">
      <c r="A3" s="261" t="s">
        <v>18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3"/>
    </row>
    <row r="4" spans="1:14" ht="16.5" thickBot="1" x14ac:dyDescent="0.3">
      <c r="A4" s="264"/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</row>
    <row r="5" spans="1:14" ht="15.75" thickBot="1" x14ac:dyDescent="0.3">
      <c r="A5" s="7" t="s">
        <v>249</v>
      </c>
      <c r="B5" s="4"/>
      <c r="C5" s="4"/>
      <c r="D5" s="85" t="s">
        <v>198</v>
      </c>
      <c r="E5" s="65"/>
      <c r="F5" s="265"/>
      <c r="G5" s="265"/>
      <c r="H5" s="86" t="s">
        <v>203</v>
      </c>
      <c r="I5" s="87" t="s">
        <v>200</v>
      </c>
      <c r="J5" s="87" t="s">
        <v>201</v>
      </c>
      <c r="K5" s="266" t="s">
        <v>202</v>
      </c>
      <c r="L5" s="266"/>
    </row>
    <row r="6" spans="1:14" ht="15.75" thickBot="1" x14ac:dyDescent="0.3">
      <c r="A6" s="59" t="s">
        <v>9</v>
      </c>
      <c r="B6" s="67" t="s">
        <v>3</v>
      </c>
      <c r="C6" s="64">
        <v>615</v>
      </c>
      <c r="D6" s="71"/>
      <c r="E6" s="68"/>
      <c r="F6" s="254"/>
      <c r="G6" s="254"/>
      <c r="H6" s="66" t="s">
        <v>255</v>
      </c>
      <c r="I6" s="178">
        <f>C6</f>
        <v>615</v>
      </c>
      <c r="J6" s="61">
        <f>ROUND(I6/4.5,0)</f>
        <v>137</v>
      </c>
      <c r="K6" s="239">
        <f>ROUND(I6*1.9,0)</f>
        <v>1169</v>
      </c>
      <c r="L6" s="239"/>
      <c r="M6" s="43"/>
      <c r="N6" s="43"/>
    </row>
    <row r="7" spans="1:14" ht="15.75" thickBot="1" x14ac:dyDescent="0.3">
      <c r="A7" s="179" t="s">
        <v>9</v>
      </c>
      <c r="B7" s="180" t="s">
        <v>1</v>
      </c>
      <c r="C7" s="181">
        <v>0</v>
      </c>
      <c r="D7" s="71"/>
      <c r="E7" s="68"/>
      <c r="F7" s="68"/>
      <c r="G7" s="68"/>
      <c r="H7" s="66" t="s">
        <v>266</v>
      </c>
      <c r="I7" s="178">
        <v>68</v>
      </c>
      <c r="J7" s="61">
        <f>ROUND(I7/12,0)</f>
        <v>6</v>
      </c>
      <c r="K7" s="239">
        <f>ROUND(I7*0.5,0)</f>
        <v>34</v>
      </c>
      <c r="L7" s="239"/>
      <c r="M7" s="43"/>
      <c r="N7" s="43"/>
    </row>
    <row r="8" spans="1:14" x14ac:dyDescent="0.25">
      <c r="A8" s="267" t="s">
        <v>190</v>
      </c>
      <c r="B8" s="176" t="s">
        <v>252</v>
      </c>
      <c r="C8" s="177">
        <v>50</v>
      </c>
      <c r="D8" s="72">
        <f>ROUND(($C$6+$C$7)/C8,0)</f>
        <v>12</v>
      </c>
      <c r="E8" s="68"/>
      <c r="F8" s="254"/>
      <c r="G8" s="254"/>
      <c r="H8" s="66" t="s">
        <v>254</v>
      </c>
      <c r="I8" s="178">
        <v>34</v>
      </c>
      <c r="J8" s="61">
        <f>I8</f>
        <v>34</v>
      </c>
      <c r="K8" s="239">
        <f>ROUND(I8*2.5,0)</f>
        <v>85</v>
      </c>
      <c r="L8" s="239"/>
      <c r="M8" s="43"/>
      <c r="N8" s="43"/>
    </row>
    <row r="9" spans="1:14" x14ac:dyDescent="0.25">
      <c r="A9" s="268"/>
      <c r="B9" s="62" t="s">
        <v>251</v>
      </c>
      <c r="C9" s="69">
        <v>100</v>
      </c>
      <c r="D9" s="72">
        <f>ROUND(($C$6+$C$7)/C9,0)</f>
        <v>6</v>
      </c>
      <c r="E9" s="68"/>
      <c r="F9" s="254"/>
      <c r="G9" s="254"/>
      <c r="H9" s="66" t="s">
        <v>2</v>
      </c>
      <c r="I9" s="178">
        <v>19</v>
      </c>
      <c r="J9" s="61">
        <f>I9</f>
        <v>19</v>
      </c>
      <c r="K9" s="239">
        <f t="shared" ref="K9:K11" si="0">ROUND(I9*2.5,0)</f>
        <v>48</v>
      </c>
      <c r="L9" s="239"/>
      <c r="M9" s="43"/>
      <c r="N9" s="43"/>
    </row>
    <row r="10" spans="1:14" ht="15.75" thickBot="1" x14ac:dyDescent="0.3">
      <c r="A10" s="269"/>
      <c r="B10" s="63" t="s">
        <v>250</v>
      </c>
      <c r="C10" s="70">
        <v>60</v>
      </c>
      <c r="D10" s="72">
        <f>ROUND(($C$6+$C$7)/C10,0)</f>
        <v>10</v>
      </c>
      <c r="E10" s="68"/>
      <c r="F10" s="254"/>
      <c r="G10" s="254"/>
      <c r="H10" s="66" t="s">
        <v>206</v>
      </c>
      <c r="I10" s="178">
        <v>10</v>
      </c>
      <c r="J10" s="61">
        <f>I10</f>
        <v>10</v>
      </c>
      <c r="K10" s="239">
        <f t="shared" si="0"/>
        <v>25</v>
      </c>
      <c r="L10" s="239"/>
      <c r="M10" s="43"/>
      <c r="N10" s="43"/>
    </row>
    <row r="11" spans="1:14" x14ac:dyDescent="0.25">
      <c r="A11" s="4"/>
      <c r="B11" s="4"/>
      <c r="C11" s="4"/>
      <c r="D11" s="4"/>
      <c r="E11" s="4"/>
      <c r="F11" s="4"/>
      <c r="G11" s="60"/>
      <c r="H11" s="66" t="s">
        <v>199</v>
      </c>
      <c r="I11" s="178">
        <v>7</v>
      </c>
      <c r="J11" s="61">
        <f>I11</f>
        <v>7</v>
      </c>
      <c r="K11" s="239">
        <f t="shared" si="0"/>
        <v>18</v>
      </c>
      <c r="L11" s="239"/>
      <c r="M11" s="43"/>
      <c r="N11" s="43"/>
    </row>
    <row r="12" spans="1:14" x14ac:dyDescent="0.25">
      <c r="A12" s="4"/>
      <c r="B12" s="4"/>
      <c r="C12" s="4"/>
      <c r="D12" s="4"/>
      <c r="E12" s="4"/>
      <c r="F12" s="4"/>
      <c r="G12" s="60"/>
      <c r="H12" s="66" t="s">
        <v>204</v>
      </c>
      <c r="I12" s="178">
        <f>SUM(I6:I11)</f>
        <v>753</v>
      </c>
      <c r="J12" s="61">
        <f>SUM(J5:J11)</f>
        <v>213</v>
      </c>
      <c r="K12" s="239">
        <f>SUM(K5:L11)</f>
        <v>1379</v>
      </c>
      <c r="L12" s="239"/>
      <c r="M12" s="43"/>
      <c r="N12" s="43"/>
    </row>
    <row r="13" spans="1:14" x14ac:dyDescent="0.25">
      <c r="A13" s="4"/>
      <c r="B13" s="4"/>
      <c r="C13" s="4"/>
      <c r="D13" s="4"/>
      <c r="E13" s="4"/>
      <c r="F13" s="4"/>
      <c r="G13" s="60"/>
      <c r="H13" s="66"/>
      <c r="I13" s="61"/>
      <c r="J13" s="61"/>
      <c r="K13" s="239"/>
      <c r="L13" s="239"/>
      <c r="M13" s="43"/>
      <c r="N13" s="43"/>
    </row>
    <row r="14" spans="1:14" ht="15.75" thickBot="1" x14ac:dyDescent="0.3">
      <c r="A14" s="4"/>
      <c r="B14" s="4"/>
      <c r="C14" s="4"/>
      <c r="D14" s="4"/>
      <c r="E14" s="4"/>
      <c r="F14" s="4"/>
      <c r="G14" s="60"/>
      <c r="H14" s="60"/>
      <c r="I14" s="60"/>
      <c r="J14" s="60"/>
      <c r="K14" s="60"/>
      <c r="L14" s="60"/>
      <c r="M14" s="43"/>
      <c r="N14" s="43"/>
    </row>
    <row r="15" spans="1:14" x14ac:dyDescent="0.25">
      <c r="A15" s="7" t="s">
        <v>243</v>
      </c>
      <c r="B15" s="4"/>
      <c r="C15" s="240" t="s">
        <v>10</v>
      </c>
      <c r="D15" s="241"/>
      <c r="E15" s="241"/>
      <c r="F15" s="241"/>
      <c r="G15" s="241"/>
      <c r="H15" s="241"/>
      <c r="I15" s="241"/>
      <c r="J15" s="241"/>
      <c r="K15" s="241"/>
      <c r="L15" s="242"/>
    </row>
    <row r="16" spans="1:14" ht="15.75" thickBot="1" x14ac:dyDescent="0.3">
      <c r="A16" s="4"/>
      <c r="B16" s="4"/>
      <c r="C16" s="243"/>
      <c r="D16" s="244"/>
      <c r="E16" s="244"/>
      <c r="F16" s="244"/>
      <c r="G16" s="244"/>
      <c r="H16" s="244"/>
      <c r="I16" s="244"/>
      <c r="J16" s="244"/>
      <c r="K16" s="244"/>
      <c r="L16" s="245"/>
    </row>
    <row r="17" spans="1:12" x14ac:dyDescent="0.25">
      <c r="A17" s="4"/>
      <c r="B17" s="4"/>
      <c r="C17" s="246" t="s">
        <v>11</v>
      </c>
      <c r="D17" s="247"/>
      <c r="E17" s="248"/>
      <c r="F17" s="5"/>
      <c r="G17" s="246" t="s">
        <v>12</v>
      </c>
      <c r="H17" s="247"/>
      <c r="I17" s="247"/>
      <c r="J17" s="248"/>
      <c r="K17" s="5"/>
      <c r="L17" s="252" t="s">
        <v>13</v>
      </c>
    </row>
    <row r="18" spans="1:12" x14ac:dyDescent="0.25">
      <c r="A18" s="4"/>
      <c r="B18" s="4"/>
      <c r="C18" s="249"/>
      <c r="D18" s="250"/>
      <c r="E18" s="251"/>
      <c r="F18" s="5"/>
      <c r="G18" s="249"/>
      <c r="H18" s="250"/>
      <c r="I18" s="250"/>
      <c r="J18" s="251"/>
      <c r="K18" s="5"/>
      <c r="L18" s="253"/>
    </row>
    <row r="19" spans="1:12" ht="16.5" thickBot="1" x14ac:dyDescent="0.3">
      <c r="A19" s="4"/>
      <c r="B19" s="4"/>
      <c r="C19" s="220"/>
      <c r="D19" s="221"/>
      <c r="E19" s="222"/>
      <c r="F19" s="6"/>
      <c r="G19" s="220"/>
      <c r="H19" s="221"/>
      <c r="I19" s="221"/>
      <c r="J19" s="222"/>
      <c r="K19" s="6"/>
      <c r="L19" s="88"/>
    </row>
    <row r="20" spans="1:12" ht="15.75" customHeight="1" x14ac:dyDescent="0.25">
      <c r="A20" s="229" t="s">
        <v>215</v>
      </c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1"/>
    </row>
    <row r="21" spans="1:12" ht="15.75" thickBot="1" x14ac:dyDescent="0.3">
      <c r="A21" s="232" t="s">
        <v>216</v>
      </c>
      <c r="B21" s="233"/>
      <c r="C21" s="233"/>
      <c r="D21" s="233"/>
      <c r="E21" s="233"/>
      <c r="F21" s="233"/>
      <c r="G21" s="233"/>
      <c r="H21" s="233"/>
      <c r="I21" s="233"/>
      <c r="J21" s="233"/>
      <c r="K21" s="233"/>
      <c r="L21" s="234"/>
    </row>
    <row r="22" spans="1:12" ht="15.75" thickBot="1" x14ac:dyDescent="0.3">
      <c r="A22" s="110" t="s">
        <v>14</v>
      </c>
      <c r="B22" s="111" t="s">
        <v>15</v>
      </c>
      <c r="C22" s="111" t="s">
        <v>20</v>
      </c>
      <c r="D22" s="111" t="s">
        <v>19</v>
      </c>
      <c r="E22" s="112" t="s">
        <v>16</v>
      </c>
      <c r="F22" s="113"/>
      <c r="G22" s="114" t="s">
        <v>15</v>
      </c>
      <c r="H22" s="115" t="s">
        <v>20</v>
      </c>
      <c r="I22" s="115" t="s">
        <v>19</v>
      </c>
      <c r="J22" s="116" t="s">
        <v>17</v>
      </c>
      <c r="K22" s="113"/>
      <c r="L22" s="17" t="s">
        <v>13</v>
      </c>
    </row>
    <row r="23" spans="1:12" x14ac:dyDescent="0.25">
      <c r="A23" s="117" t="s">
        <v>21</v>
      </c>
      <c r="B23" s="118" t="s">
        <v>29</v>
      </c>
      <c r="C23" s="61">
        <f>D10</f>
        <v>10</v>
      </c>
      <c r="D23" s="119">
        <v>34000</v>
      </c>
      <c r="E23" s="120">
        <f>C23*D23</f>
        <v>340000</v>
      </c>
      <c r="F23" s="4"/>
      <c r="G23" s="121" t="s">
        <v>29</v>
      </c>
      <c r="H23" s="122"/>
      <c r="I23" s="123"/>
      <c r="J23" s="124"/>
      <c r="K23" s="4"/>
      <c r="L23" s="125">
        <f>J23+E23</f>
        <v>340000</v>
      </c>
    </row>
    <row r="24" spans="1:12" x14ac:dyDescent="0.25">
      <c r="A24" s="117" t="s">
        <v>22</v>
      </c>
      <c r="B24" s="118" t="s">
        <v>29</v>
      </c>
      <c r="C24" s="61"/>
      <c r="D24" s="119"/>
      <c r="E24" s="120">
        <f t="shared" ref="E24:E33" si="1">C24*D24</f>
        <v>0</v>
      </c>
      <c r="F24" s="4"/>
      <c r="G24" s="126" t="s">
        <v>29</v>
      </c>
      <c r="H24" s="61">
        <f>C23</f>
        <v>10</v>
      </c>
      <c r="I24" s="119">
        <v>85</v>
      </c>
      <c r="J24" s="120">
        <f t="shared" ref="J24:J33" si="2">H24*I24</f>
        <v>850</v>
      </c>
      <c r="K24" s="4"/>
      <c r="L24" s="127">
        <f t="shared" ref="L24:L33" si="3">J24+E24</f>
        <v>850</v>
      </c>
    </row>
    <row r="25" spans="1:12" x14ac:dyDescent="0.25">
      <c r="A25" s="117" t="s">
        <v>210</v>
      </c>
      <c r="B25" s="118" t="s">
        <v>29</v>
      </c>
      <c r="C25" s="61">
        <f>C23</f>
        <v>10</v>
      </c>
      <c r="D25" s="119">
        <v>175</v>
      </c>
      <c r="E25" s="120">
        <f t="shared" si="1"/>
        <v>1750</v>
      </c>
      <c r="F25" s="4"/>
      <c r="G25" s="126" t="s">
        <v>29</v>
      </c>
      <c r="H25" s="61"/>
      <c r="I25" s="119"/>
      <c r="J25" s="120">
        <f t="shared" si="2"/>
        <v>0</v>
      </c>
      <c r="K25" s="4"/>
      <c r="L25" s="127">
        <f t="shared" si="3"/>
        <v>1750</v>
      </c>
    </row>
    <row r="26" spans="1:12" x14ac:dyDescent="0.25">
      <c r="A26" s="117" t="s">
        <v>23</v>
      </c>
      <c r="B26" s="118" t="s">
        <v>29</v>
      </c>
      <c r="C26" s="61">
        <v>1</v>
      </c>
      <c r="D26" s="119">
        <v>1500</v>
      </c>
      <c r="E26" s="120">
        <f t="shared" si="1"/>
        <v>1500</v>
      </c>
      <c r="F26" s="4"/>
      <c r="G26" s="126" t="s">
        <v>29</v>
      </c>
      <c r="H26" s="61"/>
      <c r="I26" s="119"/>
      <c r="J26" s="120">
        <f t="shared" si="2"/>
        <v>0</v>
      </c>
      <c r="K26" s="4"/>
      <c r="L26" s="127">
        <f t="shared" si="3"/>
        <v>1500</v>
      </c>
    </row>
    <row r="27" spans="1:12" x14ac:dyDescent="0.25">
      <c r="A27" s="117" t="s">
        <v>24</v>
      </c>
      <c r="B27" s="118" t="s">
        <v>29</v>
      </c>
      <c r="C27" s="61">
        <f>C23</f>
        <v>10</v>
      </c>
      <c r="D27" s="119">
        <v>450</v>
      </c>
      <c r="E27" s="120">
        <f t="shared" si="1"/>
        <v>4500</v>
      </c>
      <c r="F27" s="4"/>
      <c r="G27" s="126" t="s">
        <v>29</v>
      </c>
      <c r="H27" s="61"/>
      <c r="I27" s="119"/>
      <c r="J27" s="120">
        <f t="shared" si="2"/>
        <v>0</v>
      </c>
      <c r="K27" s="4"/>
      <c r="L27" s="127">
        <f t="shared" si="3"/>
        <v>4500</v>
      </c>
    </row>
    <row r="28" spans="1:12" x14ac:dyDescent="0.25">
      <c r="A28" s="117" t="s">
        <v>25</v>
      </c>
      <c r="B28" s="118" t="s">
        <v>29</v>
      </c>
      <c r="C28" s="61">
        <v>3</v>
      </c>
      <c r="D28" s="119">
        <v>250</v>
      </c>
      <c r="E28" s="120">
        <f t="shared" si="1"/>
        <v>750</v>
      </c>
      <c r="F28" s="4"/>
      <c r="G28" s="126" t="s">
        <v>29</v>
      </c>
      <c r="H28" s="61"/>
      <c r="I28" s="119"/>
      <c r="J28" s="120">
        <f t="shared" si="2"/>
        <v>0</v>
      </c>
      <c r="K28" s="4"/>
      <c r="L28" s="127">
        <f t="shared" si="3"/>
        <v>750</v>
      </c>
    </row>
    <row r="29" spans="1:12" x14ac:dyDescent="0.25">
      <c r="A29" s="117" t="s">
        <v>26</v>
      </c>
      <c r="B29" s="118" t="s">
        <v>29</v>
      </c>
      <c r="C29" s="61">
        <v>1</v>
      </c>
      <c r="D29" s="119">
        <v>1200</v>
      </c>
      <c r="E29" s="120">
        <f t="shared" si="1"/>
        <v>1200</v>
      </c>
      <c r="F29" s="4"/>
      <c r="G29" s="126" t="s">
        <v>29</v>
      </c>
      <c r="H29" s="61"/>
      <c r="I29" s="119"/>
      <c r="J29" s="120">
        <f t="shared" si="2"/>
        <v>0</v>
      </c>
      <c r="K29" s="4"/>
      <c r="L29" s="127">
        <f t="shared" si="3"/>
        <v>1200</v>
      </c>
    </row>
    <row r="30" spans="1:12" x14ac:dyDescent="0.25">
      <c r="A30" s="117" t="s">
        <v>27</v>
      </c>
      <c r="B30" s="118" t="s">
        <v>29</v>
      </c>
      <c r="C30" s="61"/>
      <c r="D30" s="119"/>
      <c r="E30" s="120">
        <f t="shared" si="1"/>
        <v>0</v>
      </c>
      <c r="F30" s="4"/>
      <c r="G30" s="126" t="s">
        <v>29</v>
      </c>
      <c r="H30" s="61">
        <f>C23</f>
        <v>10</v>
      </c>
      <c r="I30" s="119">
        <v>90</v>
      </c>
      <c r="J30" s="120">
        <f t="shared" si="2"/>
        <v>900</v>
      </c>
      <c r="K30" s="4"/>
      <c r="L30" s="127">
        <f t="shared" si="3"/>
        <v>900</v>
      </c>
    </row>
    <row r="31" spans="1:12" x14ac:dyDescent="0.25">
      <c r="A31" s="117" t="s">
        <v>28</v>
      </c>
      <c r="B31" s="118" t="s">
        <v>30</v>
      </c>
      <c r="C31" s="61"/>
      <c r="D31" s="119"/>
      <c r="E31" s="120">
        <f t="shared" si="1"/>
        <v>0</v>
      </c>
      <c r="F31" s="4"/>
      <c r="G31" s="126" t="s">
        <v>30</v>
      </c>
      <c r="H31" s="61">
        <f>C23</f>
        <v>10</v>
      </c>
      <c r="I31" s="119">
        <v>60</v>
      </c>
      <c r="J31" s="120">
        <f t="shared" si="2"/>
        <v>600</v>
      </c>
      <c r="K31" s="4"/>
      <c r="L31" s="127">
        <f t="shared" si="3"/>
        <v>600</v>
      </c>
    </row>
    <row r="32" spans="1:12" x14ac:dyDescent="0.25">
      <c r="A32" s="117" t="s">
        <v>270</v>
      </c>
      <c r="B32" s="118" t="s">
        <v>29</v>
      </c>
      <c r="C32" s="61">
        <v>0</v>
      </c>
      <c r="D32" s="119">
        <v>0</v>
      </c>
      <c r="E32" s="120">
        <f t="shared" si="1"/>
        <v>0</v>
      </c>
      <c r="F32" s="4"/>
      <c r="G32" s="126"/>
      <c r="H32" s="61"/>
      <c r="I32" s="119"/>
      <c r="J32" s="120"/>
      <c r="K32" s="4"/>
      <c r="L32" s="127">
        <f>E32</f>
        <v>0</v>
      </c>
    </row>
    <row r="33" spans="1:12" x14ac:dyDescent="0.25">
      <c r="A33" s="117" t="s">
        <v>74</v>
      </c>
      <c r="B33" s="61"/>
      <c r="C33" s="61"/>
      <c r="D33" s="119"/>
      <c r="E33" s="120">
        <f t="shared" si="1"/>
        <v>0</v>
      </c>
      <c r="F33" s="4"/>
      <c r="G33" s="128" t="s">
        <v>30</v>
      </c>
      <c r="H33" s="61">
        <f>C23</f>
        <v>10</v>
      </c>
      <c r="I33" s="119">
        <v>49</v>
      </c>
      <c r="J33" s="120">
        <f t="shared" si="2"/>
        <v>490</v>
      </c>
      <c r="K33" s="4"/>
      <c r="L33" s="127">
        <f t="shared" si="3"/>
        <v>490</v>
      </c>
    </row>
    <row r="34" spans="1:12" ht="15.75" thickBot="1" x14ac:dyDescent="0.3">
      <c r="A34" s="129" t="s">
        <v>13</v>
      </c>
      <c r="B34" s="130"/>
      <c r="C34" s="130"/>
      <c r="D34" s="131"/>
      <c r="E34" s="132">
        <f>SUM(E23:E33)</f>
        <v>349700</v>
      </c>
      <c r="F34" s="133"/>
      <c r="G34" s="134"/>
      <c r="H34" s="130"/>
      <c r="I34" s="131"/>
      <c r="J34" s="132">
        <f>SUM(J23:J33)</f>
        <v>2840</v>
      </c>
      <c r="K34" s="133"/>
      <c r="L34" s="135">
        <f>SUM(L23:L33)</f>
        <v>352540</v>
      </c>
    </row>
    <row r="35" spans="1:12" ht="15.75" thickBot="1" x14ac:dyDescent="0.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</row>
    <row r="36" spans="1:12" ht="15.75" thickBot="1" x14ac:dyDescent="0.3">
      <c r="A36" s="217" t="s">
        <v>217</v>
      </c>
      <c r="B36" s="218"/>
      <c r="C36" s="218"/>
      <c r="D36" s="218"/>
      <c r="E36" s="218"/>
      <c r="F36" s="218"/>
      <c r="G36" s="218"/>
      <c r="H36" s="218"/>
      <c r="I36" s="218"/>
      <c r="J36" s="218"/>
      <c r="K36" s="218"/>
      <c r="L36" s="219"/>
    </row>
    <row r="37" spans="1:12" ht="15.75" thickBot="1" x14ac:dyDescent="0.3">
      <c r="A37" s="136" t="s">
        <v>14</v>
      </c>
      <c r="B37" s="137" t="s">
        <v>15</v>
      </c>
      <c r="C37" s="137" t="s">
        <v>20</v>
      </c>
      <c r="D37" s="137" t="s">
        <v>19</v>
      </c>
      <c r="E37" s="138" t="s">
        <v>16</v>
      </c>
      <c r="F37" s="139"/>
      <c r="G37" s="136" t="s">
        <v>15</v>
      </c>
      <c r="H37" s="137" t="s">
        <v>20</v>
      </c>
      <c r="I37" s="137" t="s">
        <v>19</v>
      </c>
      <c r="J37" s="138" t="s">
        <v>17</v>
      </c>
      <c r="K37" s="139"/>
      <c r="L37" s="140" t="s">
        <v>13</v>
      </c>
    </row>
    <row r="38" spans="1:12" x14ac:dyDescent="0.25">
      <c r="A38" s="117" t="s">
        <v>192</v>
      </c>
      <c r="B38" s="61" t="s">
        <v>29</v>
      </c>
      <c r="C38" s="61">
        <v>2</v>
      </c>
      <c r="D38" s="119">
        <v>4500</v>
      </c>
      <c r="E38" s="120">
        <f>C38*D38</f>
        <v>9000</v>
      </c>
      <c r="F38" s="4"/>
      <c r="G38" s="117" t="s">
        <v>29</v>
      </c>
      <c r="H38" s="61"/>
      <c r="I38" s="119"/>
      <c r="J38" s="120"/>
      <c r="K38" s="4"/>
      <c r="L38" s="125">
        <f t="shared" ref="L38:L39" si="4">J38+E38</f>
        <v>9000</v>
      </c>
    </row>
    <row r="39" spans="1:12" x14ac:dyDescent="0.25">
      <c r="A39" s="117" t="s">
        <v>31</v>
      </c>
      <c r="B39" s="61" t="s">
        <v>29</v>
      </c>
      <c r="C39" s="61">
        <v>1</v>
      </c>
      <c r="D39" s="119">
        <v>1800</v>
      </c>
      <c r="E39" s="120">
        <f>C39*D39</f>
        <v>1800</v>
      </c>
      <c r="F39" s="4"/>
      <c r="G39" s="117" t="s">
        <v>29</v>
      </c>
      <c r="H39" s="61"/>
      <c r="I39" s="119"/>
      <c r="J39" s="120"/>
      <c r="K39" s="4"/>
      <c r="L39" s="127">
        <f t="shared" si="4"/>
        <v>1800</v>
      </c>
    </row>
    <row r="40" spans="1:12" ht="15.75" thickBot="1" x14ac:dyDescent="0.3">
      <c r="A40" s="109" t="s">
        <v>13</v>
      </c>
      <c r="B40" s="141"/>
      <c r="C40" s="141"/>
      <c r="D40" s="141"/>
      <c r="E40" s="142">
        <f>SUM(E38:E39)</f>
        <v>10800</v>
      </c>
      <c r="F40" s="133"/>
      <c r="G40" s="143"/>
      <c r="H40" s="141"/>
      <c r="I40" s="141"/>
      <c r="J40" s="142"/>
      <c r="K40" s="133"/>
      <c r="L40" s="135">
        <f>SUM(L38:L39)</f>
        <v>10800</v>
      </c>
    </row>
    <row r="41" spans="1:12" ht="15.75" thickBot="1" x14ac:dyDescent="0.3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</row>
    <row r="42" spans="1:12" ht="15.75" thickBot="1" x14ac:dyDescent="0.3">
      <c r="A42" s="217" t="s">
        <v>218</v>
      </c>
      <c r="B42" s="218"/>
      <c r="C42" s="218"/>
      <c r="D42" s="218"/>
      <c r="E42" s="218"/>
      <c r="F42" s="218"/>
      <c r="G42" s="218"/>
      <c r="H42" s="218"/>
      <c r="I42" s="218"/>
      <c r="J42" s="218"/>
      <c r="K42" s="218"/>
      <c r="L42" s="219"/>
    </row>
    <row r="43" spans="1:12" ht="15.75" thickBot="1" x14ac:dyDescent="0.3">
      <c r="A43" s="136" t="s">
        <v>14</v>
      </c>
      <c r="B43" s="137" t="s">
        <v>15</v>
      </c>
      <c r="C43" s="137" t="s">
        <v>20</v>
      </c>
      <c r="D43" s="137" t="s">
        <v>19</v>
      </c>
      <c r="E43" s="138" t="s">
        <v>16</v>
      </c>
      <c r="F43" s="139"/>
      <c r="G43" s="136" t="s">
        <v>15</v>
      </c>
      <c r="H43" s="137" t="s">
        <v>20</v>
      </c>
      <c r="I43" s="137" t="s">
        <v>19</v>
      </c>
      <c r="J43" s="138" t="s">
        <v>17</v>
      </c>
      <c r="K43" s="139"/>
      <c r="L43" s="140" t="s">
        <v>13</v>
      </c>
    </row>
    <row r="44" spans="1:12" x14ac:dyDescent="0.25">
      <c r="A44" s="117" t="s">
        <v>32</v>
      </c>
      <c r="B44" s="61" t="s">
        <v>29</v>
      </c>
      <c r="C44" s="61">
        <f>J12</f>
        <v>213</v>
      </c>
      <c r="D44" s="119">
        <v>196</v>
      </c>
      <c r="E44" s="120">
        <f>C44*D44</f>
        <v>41748</v>
      </c>
      <c r="F44" s="4"/>
      <c r="G44" s="117" t="s">
        <v>29</v>
      </c>
      <c r="H44" s="61"/>
      <c r="I44" s="119"/>
      <c r="J44" s="120"/>
      <c r="K44" s="4"/>
      <c r="L44" s="125">
        <f>J44+E44</f>
        <v>41748</v>
      </c>
    </row>
    <row r="45" spans="1:12" x14ac:dyDescent="0.25">
      <c r="A45" s="117" t="s">
        <v>33</v>
      </c>
      <c r="B45" s="61" t="s">
        <v>34</v>
      </c>
      <c r="C45" s="61">
        <f>C44</f>
        <v>213</v>
      </c>
      <c r="D45" s="119">
        <v>141</v>
      </c>
      <c r="E45" s="120">
        <f t="shared" ref="E45:E51" si="5">C45*D45</f>
        <v>30033</v>
      </c>
      <c r="F45" s="4"/>
      <c r="G45" s="117" t="s">
        <v>34</v>
      </c>
      <c r="H45" s="61"/>
      <c r="I45" s="119"/>
      <c r="J45" s="120"/>
      <c r="K45" s="4"/>
      <c r="L45" s="127">
        <f t="shared" ref="L45:L53" si="6">J45+E45</f>
        <v>30033</v>
      </c>
    </row>
    <row r="46" spans="1:12" x14ac:dyDescent="0.25">
      <c r="A46" s="117" t="s">
        <v>35</v>
      </c>
      <c r="B46" s="61" t="s">
        <v>34</v>
      </c>
      <c r="C46" s="61">
        <f>C45</f>
        <v>213</v>
      </c>
      <c r="D46" s="119">
        <v>67</v>
      </c>
      <c r="E46" s="120">
        <f t="shared" si="5"/>
        <v>14271</v>
      </c>
      <c r="F46" s="4"/>
      <c r="G46" s="117" t="s">
        <v>34</v>
      </c>
      <c r="H46" s="61"/>
      <c r="I46" s="119"/>
      <c r="J46" s="120"/>
      <c r="K46" s="4"/>
      <c r="L46" s="127">
        <f t="shared" si="6"/>
        <v>14271</v>
      </c>
    </row>
    <row r="47" spans="1:12" ht="17.25" x14ac:dyDescent="0.25">
      <c r="A47" s="117" t="s">
        <v>36</v>
      </c>
      <c r="B47" s="61" t="s">
        <v>253</v>
      </c>
      <c r="C47" s="61">
        <f>K6</f>
        <v>1169</v>
      </c>
      <c r="D47" s="119">
        <v>19.5</v>
      </c>
      <c r="E47" s="120">
        <f t="shared" si="5"/>
        <v>22795.5</v>
      </c>
      <c r="F47" s="4"/>
      <c r="G47" s="117" t="s">
        <v>253</v>
      </c>
      <c r="H47" s="61"/>
      <c r="I47" s="119"/>
      <c r="J47" s="120"/>
      <c r="K47" s="4"/>
      <c r="L47" s="127">
        <f t="shared" si="6"/>
        <v>22795.5</v>
      </c>
    </row>
    <row r="48" spans="1:12" ht="17.25" x14ac:dyDescent="0.25">
      <c r="A48" s="117" t="s">
        <v>37</v>
      </c>
      <c r="B48" s="61" t="s">
        <v>253</v>
      </c>
      <c r="C48" s="61">
        <f>K8</f>
        <v>85</v>
      </c>
      <c r="D48" s="119">
        <v>25</v>
      </c>
      <c r="E48" s="120">
        <f t="shared" si="5"/>
        <v>2125</v>
      </c>
      <c r="F48" s="4"/>
      <c r="G48" s="117" t="s">
        <v>253</v>
      </c>
      <c r="H48" s="61"/>
      <c r="I48" s="119"/>
      <c r="J48" s="120"/>
      <c r="K48" s="4"/>
      <c r="L48" s="127">
        <f t="shared" si="6"/>
        <v>2125</v>
      </c>
    </row>
    <row r="49" spans="1:13" ht="17.25" x14ac:dyDescent="0.25">
      <c r="A49" s="117" t="s">
        <v>38</v>
      </c>
      <c r="B49" s="61" t="s">
        <v>253</v>
      </c>
      <c r="C49" s="61">
        <f>K9</f>
        <v>48</v>
      </c>
      <c r="D49" s="119">
        <v>25</v>
      </c>
      <c r="E49" s="120">
        <f t="shared" si="5"/>
        <v>1200</v>
      </c>
      <c r="F49" s="4"/>
      <c r="G49" s="117" t="s">
        <v>253</v>
      </c>
      <c r="H49" s="61"/>
      <c r="I49" s="119"/>
      <c r="J49" s="120"/>
      <c r="K49" s="4"/>
      <c r="L49" s="127">
        <f t="shared" si="6"/>
        <v>1200</v>
      </c>
    </row>
    <row r="50" spans="1:13" ht="17.25" x14ac:dyDescent="0.25">
      <c r="A50" s="117" t="s">
        <v>205</v>
      </c>
      <c r="B50" s="61" t="s">
        <v>253</v>
      </c>
      <c r="C50" s="61">
        <f>K10</f>
        <v>25</v>
      </c>
      <c r="D50" s="119">
        <v>25</v>
      </c>
      <c r="E50" s="120">
        <f t="shared" si="5"/>
        <v>625</v>
      </c>
      <c r="F50" s="4"/>
      <c r="G50" s="117" t="s">
        <v>253</v>
      </c>
      <c r="H50" s="61"/>
      <c r="I50" s="119"/>
      <c r="J50" s="120"/>
      <c r="K50" s="4"/>
      <c r="L50" s="127">
        <f t="shared" si="6"/>
        <v>625</v>
      </c>
    </row>
    <row r="51" spans="1:13" ht="17.25" x14ac:dyDescent="0.25">
      <c r="A51" s="117" t="s">
        <v>39</v>
      </c>
      <c r="B51" s="61" t="s">
        <v>253</v>
      </c>
      <c r="C51" s="61">
        <f>K11</f>
        <v>18</v>
      </c>
      <c r="D51" s="119">
        <v>25</v>
      </c>
      <c r="E51" s="120">
        <f t="shared" si="5"/>
        <v>450</v>
      </c>
      <c r="F51" s="4"/>
      <c r="G51" s="117" t="s">
        <v>253</v>
      </c>
      <c r="H51" s="61"/>
      <c r="I51" s="119"/>
      <c r="J51" s="120"/>
      <c r="K51" s="4"/>
      <c r="L51" s="127">
        <f t="shared" si="6"/>
        <v>450</v>
      </c>
    </row>
    <row r="52" spans="1:13" x14ac:dyDescent="0.25">
      <c r="A52" s="117" t="s">
        <v>269</v>
      </c>
      <c r="B52" s="61"/>
      <c r="C52" s="61"/>
      <c r="D52" s="119"/>
      <c r="E52" s="120"/>
      <c r="F52" s="4"/>
      <c r="G52" s="117" t="s">
        <v>29</v>
      </c>
      <c r="H52" s="61">
        <f>C44*1%</f>
        <v>2.13</v>
      </c>
      <c r="I52" s="119">
        <f>SUM(D44:D46)</f>
        <v>404</v>
      </c>
      <c r="J52" s="120">
        <f>I52*H52</f>
        <v>860.52</v>
      </c>
      <c r="K52" s="4"/>
      <c r="L52" s="127">
        <f t="shared" si="6"/>
        <v>860.52</v>
      </c>
    </row>
    <row r="53" spans="1:13" x14ac:dyDescent="0.25">
      <c r="A53" s="117" t="s">
        <v>305</v>
      </c>
      <c r="B53" s="61"/>
      <c r="C53" s="61"/>
      <c r="D53" s="119"/>
      <c r="E53" s="120"/>
      <c r="F53" s="4"/>
      <c r="G53" s="117" t="s">
        <v>172</v>
      </c>
      <c r="H53" s="61">
        <f>SUM(C47:C51)*6%</f>
        <v>80.7</v>
      </c>
      <c r="I53" s="119">
        <f>SUM(E47:E51)/SUM(C47:C51)</f>
        <v>20.219702602230484</v>
      </c>
      <c r="J53" s="120">
        <f>I53*H53</f>
        <v>1631.73</v>
      </c>
      <c r="K53" s="4"/>
      <c r="L53" s="127">
        <f t="shared" si="6"/>
        <v>1631.73</v>
      </c>
      <c r="M53" s="26"/>
    </row>
    <row r="54" spans="1:13" ht="15.75" thickBot="1" x14ac:dyDescent="0.3">
      <c r="A54" s="109" t="s">
        <v>13</v>
      </c>
      <c r="B54" s="141"/>
      <c r="C54" s="141"/>
      <c r="D54" s="141"/>
      <c r="E54" s="142">
        <f>SUM(E44:E53)</f>
        <v>113247.5</v>
      </c>
      <c r="F54" s="133"/>
      <c r="G54" s="143"/>
      <c r="H54" s="141"/>
      <c r="I54" s="141"/>
      <c r="J54" s="142">
        <f>SUM(J44:J53)</f>
        <v>2492.25</v>
      </c>
      <c r="K54" s="133"/>
      <c r="L54" s="135">
        <f>SUM(L44:L53)</f>
        <v>115739.75</v>
      </c>
    </row>
    <row r="55" spans="1:13" ht="15.75" thickBot="1" x14ac:dyDescent="0.3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</row>
    <row r="56" spans="1:13" ht="15.75" thickBot="1" x14ac:dyDescent="0.3">
      <c r="A56" s="217" t="s">
        <v>219</v>
      </c>
      <c r="B56" s="218"/>
      <c r="C56" s="218"/>
      <c r="D56" s="218"/>
      <c r="E56" s="218"/>
      <c r="F56" s="218"/>
      <c r="G56" s="218"/>
      <c r="H56" s="218"/>
      <c r="I56" s="218"/>
      <c r="J56" s="218"/>
      <c r="K56" s="218"/>
      <c r="L56" s="219"/>
    </row>
    <row r="57" spans="1:13" ht="15.75" thickBot="1" x14ac:dyDescent="0.3">
      <c r="A57" s="136" t="s">
        <v>14</v>
      </c>
      <c r="B57" s="137" t="s">
        <v>15</v>
      </c>
      <c r="C57" s="137" t="s">
        <v>20</v>
      </c>
      <c r="D57" s="137" t="s">
        <v>19</v>
      </c>
      <c r="E57" s="138" t="s">
        <v>16</v>
      </c>
      <c r="F57" s="139"/>
      <c r="G57" s="136" t="s">
        <v>15</v>
      </c>
      <c r="H57" s="137" t="s">
        <v>20</v>
      </c>
      <c r="I57" s="137" t="s">
        <v>19</v>
      </c>
      <c r="J57" s="138" t="s">
        <v>17</v>
      </c>
      <c r="K57" s="139"/>
      <c r="L57" s="140" t="s">
        <v>13</v>
      </c>
    </row>
    <row r="58" spans="1:13" x14ac:dyDescent="0.25">
      <c r="A58" s="117" t="s">
        <v>40</v>
      </c>
      <c r="B58" s="61" t="s">
        <v>29</v>
      </c>
      <c r="C58" s="61">
        <v>0</v>
      </c>
      <c r="D58" s="119">
        <v>750</v>
      </c>
      <c r="E58" s="120">
        <f>C58*D58</f>
        <v>0</v>
      </c>
      <c r="F58" s="4"/>
      <c r="G58" s="117"/>
      <c r="H58" s="61"/>
      <c r="I58" s="119"/>
      <c r="J58" s="120"/>
      <c r="K58" s="4"/>
      <c r="L58" s="125">
        <f>J58+E58</f>
        <v>0</v>
      </c>
    </row>
    <row r="59" spans="1:13" x14ac:dyDescent="0.25">
      <c r="A59" s="117" t="s">
        <v>41</v>
      </c>
      <c r="B59" s="61" t="s">
        <v>29</v>
      </c>
      <c r="C59" s="61">
        <v>1</v>
      </c>
      <c r="D59" s="119">
        <v>490</v>
      </c>
      <c r="E59" s="120">
        <f t="shared" ref="E59:E80" si="7">C59*D59</f>
        <v>490</v>
      </c>
      <c r="F59" s="4"/>
      <c r="G59" s="117"/>
      <c r="H59" s="61"/>
      <c r="I59" s="119"/>
      <c r="J59" s="120"/>
      <c r="K59" s="4"/>
      <c r="L59" s="127">
        <f t="shared" ref="L59:L83" si="8">J59+E59</f>
        <v>490</v>
      </c>
    </row>
    <row r="60" spans="1:13" x14ac:dyDescent="0.25">
      <c r="A60" s="117" t="s">
        <v>42</v>
      </c>
      <c r="B60" s="61" t="s">
        <v>29</v>
      </c>
      <c r="C60" s="61">
        <v>1</v>
      </c>
      <c r="D60" s="119">
        <v>490</v>
      </c>
      <c r="E60" s="120">
        <f t="shared" si="7"/>
        <v>490</v>
      </c>
      <c r="F60" s="4"/>
      <c r="G60" s="117"/>
      <c r="H60" s="61"/>
      <c r="I60" s="119"/>
      <c r="J60" s="120"/>
      <c r="K60" s="4"/>
      <c r="L60" s="127">
        <f t="shared" si="8"/>
        <v>490</v>
      </c>
    </row>
    <row r="61" spans="1:13" x14ac:dyDescent="0.25">
      <c r="A61" s="117" t="s">
        <v>43</v>
      </c>
      <c r="B61" s="61" t="s">
        <v>29</v>
      </c>
      <c r="C61" s="61">
        <v>1</v>
      </c>
      <c r="D61" s="119">
        <v>950</v>
      </c>
      <c r="E61" s="120">
        <f t="shared" si="7"/>
        <v>950</v>
      </c>
      <c r="F61" s="4"/>
      <c r="G61" s="117"/>
      <c r="H61" s="61"/>
      <c r="I61" s="119"/>
      <c r="J61" s="120"/>
      <c r="K61" s="4"/>
      <c r="L61" s="127">
        <f t="shared" si="8"/>
        <v>950</v>
      </c>
    </row>
    <row r="62" spans="1:13" x14ac:dyDescent="0.25">
      <c r="A62" s="117" t="s">
        <v>44</v>
      </c>
      <c r="B62" s="61" t="s">
        <v>29</v>
      </c>
      <c r="C62" s="61">
        <v>2</v>
      </c>
      <c r="D62" s="119">
        <v>280</v>
      </c>
      <c r="E62" s="120">
        <f t="shared" si="7"/>
        <v>560</v>
      </c>
      <c r="F62" s="4"/>
      <c r="G62" s="117"/>
      <c r="H62" s="61"/>
      <c r="I62" s="119"/>
      <c r="J62" s="120"/>
      <c r="K62" s="4"/>
      <c r="L62" s="127">
        <f t="shared" si="8"/>
        <v>560</v>
      </c>
    </row>
    <row r="63" spans="1:13" x14ac:dyDescent="0.25">
      <c r="A63" s="117" t="s">
        <v>45</v>
      </c>
      <c r="B63" s="61" t="s">
        <v>29</v>
      </c>
      <c r="C63" s="61">
        <v>10</v>
      </c>
      <c r="D63" s="119">
        <v>130</v>
      </c>
      <c r="E63" s="120">
        <f t="shared" si="7"/>
        <v>1300</v>
      </c>
      <c r="F63" s="4"/>
      <c r="G63" s="117"/>
      <c r="H63" s="61"/>
      <c r="I63" s="119"/>
      <c r="J63" s="120"/>
      <c r="K63" s="4"/>
      <c r="L63" s="127">
        <f t="shared" si="8"/>
        <v>1300</v>
      </c>
    </row>
    <row r="64" spans="1:13" x14ac:dyDescent="0.25">
      <c r="A64" s="117" t="s">
        <v>46</v>
      </c>
      <c r="B64" s="61" t="s">
        <v>29</v>
      </c>
      <c r="C64" s="61">
        <v>2</v>
      </c>
      <c r="D64" s="119">
        <v>280</v>
      </c>
      <c r="E64" s="120">
        <f t="shared" si="7"/>
        <v>560</v>
      </c>
      <c r="F64" s="4"/>
      <c r="G64" s="117"/>
      <c r="H64" s="61"/>
      <c r="I64" s="119"/>
      <c r="J64" s="120"/>
      <c r="K64" s="4"/>
      <c r="L64" s="127">
        <f t="shared" si="8"/>
        <v>560</v>
      </c>
    </row>
    <row r="65" spans="1:12" x14ac:dyDescent="0.25">
      <c r="A65" s="117" t="s">
        <v>47</v>
      </c>
      <c r="B65" s="61" t="s">
        <v>29</v>
      </c>
      <c r="C65" s="61">
        <v>1</v>
      </c>
      <c r="D65" s="119">
        <v>350</v>
      </c>
      <c r="E65" s="120">
        <f t="shared" si="7"/>
        <v>350</v>
      </c>
      <c r="F65" s="4"/>
      <c r="G65" s="117"/>
      <c r="H65" s="61"/>
      <c r="I65" s="119"/>
      <c r="J65" s="120"/>
      <c r="K65" s="4"/>
      <c r="L65" s="127">
        <f t="shared" si="8"/>
        <v>350</v>
      </c>
    </row>
    <row r="66" spans="1:12" x14ac:dyDescent="0.25">
      <c r="A66" s="117" t="s">
        <v>48</v>
      </c>
      <c r="B66" s="61" t="s">
        <v>29</v>
      </c>
      <c r="C66" s="61">
        <v>1</v>
      </c>
      <c r="D66" s="119">
        <v>420</v>
      </c>
      <c r="E66" s="120">
        <f t="shared" si="7"/>
        <v>420</v>
      </c>
      <c r="F66" s="4"/>
      <c r="G66" s="117"/>
      <c r="H66" s="61"/>
      <c r="I66" s="119"/>
      <c r="J66" s="120"/>
      <c r="K66" s="4"/>
      <c r="L66" s="127">
        <f t="shared" si="8"/>
        <v>420</v>
      </c>
    </row>
    <row r="67" spans="1:12" x14ac:dyDescent="0.25">
      <c r="A67" s="117" t="s">
        <v>49</v>
      </c>
      <c r="B67" s="61" t="s">
        <v>29</v>
      </c>
      <c r="C67" s="61">
        <v>1</v>
      </c>
      <c r="D67" s="119">
        <v>215</v>
      </c>
      <c r="E67" s="120">
        <f t="shared" si="7"/>
        <v>215</v>
      </c>
      <c r="F67" s="4"/>
      <c r="G67" s="117"/>
      <c r="H67" s="61"/>
      <c r="I67" s="119"/>
      <c r="J67" s="120"/>
      <c r="K67" s="4"/>
      <c r="L67" s="127">
        <f t="shared" si="8"/>
        <v>215</v>
      </c>
    </row>
    <row r="68" spans="1:12" x14ac:dyDescent="0.25">
      <c r="A68" s="117" t="s">
        <v>177</v>
      </c>
      <c r="B68" s="61" t="s">
        <v>29</v>
      </c>
      <c r="C68" s="61">
        <v>1</v>
      </c>
      <c r="D68" s="119">
        <v>1400</v>
      </c>
      <c r="E68" s="120">
        <f t="shared" si="7"/>
        <v>1400</v>
      </c>
      <c r="F68" s="4"/>
      <c r="G68" s="117"/>
      <c r="H68" s="61"/>
      <c r="I68" s="119"/>
      <c r="J68" s="120"/>
      <c r="K68" s="4"/>
      <c r="L68" s="127">
        <f t="shared" si="8"/>
        <v>1400</v>
      </c>
    </row>
    <row r="69" spans="1:12" x14ac:dyDescent="0.25">
      <c r="A69" s="117" t="s">
        <v>50</v>
      </c>
      <c r="B69" s="61" t="s">
        <v>29</v>
      </c>
      <c r="C69" s="61">
        <v>1</v>
      </c>
      <c r="D69" s="119">
        <v>2000</v>
      </c>
      <c r="E69" s="120">
        <f t="shared" si="7"/>
        <v>2000</v>
      </c>
      <c r="F69" s="4"/>
      <c r="G69" s="117"/>
      <c r="H69" s="61"/>
      <c r="I69" s="119"/>
      <c r="J69" s="120"/>
      <c r="K69" s="4"/>
      <c r="L69" s="127">
        <f t="shared" si="8"/>
        <v>2000</v>
      </c>
    </row>
    <row r="70" spans="1:12" x14ac:dyDescent="0.25">
      <c r="A70" s="117" t="s">
        <v>51</v>
      </c>
      <c r="B70" s="61" t="s">
        <v>29</v>
      </c>
      <c r="C70" s="61">
        <v>1</v>
      </c>
      <c r="D70" s="119">
        <v>695</v>
      </c>
      <c r="E70" s="120">
        <f t="shared" si="7"/>
        <v>695</v>
      </c>
      <c r="F70" s="4"/>
      <c r="G70" s="117"/>
      <c r="H70" s="61"/>
      <c r="I70" s="119"/>
      <c r="J70" s="120"/>
      <c r="K70" s="4"/>
      <c r="L70" s="127">
        <f t="shared" si="8"/>
        <v>695</v>
      </c>
    </row>
    <row r="71" spans="1:12" x14ac:dyDescent="0.25">
      <c r="A71" s="117" t="s">
        <v>52</v>
      </c>
      <c r="B71" s="61" t="s">
        <v>29</v>
      </c>
      <c r="C71" s="61">
        <v>1</v>
      </c>
      <c r="D71" s="119">
        <v>480</v>
      </c>
      <c r="E71" s="120">
        <f t="shared" si="7"/>
        <v>480</v>
      </c>
      <c r="F71" s="4"/>
      <c r="G71" s="117"/>
      <c r="H71" s="61"/>
      <c r="I71" s="119"/>
      <c r="J71" s="120"/>
      <c r="K71" s="4"/>
      <c r="L71" s="127">
        <f t="shared" si="8"/>
        <v>480</v>
      </c>
    </row>
    <row r="72" spans="1:12" x14ac:dyDescent="0.25">
      <c r="A72" s="117" t="s">
        <v>53</v>
      </c>
      <c r="B72" s="61" t="s">
        <v>29</v>
      </c>
      <c r="C72" s="61">
        <v>1</v>
      </c>
      <c r="D72" s="119">
        <v>1350</v>
      </c>
      <c r="E72" s="120">
        <f t="shared" si="7"/>
        <v>1350</v>
      </c>
      <c r="F72" s="4"/>
      <c r="G72" s="117"/>
      <c r="H72" s="61"/>
      <c r="I72" s="119"/>
      <c r="J72" s="120"/>
      <c r="K72" s="4"/>
      <c r="L72" s="127">
        <f t="shared" si="8"/>
        <v>1350</v>
      </c>
    </row>
    <row r="73" spans="1:12" x14ac:dyDescent="0.25">
      <c r="A73" s="117" t="s">
        <v>54</v>
      </c>
      <c r="B73" s="61" t="s">
        <v>29</v>
      </c>
      <c r="C73" s="61">
        <v>1</v>
      </c>
      <c r="D73" s="119">
        <v>350</v>
      </c>
      <c r="E73" s="120">
        <f t="shared" si="7"/>
        <v>350</v>
      </c>
      <c r="F73" s="4"/>
      <c r="G73" s="117"/>
      <c r="H73" s="61"/>
      <c r="I73" s="119"/>
      <c r="J73" s="120"/>
      <c r="K73" s="4"/>
      <c r="L73" s="127">
        <f t="shared" si="8"/>
        <v>350</v>
      </c>
    </row>
    <row r="74" spans="1:12" x14ac:dyDescent="0.25">
      <c r="A74" s="117" t="s">
        <v>55</v>
      </c>
      <c r="B74" s="61" t="s">
        <v>29</v>
      </c>
      <c r="C74" s="61">
        <v>1</v>
      </c>
      <c r="D74" s="119">
        <v>340</v>
      </c>
      <c r="E74" s="120">
        <f t="shared" si="7"/>
        <v>340</v>
      </c>
      <c r="F74" s="4"/>
      <c r="G74" s="117"/>
      <c r="H74" s="61"/>
      <c r="I74" s="119"/>
      <c r="J74" s="120"/>
      <c r="K74" s="4"/>
      <c r="L74" s="127">
        <f t="shared" si="8"/>
        <v>340</v>
      </c>
    </row>
    <row r="75" spans="1:12" x14ac:dyDescent="0.25">
      <c r="A75" s="117" t="s">
        <v>56</v>
      </c>
      <c r="B75" s="61" t="s">
        <v>29</v>
      </c>
      <c r="C75" s="61">
        <v>1</v>
      </c>
      <c r="D75" s="119">
        <v>195</v>
      </c>
      <c r="E75" s="120">
        <f t="shared" si="7"/>
        <v>195</v>
      </c>
      <c r="F75" s="4"/>
      <c r="G75" s="117"/>
      <c r="H75" s="61"/>
      <c r="I75" s="119"/>
      <c r="J75" s="120"/>
      <c r="K75" s="4"/>
      <c r="L75" s="127">
        <f t="shared" si="8"/>
        <v>195</v>
      </c>
    </row>
    <row r="76" spans="1:12" x14ac:dyDescent="0.25">
      <c r="A76" s="117" t="s">
        <v>57</v>
      </c>
      <c r="B76" s="61" t="s">
        <v>29</v>
      </c>
      <c r="C76" s="61">
        <v>4</v>
      </c>
      <c r="D76" s="119">
        <v>90</v>
      </c>
      <c r="E76" s="120">
        <f t="shared" si="7"/>
        <v>360</v>
      </c>
      <c r="F76" s="4"/>
      <c r="G76" s="117"/>
      <c r="H76" s="61"/>
      <c r="I76" s="119"/>
      <c r="J76" s="120"/>
      <c r="K76" s="4"/>
      <c r="L76" s="127">
        <f t="shared" si="8"/>
        <v>360</v>
      </c>
    </row>
    <row r="77" spans="1:12" x14ac:dyDescent="0.25">
      <c r="A77" s="117" t="s">
        <v>58</v>
      </c>
      <c r="B77" s="61" t="s">
        <v>29</v>
      </c>
      <c r="C77" s="61">
        <v>1</v>
      </c>
      <c r="D77" s="119">
        <v>167</v>
      </c>
      <c r="E77" s="120">
        <f t="shared" si="7"/>
        <v>167</v>
      </c>
      <c r="F77" s="4"/>
      <c r="G77" s="117"/>
      <c r="H77" s="61"/>
      <c r="I77" s="119"/>
      <c r="J77" s="120"/>
      <c r="K77" s="4"/>
      <c r="L77" s="127">
        <f t="shared" si="8"/>
        <v>167</v>
      </c>
    </row>
    <row r="78" spans="1:12" x14ac:dyDescent="0.25">
      <c r="A78" s="117" t="s">
        <v>59</v>
      </c>
      <c r="B78" s="61" t="s">
        <v>29</v>
      </c>
      <c r="C78" s="61">
        <v>1</v>
      </c>
      <c r="D78" s="119">
        <v>1100</v>
      </c>
      <c r="E78" s="120">
        <f t="shared" si="7"/>
        <v>1100</v>
      </c>
      <c r="F78" s="4"/>
      <c r="G78" s="117"/>
      <c r="H78" s="61"/>
      <c r="I78" s="119"/>
      <c r="J78" s="120"/>
      <c r="K78" s="4"/>
      <c r="L78" s="127">
        <f t="shared" si="8"/>
        <v>1100</v>
      </c>
    </row>
    <row r="79" spans="1:12" x14ac:dyDescent="0.25">
      <c r="A79" s="117" t="s">
        <v>178</v>
      </c>
      <c r="B79" s="61" t="s">
        <v>29</v>
      </c>
      <c r="C79" s="61">
        <v>2</v>
      </c>
      <c r="D79" s="119">
        <v>1800</v>
      </c>
      <c r="E79" s="120">
        <f t="shared" si="7"/>
        <v>3600</v>
      </c>
      <c r="F79" s="4"/>
      <c r="G79" s="117"/>
      <c r="H79" s="61"/>
      <c r="I79" s="119"/>
      <c r="J79" s="120"/>
      <c r="K79" s="4"/>
      <c r="L79" s="127">
        <f t="shared" si="8"/>
        <v>3600</v>
      </c>
    </row>
    <row r="80" spans="1:12" x14ac:dyDescent="0.25">
      <c r="A80" s="117" t="s">
        <v>271</v>
      </c>
      <c r="B80" s="61" t="s">
        <v>29</v>
      </c>
      <c r="C80" s="61">
        <v>1</v>
      </c>
      <c r="D80" s="119">
        <v>80000</v>
      </c>
      <c r="E80" s="120">
        <f t="shared" si="7"/>
        <v>80000</v>
      </c>
      <c r="F80" s="4"/>
      <c r="G80" s="117"/>
      <c r="H80" s="61"/>
      <c r="I80" s="119"/>
      <c r="J80" s="120"/>
      <c r="K80" s="4"/>
      <c r="L80" s="127">
        <f t="shared" si="8"/>
        <v>80000</v>
      </c>
    </row>
    <row r="81" spans="1:12" x14ac:dyDescent="0.25">
      <c r="A81" s="117" t="s">
        <v>60</v>
      </c>
      <c r="B81" s="117" t="s">
        <v>30</v>
      </c>
      <c r="C81" s="61">
        <v>1</v>
      </c>
      <c r="D81" s="119">
        <v>6000</v>
      </c>
      <c r="E81" s="120">
        <f>C81*D81</f>
        <v>6000</v>
      </c>
      <c r="F81" s="82"/>
      <c r="G81" s="117"/>
      <c r="H81" s="61"/>
      <c r="I81" s="119"/>
      <c r="J81" s="120"/>
      <c r="K81" s="4"/>
      <c r="L81" s="127">
        <f t="shared" si="8"/>
        <v>6000</v>
      </c>
    </row>
    <row r="82" spans="1:12" x14ac:dyDescent="0.25">
      <c r="A82" s="117" t="s">
        <v>61</v>
      </c>
      <c r="B82" s="117" t="s">
        <v>30</v>
      </c>
      <c r="C82" s="61">
        <v>1</v>
      </c>
      <c r="D82" s="119">
        <v>3000</v>
      </c>
      <c r="E82" s="120">
        <f t="shared" ref="E82" si="9">C82*D82</f>
        <v>3000</v>
      </c>
      <c r="F82" s="82"/>
      <c r="G82" s="117"/>
      <c r="H82" s="61"/>
      <c r="I82" s="119"/>
      <c r="J82" s="120"/>
      <c r="K82" s="4"/>
      <c r="L82" s="127">
        <f t="shared" si="8"/>
        <v>3000</v>
      </c>
    </row>
    <row r="83" spans="1:12" x14ac:dyDescent="0.25">
      <c r="A83" s="117" t="s">
        <v>62</v>
      </c>
      <c r="B83" s="117"/>
      <c r="C83" s="61"/>
      <c r="D83" s="119"/>
      <c r="E83" s="120"/>
      <c r="F83" s="82"/>
      <c r="G83" s="117" t="s">
        <v>30</v>
      </c>
      <c r="H83" s="61">
        <v>1</v>
      </c>
      <c r="I83" s="119">
        <v>300</v>
      </c>
      <c r="J83" s="120">
        <f t="shared" ref="J83" si="10">H83*I83</f>
        <v>300</v>
      </c>
      <c r="K83" s="4"/>
      <c r="L83" s="127">
        <f t="shared" si="8"/>
        <v>300</v>
      </c>
    </row>
    <row r="84" spans="1:12" ht="15.75" thickBot="1" x14ac:dyDescent="0.3">
      <c r="A84" s="109" t="s">
        <v>13</v>
      </c>
      <c r="B84" s="141"/>
      <c r="C84" s="141"/>
      <c r="D84" s="141"/>
      <c r="E84" s="142">
        <f>SUM(E58:E83)</f>
        <v>106372</v>
      </c>
      <c r="F84" s="133"/>
      <c r="G84" s="143"/>
      <c r="H84" s="141"/>
      <c r="I84" s="141"/>
      <c r="J84" s="142">
        <f>SUM(J58:J83)</f>
        <v>300</v>
      </c>
      <c r="K84" s="133"/>
      <c r="L84" s="135">
        <f>SUM(L58:L83)</f>
        <v>106672</v>
      </c>
    </row>
    <row r="85" spans="1:12" ht="15.75" thickBot="1" x14ac:dyDescent="0.3">
      <c r="A85" s="8"/>
      <c r="B85" s="8"/>
      <c r="C85" s="8"/>
      <c r="D85" s="8"/>
      <c r="E85" s="34"/>
      <c r="F85" s="8"/>
      <c r="G85" s="8"/>
      <c r="H85" s="8"/>
      <c r="I85" s="8"/>
      <c r="J85" s="8"/>
      <c r="K85" s="8"/>
      <c r="L85" s="8"/>
    </row>
    <row r="86" spans="1:12" ht="15.75" thickBot="1" x14ac:dyDescent="0.3">
      <c r="A86" s="217" t="s">
        <v>220</v>
      </c>
      <c r="B86" s="218"/>
      <c r="C86" s="218"/>
      <c r="D86" s="218"/>
      <c r="E86" s="218"/>
      <c r="F86" s="218"/>
      <c r="G86" s="218"/>
      <c r="H86" s="218"/>
      <c r="I86" s="218"/>
      <c r="J86" s="218"/>
      <c r="K86" s="218"/>
      <c r="L86" s="219"/>
    </row>
    <row r="87" spans="1:12" x14ac:dyDescent="0.25">
      <c r="A87" s="136" t="s">
        <v>14</v>
      </c>
      <c r="B87" s="137" t="s">
        <v>15</v>
      </c>
      <c r="C87" s="137" t="s">
        <v>20</v>
      </c>
      <c r="D87" s="137" t="s">
        <v>19</v>
      </c>
      <c r="E87" s="138" t="s">
        <v>16</v>
      </c>
      <c r="F87" s="139"/>
      <c r="G87" s="136" t="s">
        <v>15</v>
      </c>
      <c r="H87" s="137" t="s">
        <v>20</v>
      </c>
      <c r="I87" s="137" t="s">
        <v>19</v>
      </c>
      <c r="J87" s="138" t="s">
        <v>17</v>
      </c>
      <c r="K87" s="139"/>
      <c r="L87" s="144" t="s">
        <v>13</v>
      </c>
    </row>
    <row r="88" spans="1:12" x14ac:dyDescent="0.25">
      <c r="A88" s="117" t="s">
        <v>63</v>
      </c>
      <c r="B88" s="61" t="s">
        <v>30</v>
      </c>
      <c r="C88" s="61">
        <v>1</v>
      </c>
      <c r="D88" s="119">
        <v>12000</v>
      </c>
      <c r="E88" s="120">
        <f>C88*D88</f>
        <v>12000</v>
      </c>
      <c r="F88" s="4"/>
      <c r="G88" s="117"/>
      <c r="H88" s="61"/>
      <c r="I88" s="119"/>
      <c r="J88" s="120"/>
      <c r="K88" s="4"/>
      <c r="L88" s="127">
        <f>J88+E88</f>
        <v>12000</v>
      </c>
    </row>
    <row r="89" spans="1:12" x14ac:dyDescent="0.25">
      <c r="A89" s="117" t="s">
        <v>64</v>
      </c>
      <c r="B89" s="61" t="s">
        <v>29</v>
      </c>
      <c r="C89" s="61">
        <f>D9+1</f>
        <v>7</v>
      </c>
      <c r="D89" s="119">
        <v>1300</v>
      </c>
      <c r="E89" s="120">
        <f t="shared" ref="E89:E95" si="11">C89*D89</f>
        <v>9100</v>
      </c>
      <c r="F89" s="4"/>
      <c r="G89" s="117"/>
      <c r="H89" s="61"/>
      <c r="I89" s="119"/>
      <c r="J89" s="120"/>
      <c r="K89" s="4"/>
      <c r="L89" s="127">
        <f t="shared" ref="L89:L97" si="12">J89+E89</f>
        <v>9100</v>
      </c>
    </row>
    <row r="90" spans="1:12" x14ac:dyDescent="0.25">
      <c r="A90" s="117" t="s">
        <v>65</v>
      </c>
      <c r="B90" s="61" t="s">
        <v>29</v>
      </c>
      <c r="C90" s="61">
        <f>C89</f>
        <v>7</v>
      </c>
      <c r="D90" s="119">
        <v>1100</v>
      </c>
      <c r="E90" s="120">
        <f t="shared" si="11"/>
        <v>7700</v>
      </c>
      <c r="F90" s="4"/>
      <c r="G90" s="117"/>
      <c r="H90" s="61"/>
      <c r="I90" s="119"/>
      <c r="J90" s="120"/>
      <c r="K90" s="4"/>
      <c r="L90" s="127">
        <f t="shared" si="12"/>
        <v>7700</v>
      </c>
    </row>
    <row r="91" spans="1:12" x14ac:dyDescent="0.25">
      <c r="A91" s="117" t="s">
        <v>66</v>
      </c>
      <c r="B91" s="61" t="s">
        <v>30</v>
      </c>
      <c r="C91" s="61">
        <v>1</v>
      </c>
      <c r="D91" s="119">
        <v>6500</v>
      </c>
      <c r="E91" s="120">
        <f t="shared" si="11"/>
        <v>6500</v>
      </c>
      <c r="F91" s="4"/>
      <c r="G91" s="117"/>
      <c r="H91" s="61"/>
      <c r="I91" s="119"/>
      <c r="J91" s="120"/>
      <c r="K91" s="4"/>
      <c r="L91" s="127">
        <f t="shared" si="12"/>
        <v>6500</v>
      </c>
    </row>
    <row r="92" spans="1:12" x14ac:dyDescent="0.25">
      <c r="A92" s="117" t="s">
        <v>67</v>
      </c>
      <c r="B92" s="61" t="s">
        <v>29</v>
      </c>
      <c r="C92" s="61"/>
      <c r="D92" s="119"/>
      <c r="E92" s="120"/>
      <c r="F92" s="4"/>
      <c r="G92" s="117" t="s">
        <v>30</v>
      </c>
      <c r="H92" s="61">
        <v>1</v>
      </c>
      <c r="I92" s="119">
        <v>3000</v>
      </c>
      <c r="J92" s="120">
        <f t="shared" ref="J92" si="13">H92*I92</f>
        <v>3000</v>
      </c>
      <c r="K92" s="4"/>
      <c r="L92" s="127">
        <f t="shared" si="12"/>
        <v>3000</v>
      </c>
    </row>
    <row r="93" spans="1:12" x14ac:dyDescent="0.25">
      <c r="A93" s="117" t="s">
        <v>68</v>
      </c>
      <c r="B93" s="61" t="s">
        <v>29</v>
      </c>
      <c r="C93" s="61">
        <f>C89</f>
        <v>7</v>
      </c>
      <c r="D93" s="119">
        <v>72</v>
      </c>
      <c r="E93" s="120">
        <f t="shared" si="11"/>
        <v>504</v>
      </c>
      <c r="F93" s="4"/>
      <c r="G93" s="117"/>
      <c r="H93" s="61"/>
      <c r="I93" s="119"/>
      <c r="J93" s="120"/>
      <c r="K93" s="4"/>
      <c r="L93" s="127">
        <f t="shared" si="12"/>
        <v>504</v>
      </c>
    </row>
    <row r="94" spans="1:12" x14ac:dyDescent="0.25">
      <c r="A94" s="117" t="s">
        <v>69</v>
      </c>
      <c r="B94" s="61" t="s">
        <v>29</v>
      </c>
      <c r="C94" s="61">
        <v>1</v>
      </c>
      <c r="D94" s="119">
        <v>380</v>
      </c>
      <c r="E94" s="120">
        <f t="shared" si="11"/>
        <v>380</v>
      </c>
      <c r="F94" s="4"/>
      <c r="G94" s="117"/>
      <c r="H94" s="61"/>
      <c r="I94" s="119"/>
      <c r="J94" s="120"/>
      <c r="K94" s="4"/>
      <c r="L94" s="127">
        <f t="shared" si="12"/>
        <v>380</v>
      </c>
    </row>
    <row r="95" spans="1:12" x14ac:dyDescent="0.25">
      <c r="A95" s="117" t="s">
        <v>70</v>
      </c>
      <c r="B95" s="61" t="s">
        <v>30</v>
      </c>
      <c r="C95" s="61">
        <v>1</v>
      </c>
      <c r="D95" s="119">
        <v>800</v>
      </c>
      <c r="E95" s="120">
        <f t="shared" si="11"/>
        <v>800</v>
      </c>
      <c r="F95" s="4"/>
      <c r="G95" s="117"/>
      <c r="H95" s="61"/>
      <c r="I95" s="119"/>
      <c r="J95" s="120"/>
      <c r="K95" s="4"/>
      <c r="L95" s="127">
        <f t="shared" si="12"/>
        <v>800</v>
      </c>
    </row>
    <row r="96" spans="1:12" x14ac:dyDescent="0.25">
      <c r="A96" s="117" t="s">
        <v>267</v>
      </c>
      <c r="B96" s="61" t="s">
        <v>30</v>
      </c>
      <c r="C96" s="61"/>
      <c r="D96" s="119"/>
      <c r="E96" s="120"/>
      <c r="F96" s="4"/>
      <c r="G96" s="117" t="s">
        <v>30</v>
      </c>
      <c r="H96" s="61">
        <v>0</v>
      </c>
      <c r="I96" s="119"/>
      <c r="J96" s="120">
        <f t="shared" ref="J96" si="14">H96*I96</f>
        <v>0</v>
      </c>
      <c r="K96" s="4"/>
      <c r="L96" s="127">
        <f>J96</f>
        <v>0</v>
      </c>
    </row>
    <row r="97" spans="1:12" x14ac:dyDescent="0.25">
      <c r="A97" s="117" t="s">
        <v>71</v>
      </c>
      <c r="B97" s="61"/>
      <c r="C97" s="61"/>
      <c r="D97" s="119"/>
      <c r="E97" s="120"/>
      <c r="F97" s="4"/>
      <c r="G97" s="117" t="s">
        <v>30</v>
      </c>
      <c r="H97" s="61">
        <v>16</v>
      </c>
      <c r="I97" s="119">
        <v>49</v>
      </c>
      <c r="J97" s="120">
        <f>I97*H97</f>
        <v>784</v>
      </c>
      <c r="K97" s="4"/>
      <c r="L97" s="127">
        <f t="shared" si="12"/>
        <v>784</v>
      </c>
    </row>
    <row r="98" spans="1:12" ht="15.75" thickBot="1" x14ac:dyDescent="0.3">
      <c r="A98" s="109" t="s">
        <v>13</v>
      </c>
      <c r="B98" s="141"/>
      <c r="C98" s="141"/>
      <c r="D98" s="141"/>
      <c r="E98" s="142">
        <f>SUM(E88:E97)</f>
        <v>36984</v>
      </c>
      <c r="F98" s="133"/>
      <c r="G98" s="143"/>
      <c r="H98" s="141"/>
      <c r="I98" s="141"/>
      <c r="J98" s="142">
        <f>SUM(J88:J97)</f>
        <v>3784</v>
      </c>
      <c r="K98" s="133"/>
      <c r="L98" s="145">
        <f>SUM(L88:L97)</f>
        <v>40768</v>
      </c>
    </row>
    <row r="99" spans="1:12" ht="15.75" thickBot="1" x14ac:dyDescent="0.3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</row>
    <row r="100" spans="1:12" ht="15.75" thickBot="1" x14ac:dyDescent="0.3">
      <c r="A100" s="217" t="s">
        <v>221</v>
      </c>
      <c r="B100" s="218"/>
      <c r="C100" s="218"/>
      <c r="D100" s="218"/>
      <c r="E100" s="218"/>
      <c r="F100" s="218"/>
      <c r="G100" s="218"/>
      <c r="H100" s="218"/>
      <c r="I100" s="218"/>
      <c r="J100" s="218"/>
      <c r="K100" s="218"/>
      <c r="L100" s="219"/>
    </row>
    <row r="101" spans="1:12" x14ac:dyDescent="0.25">
      <c r="A101" s="136" t="s">
        <v>14</v>
      </c>
      <c r="B101" s="137" t="s">
        <v>15</v>
      </c>
      <c r="C101" s="137" t="s">
        <v>20</v>
      </c>
      <c r="D101" s="137" t="s">
        <v>19</v>
      </c>
      <c r="E101" s="138" t="s">
        <v>16</v>
      </c>
      <c r="F101" s="139"/>
      <c r="G101" s="136" t="s">
        <v>15</v>
      </c>
      <c r="H101" s="137" t="s">
        <v>20</v>
      </c>
      <c r="I101" s="137" t="s">
        <v>19</v>
      </c>
      <c r="J101" s="138" t="s">
        <v>17</v>
      </c>
      <c r="K101" s="139"/>
      <c r="L101" s="144" t="s">
        <v>13</v>
      </c>
    </row>
    <row r="102" spans="1:12" x14ac:dyDescent="0.25">
      <c r="A102" s="117" t="s">
        <v>174</v>
      </c>
      <c r="B102" s="61" t="s">
        <v>29</v>
      </c>
      <c r="C102" s="61">
        <f>D8</f>
        <v>12</v>
      </c>
      <c r="D102" s="119">
        <v>1100</v>
      </c>
      <c r="E102" s="120">
        <f>C102*D102</f>
        <v>13200</v>
      </c>
      <c r="F102" s="4"/>
      <c r="G102" s="117"/>
      <c r="H102" s="61"/>
      <c r="I102" s="119"/>
      <c r="J102" s="120"/>
      <c r="K102" s="4"/>
      <c r="L102" s="127">
        <f>J102+E102</f>
        <v>13200</v>
      </c>
    </row>
    <row r="103" spans="1:12" x14ac:dyDescent="0.25">
      <c r="A103" s="117" t="s">
        <v>72</v>
      </c>
      <c r="B103" s="61" t="s">
        <v>29</v>
      </c>
      <c r="C103" s="61"/>
      <c r="D103" s="119"/>
      <c r="E103" s="120"/>
      <c r="F103" s="4"/>
      <c r="G103" s="117" t="s">
        <v>30</v>
      </c>
      <c r="H103" s="61">
        <f>C102</f>
        <v>12</v>
      </c>
      <c r="I103" s="119">
        <v>45</v>
      </c>
      <c r="J103" s="120">
        <f>I103*H103</f>
        <v>540</v>
      </c>
      <c r="K103" s="4"/>
      <c r="L103" s="127">
        <f t="shared" ref="L103:L105" si="15">J103+E103</f>
        <v>540</v>
      </c>
    </row>
    <row r="104" spans="1:12" x14ac:dyDescent="0.25">
      <c r="A104" s="117" t="s">
        <v>73</v>
      </c>
      <c r="B104" s="61" t="s">
        <v>29</v>
      </c>
      <c r="C104" s="61"/>
      <c r="D104" s="119"/>
      <c r="E104" s="120"/>
      <c r="F104" s="4"/>
      <c r="G104" s="117" t="s">
        <v>30</v>
      </c>
      <c r="H104" s="61">
        <f>H103*6</f>
        <v>72</v>
      </c>
      <c r="I104" s="119">
        <f>I136</f>
        <v>1.6</v>
      </c>
      <c r="J104" s="120">
        <f t="shared" ref="J104:J105" si="16">I104*H104</f>
        <v>115.2</v>
      </c>
      <c r="K104" s="4"/>
      <c r="L104" s="127">
        <f t="shared" si="15"/>
        <v>115.2</v>
      </c>
    </row>
    <row r="105" spans="1:12" x14ac:dyDescent="0.25">
      <c r="A105" s="117" t="s">
        <v>74</v>
      </c>
      <c r="B105" s="61" t="s">
        <v>30</v>
      </c>
      <c r="C105" s="61"/>
      <c r="D105" s="119"/>
      <c r="E105" s="120"/>
      <c r="F105" s="4"/>
      <c r="G105" s="117" t="s">
        <v>30</v>
      </c>
      <c r="H105" s="61">
        <f>C102</f>
        <v>12</v>
      </c>
      <c r="I105" s="119">
        <v>49</v>
      </c>
      <c r="J105" s="120">
        <f t="shared" si="16"/>
        <v>588</v>
      </c>
      <c r="K105" s="4"/>
      <c r="L105" s="127">
        <f t="shared" si="15"/>
        <v>588</v>
      </c>
    </row>
    <row r="106" spans="1:12" ht="15.75" thickBot="1" x14ac:dyDescent="0.3">
      <c r="A106" s="109" t="s">
        <v>13</v>
      </c>
      <c r="B106" s="141"/>
      <c r="C106" s="141"/>
      <c r="D106" s="141"/>
      <c r="E106" s="142">
        <f>SUM(E102:E105)</f>
        <v>13200</v>
      </c>
      <c r="F106" s="133"/>
      <c r="G106" s="143"/>
      <c r="H106" s="141"/>
      <c r="I106" s="141"/>
      <c r="J106" s="142">
        <f>SUM(J102:J105)</f>
        <v>1243.2</v>
      </c>
      <c r="K106" s="133"/>
      <c r="L106" s="145">
        <f>SUM(L102:L105)</f>
        <v>14443.2</v>
      </c>
    </row>
    <row r="107" spans="1:12" ht="15.75" thickBot="1" x14ac:dyDescent="0.3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thickBot="1" x14ac:dyDescent="0.3">
      <c r="A108" s="217" t="s">
        <v>222</v>
      </c>
      <c r="B108" s="218"/>
      <c r="C108" s="218"/>
      <c r="D108" s="218"/>
      <c r="E108" s="218"/>
      <c r="F108" s="218"/>
      <c r="G108" s="218"/>
      <c r="H108" s="218"/>
      <c r="I108" s="218"/>
      <c r="J108" s="218"/>
      <c r="K108" s="218"/>
      <c r="L108" s="219"/>
    </row>
    <row r="109" spans="1:12" x14ac:dyDescent="0.25">
      <c r="A109" s="110" t="s">
        <v>14</v>
      </c>
      <c r="B109" s="111" t="s">
        <v>15</v>
      </c>
      <c r="C109" s="111" t="s">
        <v>20</v>
      </c>
      <c r="D109" s="111" t="s">
        <v>19</v>
      </c>
      <c r="E109" s="112" t="s">
        <v>16</v>
      </c>
      <c r="F109" s="146"/>
      <c r="G109" s="110" t="s">
        <v>15</v>
      </c>
      <c r="H109" s="111" t="s">
        <v>20</v>
      </c>
      <c r="I109" s="111" t="s">
        <v>19</v>
      </c>
      <c r="J109" s="112" t="s">
        <v>17</v>
      </c>
      <c r="K109" s="146"/>
      <c r="L109" s="147" t="s">
        <v>13</v>
      </c>
    </row>
    <row r="110" spans="1:12" x14ac:dyDescent="0.25">
      <c r="A110" s="117" t="s">
        <v>75</v>
      </c>
      <c r="B110" s="61" t="s">
        <v>30</v>
      </c>
      <c r="C110" s="61">
        <v>3</v>
      </c>
      <c r="D110" s="119">
        <v>1100</v>
      </c>
      <c r="E110" s="120">
        <f>C110*D110</f>
        <v>3300</v>
      </c>
      <c r="F110" s="4"/>
      <c r="G110" s="117" t="s">
        <v>30</v>
      </c>
      <c r="H110" s="61"/>
      <c r="I110" s="119"/>
      <c r="J110" s="120"/>
      <c r="K110" s="4"/>
      <c r="L110" s="127">
        <f>J110+E110</f>
        <v>3300</v>
      </c>
    </row>
    <row r="111" spans="1:12" x14ac:dyDescent="0.25">
      <c r="A111" s="117" t="s">
        <v>76</v>
      </c>
      <c r="B111" s="61" t="s">
        <v>77</v>
      </c>
      <c r="C111" s="61">
        <v>500</v>
      </c>
      <c r="D111" s="119">
        <v>1.22</v>
      </c>
      <c r="E111" s="120">
        <f t="shared" ref="E111:E113" si="17">C111*D111</f>
        <v>610</v>
      </c>
      <c r="F111" s="4"/>
      <c r="G111" s="117" t="s">
        <v>77</v>
      </c>
      <c r="H111" s="61"/>
      <c r="I111" s="119"/>
      <c r="J111" s="120"/>
      <c r="K111" s="4"/>
      <c r="L111" s="127">
        <f t="shared" ref="L111:L113" si="18">J111+E111</f>
        <v>610</v>
      </c>
    </row>
    <row r="112" spans="1:12" x14ac:dyDescent="0.25">
      <c r="A112" s="117" t="s">
        <v>78</v>
      </c>
      <c r="B112" s="61" t="s">
        <v>79</v>
      </c>
      <c r="C112" s="61">
        <v>20</v>
      </c>
      <c r="D112" s="119">
        <v>220</v>
      </c>
      <c r="E112" s="120">
        <f t="shared" si="17"/>
        <v>4400</v>
      </c>
      <c r="F112" s="4"/>
      <c r="G112" s="117" t="s">
        <v>79</v>
      </c>
      <c r="H112" s="61"/>
      <c r="I112" s="119"/>
      <c r="J112" s="120"/>
      <c r="K112" s="4"/>
      <c r="L112" s="127">
        <f t="shared" si="18"/>
        <v>4400</v>
      </c>
    </row>
    <row r="113" spans="1:12" x14ac:dyDescent="0.25">
      <c r="A113" s="117" t="s">
        <v>80</v>
      </c>
      <c r="B113" s="61" t="s">
        <v>30</v>
      </c>
      <c r="C113" s="61">
        <v>20</v>
      </c>
      <c r="D113" s="119">
        <v>40</v>
      </c>
      <c r="E113" s="120">
        <f t="shared" si="17"/>
        <v>800</v>
      </c>
      <c r="F113" s="4"/>
      <c r="G113" s="117" t="s">
        <v>30</v>
      </c>
      <c r="H113" s="61"/>
      <c r="I113" s="119"/>
      <c r="J113" s="120"/>
      <c r="K113" s="4"/>
      <c r="L113" s="127">
        <f t="shared" si="18"/>
        <v>800</v>
      </c>
    </row>
    <row r="114" spans="1:12" ht="15.75" thickBot="1" x14ac:dyDescent="0.3">
      <c r="A114" s="109" t="s">
        <v>13</v>
      </c>
      <c r="B114" s="141"/>
      <c r="C114" s="141"/>
      <c r="D114" s="141"/>
      <c r="E114" s="142">
        <f>SUM(E110:E113)</f>
        <v>9110</v>
      </c>
      <c r="F114" s="133"/>
      <c r="G114" s="143"/>
      <c r="H114" s="141"/>
      <c r="I114" s="141"/>
      <c r="J114" s="142">
        <f>SUM(J110:J113)</f>
        <v>0</v>
      </c>
      <c r="K114" s="133"/>
      <c r="L114" s="145">
        <f>SUM(L110:L113)</f>
        <v>9110</v>
      </c>
    </row>
    <row r="115" spans="1:12" ht="15.75" thickBot="1" x14ac:dyDescent="0.3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</row>
    <row r="116" spans="1:12" ht="15.75" thickBot="1" x14ac:dyDescent="0.3">
      <c r="A116" s="226" t="s">
        <v>223</v>
      </c>
      <c r="B116" s="227"/>
      <c r="C116" s="227"/>
      <c r="D116" s="227"/>
      <c r="E116" s="227"/>
      <c r="F116" s="227"/>
      <c r="G116" s="227"/>
      <c r="H116" s="227"/>
      <c r="I116" s="227"/>
      <c r="J116" s="227"/>
      <c r="K116" s="227"/>
      <c r="L116" s="228"/>
    </row>
    <row r="117" spans="1:12" ht="15.75" thickBot="1" x14ac:dyDescent="0.3">
      <c r="A117" s="217" t="s">
        <v>224</v>
      </c>
      <c r="B117" s="218"/>
      <c r="C117" s="218"/>
      <c r="D117" s="218"/>
      <c r="E117" s="218"/>
      <c r="F117" s="218"/>
      <c r="G117" s="218"/>
      <c r="H117" s="218"/>
      <c r="I117" s="218"/>
      <c r="J117" s="218"/>
      <c r="K117" s="218"/>
      <c r="L117" s="219"/>
    </row>
    <row r="118" spans="1:12" x14ac:dyDescent="0.25">
      <c r="A118" s="110" t="s">
        <v>14</v>
      </c>
      <c r="B118" s="111" t="s">
        <v>15</v>
      </c>
      <c r="C118" s="111" t="s">
        <v>20</v>
      </c>
      <c r="D118" s="111" t="s">
        <v>19</v>
      </c>
      <c r="E118" s="112" t="s">
        <v>16</v>
      </c>
      <c r="F118" s="146"/>
      <c r="G118" s="110" t="s">
        <v>15</v>
      </c>
      <c r="H118" s="111" t="s">
        <v>20</v>
      </c>
      <c r="I118" s="111" t="s">
        <v>19</v>
      </c>
      <c r="J118" s="112" t="s">
        <v>17</v>
      </c>
      <c r="K118" s="146"/>
      <c r="L118" s="147" t="s">
        <v>13</v>
      </c>
    </row>
    <row r="119" spans="1:12" x14ac:dyDescent="0.25">
      <c r="A119" s="117" t="s">
        <v>207</v>
      </c>
      <c r="B119" s="61" t="s">
        <v>30</v>
      </c>
      <c r="C119" s="61">
        <v>1</v>
      </c>
      <c r="D119" s="119">
        <v>2000</v>
      </c>
      <c r="E119" s="120">
        <f>C119*D119</f>
        <v>2000</v>
      </c>
      <c r="F119" s="4"/>
      <c r="G119" s="117"/>
      <c r="H119" s="61"/>
      <c r="I119" s="119"/>
      <c r="J119" s="120"/>
      <c r="K119" s="4"/>
      <c r="L119" s="127">
        <f>E119+J119</f>
        <v>2000</v>
      </c>
    </row>
    <row r="120" spans="1:12" x14ac:dyDescent="0.25">
      <c r="A120" s="117" t="s">
        <v>82</v>
      </c>
      <c r="B120" s="61" t="s">
        <v>30</v>
      </c>
      <c r="C120" s="61">
        <v>1</v>
      </c>
      <c r="D120" s="119">
        <v>2000</v>
      </c>
      <c r="E120" s="120">
        <f t="shared" ref="E120:E122" si="19">C120*D120</f>
        <v>2000</v>
      </c>
      <c r="F120" s="4"/>
      <c r="G120" s="117"/>
      <c r="H120" s="61"/>
      <c r="I120" s="119"/>
      <c r="J120" s="120"/>
      <c r="K120" s="4"/>
      <c r="L120" s="127">
        <f t="shared" ref="L120:L131" si="20">E120+J120</f>
        <v>2000</v>
      </c>
    </row>
    <row r="121" spans="1:12" x14ac:dyDescent="0.25">
      <c r="A121" s="117" t="s">
        <v>83</v>
      </c>
      <c r="B121" s="61" t="s">
        <v>29</v>
      </c>
      <c r="C121" s="61">
        <v>200</v>
      </c>
      <c r="D121" s="119">
        <v>2.1</v>
      </c>
      <c r="E121" s="120">
        <f t="shared" si="19"/>
        <v>420</v>
      </c>
      <c r="F121" s="4"/>
      <c r="G121" s="117"/>
      <c r="H121" s="61"/>
      <c r="I121" s="119"/>
      <c r="J121" s="120"/>
      <c r="K121" s="4"/>
      <c r="L121" s="127">
        <f t="shared" si="20"/>
        <v>420</v>
      </c>
    </row>
    <row r="122" spans="1:12" x14ac:dyDescent="0.25">
      <c r="A122" s="117" t="s">
        <v>84</v>
      </c>
      <c r="B122" s="61" t="s">
        <v>29</v>
      </c>
      <c r="C122" s="61">
        <v>5000</v>
      </c>
      <c r="D122" s="119">
        <v>0.28000000000000003</v>
      </c>
      <c r="E122" s="120">
        <f t="shared" si="19"/>
        <v>1400.0000000000002</v>
      </c>
      <c r="F122" s="4"/>
      <c r="G122" s="117"/>
      <c r="H122" s="61"/>
      <c r="I122" s="119"/>
      <c r="J122" s="120"/>
      <c r="K122" s="4"/>
      <c r="L122" s="127">
        <f t="shared" si="20"/>
        <v>1400.0000000000002</v>
      </c>
    </row>
    <row r="123" spans="1:12" x14ac:dyDescent="0.25">
      <c r="A123" s="117" t="s">
        <v>85</v>
      </c>
      <c r="B123" s="61"/>
      <c r="C123" s="61"/>
      <c r="D123" s="119"/>
      <c r="E123" s="120"/>
      <c r="F123" s="4"/>
      <c r="G123" s="117" t="s">
        <v>173</v>
      </c>
      <c r="H123" s="61">
        <v>1</v>
      </c>
      <c r="I123" s="119">
        <v>1700</v>
      </c>
      <c r="J123" s="120">
        <f>I123*H123</f>
        <v>1700</v>
      </c>
      <c r="K123" s="4"/>
      <c r="L123" s="127">
        <f t="shared" si="20"/>
        <v>1700</v>
      </c>
    </row>
    <row r="124" spans="1:12" x14ac:dyDescent="0.25">
      <c r="A124" s="117" t="s">
        <v>86</v>
      </c>
      <c r="B124" s="61"/>
      <c r="C124" s="61"/>
      <c r="D124" s="119"/>
      <c r="E124" s="120"/>
      <c r="F124" s="4"/>
      <c r="G124" s="117" t="s">
        <v>173</v>
      </c>
      <c r="H124" s="61">
        <v>1</v>
      </c>
      <c r="I124" s="119">
        <v>150</v>
      </c>
      <c r="J124" s="120">
        <f t="shared" ref="J124" si="21">H124*I124</f>
        <v>150</v>
      </c>
      <c r="K124" s="4"/>
      <c r="L124" s="127">
        <f t="shared" si="20"/>
        <v>150</v>
      </c>
    </row>
    <row r="125" spans="1:12" x14ac:dyDescent="0.25">
      <c r="A125" s="117" t="s">
        <v>87</v>
      </c>
      <c r="B125" s="61"/>
      <c r="C125" s="61"/>
      <c r="D125" s="119"/>
      <c r="E125" s="120"/>
      <c r="F125" s="4"/>
      <c r="G125" s="117" t="s">
        <v>30</v>
      </c>
      <c r="H125" s="61">
        <f>H193</f>
        <v>9</v>
      </c>
      <c r="I125" s="119">
        <v>25</v>
      </c>
      <c r="J125" s="120">
        <f t="shared" ref="J125:J131" si="22">I125*H125</f>
        <v>225</v>
      </c>
      <c r="K125" s="4"/>
      <c r="L125" s="127">
        <f t="shared" si="20"/>
        <v>225</v>
      </c>
    </row>
    <row r="126" spans="1:12" x14ac:dyDescent="0.25">
      <c r="A126" s="117" t="s">
        <v>88</v>
      </c>
      <c r="B126" s="61"/>
      <c r="C126" s="61"/>
      <c r="D126" s="119"/>
      <c r="E126" s="120"/>
      <c r="F126" s="4"/>
      <c r="G126" s="117" t="s">
        <v>30</v>
      </c>
      <c r="H126" s="61">
        <v>1</v>
      </c>
      <c r="I126" s="119">
        <v>500</v>
      </c>
      <c r="J126" s="120">
        <f t="shared" si="22"/>
        <v>500</v>
      </c>
      <c r="K126" s="4"/>
      <c r="L126" s="127">
        <f t="shared" si="20"/>
        <v>500</v>
      </c>
    </row>
    <row r="127" spans="1:12" x14ac:dyDescent="0.25">
      <c r="A127" s="117" t="s">
        <v>89</v>
      </c>
      <c r="B127" s="61"/>
      <c r="C127" s="61"/>
      <c r="D127" s="119"/>
      <c r="E127" s="120"/>
      <c r="F127" s="4"/>
      <c r="G127" s="117" t="s">
        <v>30</v>
      </c>
      <c r="H127" s="61">
        <v>1</v>
      </c>
      <c r="I127" s="119">
        <v>400</v>
      </c>
      <c r="J127" s="120">
        <f t="shared" si="22"/>
        <v>400</v>
      </c>
      <c r="K127" s="4"/>
      <c r="L127" s="127">
        <f t="shared" si="20"/>
        <v>400</v>
      </c>
    </row>
    <row r="128" spans="1:12" x14ac:dyDescent="0.25">
      <c r="A128" s="117" t="s">
        <v>90</v>
      </c>
      <c r="B128" s="61"/>
      <c r="C128" s="61"/>
      <c r="D128" s="119"/>
      <c r="E128" s="120"/>
      <c r="F128" s="4"/>
      <c r="G128" s="117" t="s">
        <v>30</v>
      </c>
      <c r="H128" s="61">
        <v>1</v>
      </c>
      <c r="I128" s="119">
        <v>30</v>
      </c>
      <c r="J128" s="120">
        <f t="shared" si="22"/>
        <v>30</v>
      </c>
      <c r="K128" s="4"/>
      <c r="L128" s="127">
        <f t="shared" si="20"/>
        <v>30</v>
      </c>
    </row>
    <row r="129" spans="1:12" x14ac:dyDescent="0.25">
      <c r="A129" s="117" t="s">
        <v>91</v>
      </c>
      <c r="B129" s="61"/>
      <c r="C129" s="61"/>
      <c r="D129" s="119"/>
      <c r="E129" s="120"/>
      <c r="F129" s="4"/>
      <c r="G129" s="117" t="s">
        <v>30</v>
      </c>
      <c r="H129" s="61">
        <v>1</v>
      </c>
      <c r="I129" s="119">
        <v>100</v>
      </c>
      <c r="J129" s="120">
        <f t="shared" si="22"/>
        <v>100</v>
      </c>
      <c r="K129" s="4"/>
      <c r="L129" s="127">
        <f t="shared" si="20"/>
        <v>100</v>
      </c>
    </row>
    <row r="130" spans="1:12" x14ac:dyDescent="0.25">
      <c r="A130" s="117" t="s">
        <v>92</v>
      </c>
      <c r="B130" s="61"/>
      <c r="C130" s="61"/>
      <c r="D130" s="119"/>
      <c r="E130" s="120"/>
      <c r="F130" s="4"/>
      <c r="G130" s="117" t="s">
        <v>30</v>
      </c>
      <c r="H130" s="61">
        <v>1</v>
      </c>
      <c r="I130" s="119">
        <v>100</v>
      </c>
      <c r="J130" s="120">
        <f t="shared" si="22"/>
        <v>100</v>
      </c>
      <c r="K130" s="4"/>
      <c r="L130" s="127">
        <f t="shared" si="20"/>
        <v>100</v>
      </c>
    </row>
    <row r="131" spans="1:12" x14ac:dyDescent="0.25">
      <c r="A131" s="117" t="s">
        <v>93</v>
      </c>
      <c r="B131" s="61"/>
      <c r="C131" s="61"/>
      <c r="D131" s="119"/>
      <c r="E131" s="120"/>
      <c r="F131" s="4"/>
      <c r="G131" s="117" t="s">
        <v>30</v>
      </c>
      <c r="H131" s="61">
        <v>1</v>
      </c>
      <c r="I131" s="119">
        <v>150</v>
      </c>
      <c r="J131" s="120">
        <f t="shared" si="22"/>
        <v>150</v>
      </c>
      <c r="K131" s="4"/>
      <c r="L131" s="127">
        <f t="shared" si="20"/>
        <v>150</v>
      </c>
    </row>
    <row r="132" spans="1:12" ht="15.75" thickBot="1" x14ac:dyDescent="0.3">
      <c r="A132" s="109" t="s">
        <v>13</v>
      </c>
      <c r="B132" s="141"/>
      <c r="C132" s="141"/>
      <c r="D132" s="141"/>
      <c r="E132" s="142">
        <f>SUM(E119:E131)</f>
        <v>5820</v>
      </c>
      <c r="F132" s="133"/>
      <c r="G132" s="143"/>
      <c r="H132" s="141"/>
      <c r="I132" s="141"/>
      <c r="J132" s="142">
        <f>SUM(J119:J131)</f>
        <v>3355</v>
      </c>
      <c r="K132" s="133"/>
      <c r="L132" s="145">
        <f>SUM(L119:L131)</f>
        <v>9175</v>
      </c>
    </row>
    <row r="133" spans="1:12" ht="15.75" thickBot="1" x14ac:dyDescent="0.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ht="15.75" thickBot="1" x14ac:dyDescent="0.3">
      <c r="A134" s="217" t="s">
        <v>225</v>
      </c>
      <c r="B134" s="218"/>
      <c r="C134" s="218"/>
      <c r="D134" s="218"/>
      <c r="E134" s="218"/>
      <c r="F134" s="218"/>
      <c r="G134" s="218"/>
      <c r="H134" s="218"/>
      <c r="I134" s="218"/>
      <c r="J134" s="218"/>
      <c r="K134" s="218"/>
      <c r="L134" s="219"/>
    </row>
    <row r="135" spans="1:12" x14ac:dyDescent="0.25">
      <c r="A135" s="136" t="s">
        <v>14</v>
      </c>
      <c r="B135" s="137" t="s">
        <v>15</v>
      </c>
      <c r="C135" s="137" t="s">
        <v>20</v>
      </c>
      <c r="D135" s="137" t="s">
        <v>19</v>
      </c>
      <c r="E135" s="138" t="s">
        <v>16</v>
      </c>
      <c r="F135" s="139"/>
      <c r="G135" s="110" t="s">
        <v>15</v>
      </c>
      <c r="H135" s="111" t="s">
        <v>20</v>
      </c>
      <c r="I135" s="111" t="s">
        <v>19</v>
      </c>
      <c r="J135" s="112" t="s">
        <v>17</v>
      </c>
      <c r="K135" s="139"/>
      <c r="L135" s="144" t="s">
        <v>13</v>
      </c>
    </row>
    <row r="136" spans="1:12" x14ac:dyDescent="0.25">
      <c r="A136" s="117" t="s">
        <v>94</v>
      </c>
      <c r="B136" s="61"/>
      <c r="C136" s="61"/>
      <c r="D136" s="119"/>
      <c r="E136" s="120"/>
      <c r="F136" s="4"/>
      <c r="G136" s="117" t="s">
        <v>29</v>
      </c>
      <c r="H136" s="61">
        <v>160</v>
      </c>
      <c r="I136" s="119">
        <v>1.6</v>
      </c>
      <c r="J136" s="120">
        <f t="shared" ref="J136:J141" si="23">I136*H136</f>
        <v>256</v>
      </c>
      <c r="K136" s="4"/>
      <c r="L136" s="127">
        <f t="shared" ref="L136:L142" si="24">E136+J136</f>
        <v>256</v>
      </c>
    </row>
    <row r="137" spans="1:12" x14ac:dyDescent="0.25">
      <c r="A137" s="117" t="s">
        <v>95</v>
      </c>
      <c r="B137" s="61"/>
      <c r="C137" s="61"/>
      <c r="D137" s="119"/>
      <c r="E137" s="120"/>
      <c r="F137" s="4"/>
      <c r="G137" s="117" t="s">
        <v>29</v>
      </c>
      <c r="H137" s="61">
        <v>5</v>
      </c>
      <c r="I137" s="119">
        <v>39</v>
      </c>
      <c r="J137" s="120">
        <f t="shared" si="23"/>
        <v>195</v>
      </c>
      <c r="K137" s="4"/>
      <c r="L137" s="127">
        <f t="shared" si="24"/>
        <v>195</v>
      </c>
    </row>
    <row r="138" spans="1:12" x14ac:dyDescent="0.25">
      <c r="A138" s="117" t="s">
        <v>96</v>
      </c>
      <c r="B138" s="61"/>
      <c r="C138" s="61"/>
      <c r="D138" s="119"/>
      <c r="E138" s="120"/>
      <c r="F138" s="4"/>
      <c r="G138" s="117" t="s">
        <v>29</v>
      </c>
      <c r="H138" s="61">
        <v>1</v>
      </c>
      <c r="I138" s="119">
        <v>75</v>
      </c>
      <c r="J138" s="120">
        <f t="shared" si="23"/>
        <v>75</v>
      </c>
      <c r="K138" s="4"/>
      <c r="L138" s="127">
        <f t="shared" si="24"/>
        <v>75</v>
      </c>
    </row>
    <row r="139" spans="1:12" x14ac:dyDescent="0.25">
      <c r="A139" s="117" t="s">
        <v>97</v>
      </c>
      <c r="B139" s="61" t="s">
        <v>29</v>
      </c>
      <c r="C139" s="61">
        <f>C198</f>
        <v>9</v>
      </c>
      <c r="D139" s="119">
        <v>6</v>
      </c>
      <c r="E139" s="120">
        <f>D139*C139</f>
        <v>54</v>
      </c>
      <c r="F139" s="4"/>
      <c r="G139" s="117" t="s">
        <v>29</v>
      </c>
      <c r="H139" s="61">
        <v>2</v>
      </c>
      <c r="I139" s="119">
        <v>6</v>
      </c>
      <c r="J139" s="120">
        <f t="shared" si="23"/>
        <v>12</v>
      </c>
      <c r="K139" s="4"/>
      <c r="L139" s="127">
        <f t="shared" si="24"/>
        <v>66</v>
      </c>
    </row>
    <row r="140" spans="1:12" x14ac:dyDescent="0.25">
      <c r="A140" s="117" t="s">
        <v>98</v>
      </c>
      <c r="B140" s="61"/>
      <c r="C140" s="61"/>
      <c r="D140" s="119"/>
      <c r="E140" s="120"/>
      <c r="F140" s="4"/>
      <c r="G140" s="117" t="s">
        <v>30</v>
      </c>
      <c r="H140" s="61">
        <v>2</v>
      </c>
      <c r="I140" s="119">
        <v>120</v>
      </c>
      <c r="J140" s="120">
        <f t="shared" si="23"/>
        <v>240</v>
      </c>
      <c r="K140" s="4"/>
      <c r="L140" s="127">
        <f t="shared" si="24"/>
        <v>240</v>
      </c>
    </row>
    <row r="141" spans="1:12" x14ac:dyDescent="0.25">
      <c r="A141" s="117" t="s">
        <v>99</v>
      </c>
      <c r="B141" s="61"/>
      <c r="C141" s="61"/>
      <c r="D141" s="119"/>
      <c r="E141" s="120"/>
      <c r="F141" s="4"/>
      <c r="G141" s="117" t="s">
        <v>30</v>
      </c>
      <c r="H141" s="61">
        <v>2</v>
      </c>
      <c r="I141" s="119">
        <v>150</v>
      </c>
      <c r="J141" s="120">
        <f t="shared" si="23"/>
        <v>300</v>
      </c>
      <c r="K141" s="4"/>
      <c r="L141" s="127">
        <f t="shared" si="24"/>
        <v>300</v>
      </c>
    </row>
    <row r="142" spans="1:12" x14ac:dyDescent="0.25">
      <c r="A142" s="117" t="s">
        <v>100</v>
      </c>
      <c r="B142" s="61" t="s">
        <v>29</v>
      </c>
      <c r="C142" s="61">
        <v>1000</v>
      </c>
      <c r="D142" s="119">
        <v>3.95</v>
      </c>
      <c r="E142" s="120">
        <f t="shared" ref="E142" si="25">C142*D142</f>
        <v>3950</v>
      </c>
      <c r="F142" s="4"/>
      <c r="G142" s="117" t="s">
        <v>29</v>
      </c>
      <c r="H142" s="61">
        <v>20</v>
      </c>
      <c r="I142" s="119">
        <v>3.95</v>
      </c>
      <c r="J142" s="120">
        <f t="shared" ref="J142" si="26">H142*I142</f>
        <v>79</v>
      </c>
      <c r="K142" s="4"/>
      <c r="L142" s="127">
        <f t="shared" si="24"/>
        <v>4029</v>
      </c>
    </row>
    <row r="143" spans="1:12" ht="15.75" thickBot="1" x14ac:dyDescent="0.3">
      <c r="A143" s="109" t="s">
        <v>13</v>
      </c>
      <c r="B143" s="141"/>
      <c r="C143" s="141"/>
      <c r="D143" s="141"/>
      <c r="E143" s="142">
        <f>SUM(E136:E142)</f>
        <v>4004</v>
      </c>
      <c r="F143" s="133"/>
      <c r="G143" s="143"/>
      <c r="H143" s="141"/>
      <c r="I143" s="141"/>
      <c r="J143" s="142">
        <f>SUM(J136:J142)</f>
        <v>1157</v>
      </c>
      <c r="K143" s="133"/>
      <c r="L143" s="145">
        <f>SUM(L136:L142)</f>
        <v>5161</v>
      </c>
    </row>
    <row r="144" spans="1:12" ht="15.75" thickBot="1" x14ac:dyDescent="0.3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ht="15.75" thickBot="1" x14ac:dyDescent="0.3">
      <c r="A145" s="217" t="s">
        <v>226</v>
      </c>
      <c r="B145" s="218"/>
      <c r="C145" s="218"/>
      <c r="D145" s="218"/>
      <c r="E145" s="218"/>
      <c r="F145" s="218"/>
      <c r="G145" s="218"/>
      <c r="H145" s="218"/>
      <c r="I145" s="218"/>
      <c r="J145" s="218"/>
      <c r="K145" s="218"/>
      <c r="L145" s="219"/>
    </row>
    <row r="146" spans="1:12" ht="15.75" thickBot="1" x14ac:dyDescent="0.3">
      <c r="A146" s="97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148"/>
    </row>
    <row r="147" spans="1:12" ht="15.75" thickBot="1" x14ac:dyDescent="0.3">
      <c r="A147" s="217" t="s">
        <v>227</v>
      </c>
      <c r="B147" s="218"/>
      <c r="C147" s="218"/>
      <c r="D147" s="218"/>
      <c r="E147" s="218"/>
      <c r="F147" s="218"/>
      <c r="G147" s="218"/>
      <c r="H147" s="218"/>
      <c r="I147" s="218"/>
      <c r="J147" s="218"/>
      <c r="K147" s="218"/>
      <c r="L147" s="219"/>
    </row>
    <row r="148" spans="1:12" x14ac:dyDescent="0.25">
      <c r="A148" s="136" t="s">
        <v>14</v>
      </c>
      <c r="B148" s="137" t="s">
        <v>15</v>
      </c>
      <c r="C148" s="137" t="s">
        <v>20</v>
      </c>
      <c r="D148" s="137" t="s">
        <v>19</v>
      </c>
      <c r="E148" s="138" t="s">
        <v>16</v>
      </c>
      <c r="F148" s="139"/>
      <c r="G148" s="136" t="s">
        <v>15</v>
      </c>
      <c r="H148" s="137" t="s">
        <v>20</v>
      </c>
      <c r="I148" s="137" t="s">
        <v>19</v>
      </c>
      <c r="J148" s="138" t="s">
        <v>17</v>
      </c>
      <c r="K148" s="139"/>
      <c r="L148" s="144" t="s">
        <v>13</v>
      </c>
    </row>
    <row r="149" spans="1:12" x14ac:dyDescent="0.25">
      <c r="A149" s="117" t="s">
        <v>101</v>
      </c>
      <c r="B149" s="61" t="s">
        <v>102</v>
      </c>
      <c r="C149" s="61">
        <v>15</v>
      </c>
      <c r="D149" s="119">
        <v>50</v>
      </c>
      <c r="E149" s="120">
        <f>C149*D149</f>
        <v>750</v>
      </c>
      <c r="F149" s="4"/>
      <c r="G149" s="61" t="s">
        <v>102</v>
      </c>
      <c r="H149" s="61"/>
      <c r="I149" s="119">
        <f>D149</f>
        <v>50</v>
      </c>
      <c r="J149" s="120">
        <f>H149*I149</f>
        <v>0</v>
      </c>
      <c r="K149" s="4"/>
      <c r="L149" s="127">
        <f t="shared" ref="L149:L152" si="27">E149+J149</f>
        <v>750</v>
      </c>
    </row>
    <row r="150" spans="1:12" x14ac:dyDescent="0.25">
      <c r="A150" s="117" t="s">
        <v>103</v>
      </c>
      <c r="B150" s="61" t="s">
        <v>102</v>
      </c>
      <c r="C150" s="61">
        <v>15</v>
      </c>
      <c r="D150" s="119">
        <v>120</v>
      </c>
      <c r="E150" s="120">
        <f t="shared" ref="E150:E152" si="28">C150*D150</f>
        <v>1800</v>
      </c>
      <c r="F150" s="4"/>
      <c r="G150" s="61" t="s">
        <v>102</v>
      </c>
      <c r="H150" s="61"/>
      <c r="I150" s="119">
        <f t="shared" ref="I150:I152" si="29">D150</f>
        <v>120</v>
      </c>
      <c r="J150" s="120">
        <f t="shared" ref="J150:J152" si="30">H150*I150</f>
        <v>0</v>
      </c>
      <c r="K150" s="4"/>
      <c r="L150" s="127">
        <f t="shared" si="27"/>
        <v>1800</v>
      </c>
    </row>
    <row r="151" spans="1:12" x14ac:dyDescent="0.25">
      <c r="A151" s="117" t="s">
        <v>191</v>
      </c>
      <c r="B151" s="61" t="s">
        <v>102</v>
      </c>
      <c r="C151" s="61">
        <v>15</v>
      </c>
      <c r="D151" s="119">
        <v>25</v>
      </c>
      <c r="E151" s="120">
        <f t="shared" si="28"/>
        <v>375</v>
      </c>
      <c r="F151" s="4"/>
      <c r="G151" s="61" t="s">
        <v>102</v>
      </c>
      <c r="H151" s="61"/>
      <c r="I151" s="119">
        <f t="shared" si="29"/>
        <v>25</v>
      </c>
      <c r="J151" s="120">
        <f t="shared" si="30"/>
        <v>0</v>
      </c>
      <c r="K151" s="4"/>
      <c r="L151" s="127">
        <f t="shared" si="27"/>
        <v>375</v>
      </c>
    </row>
    <row r="152" spans="1:12" x14ac:dyDescent="0.25">
      <c r="A152" s="117" t="s">
        <v>104</v>
      </c>
      <c r="B152" s="61" t="s">
        <v>30</v>
      </c>
      <c r="C152" s="61">
        <v>30</v>
      </c>
      <c r="D152" s="119">
        <v>20</v>
      </c>
      <c r="E152" s="120">
        <f t="shared" si="28"/>
        <v>600</v>
      </c>
      <c r="F152" s="4"/>
      <c r="G152" s="117" t="s">
        <v>30</v>
      </c>
      <c r="H152" s="61"/>
      <c r="I152" s="119">
        <f t="shared" si="29"/>
        <v>20</v>
      </c>
      <c r="J152" s="120">
        <f t="shared" si="30"/>
        <v>0</v>
      </c>
      <c r="K152" s="4"/>
      <c r="L152" s="127">
        <f t="shared" si="27"/>
        <v>600</v>
      </c>
    </row>
    <row r="153" spans="1:12" ht="15.75" thickBot="1" x14ac:dyDescent="0.3">
      <c r="A153" s="109" t="s">
        <v>13</v>
      </c>
      <c r="B153" s="141"/>
      <c r="C153" s="141"/>
      <c r="D153" s="141"/>
      <c r="E153" s="142">
        <f>SUM(E149:E152)</f>
        <v>3525</v>
      </c>
      <c r="F153" s="4"/>
      <c r="G153" s="143"/>
      <c r="H153" s="141"/>
      <c r="I153" s="141"/>
      <c r="J153" s="142">
        <f>SUM(J149:J152)</f>
        <v>0</v>
      </c>
      <c r="K153" s="4"/>
      <c r="L153" s="145">
        <f>SUM(L149:L152)</f>
        <v>3525</v>
      </c>
    </row>
    <row r="154" spans="1:12" x14ac:dyDescent="0.25">
      <c r="A154" s="92"/>
      <c r="L154" s="93"/>
    </row>
    <row r="155" spans="1:12" ht="15.75" thickBot="1" x14ac:dyDescent="0.3">
      <c r="A155" s="223" t="s">
        <v>228</v>
      </c>
      <c r="B155" s="224"/>
      <c r="C155" s="224"/>
      <c r="D155" s="224"/>
      <c r="E155" s="224"/>
      <c r="F155" s="224"/>
      <c r="G155" s="224"/>
      <c r="H155" s="224"/>
      <c r="I155" s="224"/>
      <c r="J155" s="224"/>
      <c r="K155" s="224"/>
      <c r="L155" s="225"/>
    </row>
    <row r="156" spans="1:12" x14ac:dyDescent="0.25">
      <c r="A156" s="110" t="s">
        <v>14</v>
      </c>
      <c r="B156" s="111" t="s">
        <v>15</v>
      </c>
      <c r="C156" s="111" t="s">
        <v>20</v>
      </c>
      <c r="D156" s="111" t="s">
        <v>19</v>
      </c>
      <c r="E156" s="112" t="s">
        <v>16</v>
      </c>
      <c r="F156" s="139"/>
      <c r="G156" s="110" t="s">
        <v>15</v>
      </c>
      <c r="H156" s="111" t="s">
        <v>20</v>
      </c>
      <c r="I156" s="111" t="s">
        <v>19</v>
      </c>
      <c r="J156" s="112" t="s">
        <v>17</v>
      </c>
      <c r="K156" s="139"/>
      <c r="L156" s="147" t="s">
        <v>13</v>
      </c>
    </row>
    <row r="157" spans="1:12" x14ac:dyDescent="0.25">
      <c r="A157" s="117" t="s">
        <v>106</v>
      </c>
      <c r="B157" s="61" t="s">
        <v>102</v>
      </c>
      <c r="C157" s="61">
        <v>25</v>
      </c>
      <c r="D157" s="119">
        <v>50</v>
      </c>
      <c r="E157" s="120">
        <f>C157*D157</f>
        <v>1250</v>
      </c>
      <c r="F157" s="4"/>
      <c r="G157" s="61" t="s">
        <v>102</v>
      </c>
      <c r="H157" s="61">
        <v>2</v>
      </c>
      <c r="I157" s="119">
        <v>27</v>
      </c>
      <c r="J157" s="120">
        <f>H157*I157</f>
        <v>54</v>
      </c>
      <c r="K157" s="4"/>
      <c r="L157" s="127">
        <f t="shared" ref="L157:L163" si="31">E157+J157</f>
        <v>1304</v>
      </c>
    </row>
    <row r="158" spans="1:12" x14ac:dyDescent="0.25">
      <c r="A158" s="117" t="s">
        <v>191</v>
      </c>
      <c r="B158" s="61" t="s">
        <v>102</v>
      </c>
      <c r="C158" s="61">
        <v>25</v>
      </c>
      <c r="D158" s="119">
        <v>25</v>
      </c>
      <c r="E158" s="120">
        <f t="shared" ref="E158:E163" si="32">C158*D158</f>
        <v>625</v>
      </c>
      <c r="F158" s="4"/>
      <c r="G158" s="61" t="s">
        <v>102</v>
      </c>
      <c r="H158" s="61">
        <v>2</v>
      </c>
      <c r="I158" s="119">
        <v>14</v>
      </c>
      <c r="J158" s="120">
        <f t="shared" ref="J158:J163" si="33">H158*I158</f>
        <v>28</v>
      </c>
      <c r="K158" s="4"/>
      <c r="L158" s="127">
        <f t="shared" si="31"/>
        <v>653</v>
      </c>
    </row>
    <row r="159" spans="1:12" x14ac:dyDescent="0.25">
      <c r="A159" s="117" t="s">
        <v>104</v>
      </c>
      <c r="B159" s="61" t="s">
        <v>30</v>
      </c>
      <c r="C159" s="61">
        <v>15</v>
      </c>
      <c r="D159" s="119">
        <v>20</v>
      </c>
      <c r="E159" s="120">
        <f t="shared" si="32"/>
        <v>300</v>
      </c>
      <c r="F159" s="4"/>
      <c r="G159" s="61" t="s">
        <v>30</v>
      </c>
      <c r="H159" s="61">
        <v>1</v>
      </c>
      <c r="I159" s="119">
        <v>15</v>
      </c>
      <c r="J159" s="120">
        <f t="shared" si="33"/>
        <v>15</v>
      </c>
      <c r="K159" s="4"/>
      <c r="L159" s="127">
        <f t="shared" si="31"/>
        <v>315</v>
      </c>
    </row>
    <row r="160" spans="1:12" x14ac:dyDescent="0.25">
      <c r="A160" s="117" t="s">
        <v>105</v>
      </c>
      <c r="B160" s="61" t="s">
        <v>79</v>
      </c>
      <c r="C160" s="61">
        <v>10</v>
      </c>
      <c r="D160" s="119">
        <v>250</v>
      </c>
      <c r="E160" s="120">
        <f t="shared" si="32"/>
        <v>2500</v>
      </c>
      <c r="F160" s="4"/>
      <c r="G160" s="61" t="s">
        <v>79</v>
      </c>
      <c r="H160" s="61">
        <v>0</v>
      </c>
      <c r="I160" s="119">
        <v>100</v>
      </c>
      <c r="J160" s="120">
        <f t="shared" si="33"/>
        <v>0</v>
      </c>
      <c r="K160" s="4"/>
      <c r="L160" s="127">
        <f t="shared" si="31"/>
        <v>2500</v>
      </c>
    </row>
    <row r="161" spans="1:12" x14ac:dyDescent="0.25">
      <c r="A161" s="117" t="s">
        <v>107</v>
      </c>
      <c r="B161" s="61" t="s">
        <v>30</v>
      </c>
      <c r="C161" s="61">
        <v>4</v>
      </c>
      <c r="D161" s="119">
        <v>500</v>
      </c>
      <c r="E161" s="120">
        <f t="shared" si="32"/>
        <v>2000</v>
      </c>
      <c r="F161" s="4"/>
      <c r="G161" s="61"/>
      <c r="H161" s="61"/>
      <c r="I161" s="119"/>
      <c r="J161" s="120"/>
      <c r="K161" s="4"/>
      <c r="L161" s="127">
        <f t="shared" si="31"/>
        <v>2000</v>
      </c>
    </row>
    <row r="162" spans="1:12" x14ac:dyDescent="0.25">
      <c r="A162" s="117" t="s">
        <v>108</v>
      </c>
      <c r="B162" s="61" t="s">
        <v>30</v>
      </c>
      <c r="C162" s="61">
        <v>5</v>
      </c>
      <c r="D162" s="119">
        <v>170</v>
      </c>
      <c r="E162" s="120">
        <f t="shared" si="32"/>
        <v>850</v>
      </c>
      <c r="F162" s="4"/>
      <c r="G162" s="61" t="s">
        <v>30</v>
      </c>
      <c r="H162" s="61">
        <v>0</v>
      </c>
      <c r="I162" s="119">
        <v>170</v>
      </c>
      <c r="J162" s="120">
        <f t="shared" si="33"/>
        <v>0</v>
      </c>
      <c r="K162" s="4"/>
      <c r="L162" s="127">
        <f t="shared" si="31"/>
        <v>850</v>
      </c>
    </row>
    <row r="163" spans="1:12" x14ac:dyDescent="0.25">
      <c r="A163" s="117" t="s">
        <v>80</v>
      </c>
      <c r="B163" s="61" t="s">
        <v>30</v>
      </c>
      <c r="C163" s="61">
        <v>10</v>
      </c>
      <c r="D163" s="119">
        <v>24</v>
      </c>
      <c r="E163" s="120">
        <f t="shared" si="32"/>
        <v>240</v>
      </c>
      <c r="F163" s="4"/>
      <c r="G163" s="61" t="s">
        <v>30</v>
      </c>
      <c r="H163" s="61">
        <v>2</v>
      </c>
      <c r="I163" s="119">
        <v>24</v>
      </c>
      <c r="J163" s="120">
        <f t="shared" si="33"/>
        <v>48</v>
      </c>
      <c r="K163" s="4"/>
      <c r="L163" s="127">
        <f t="shared" si="31"/>
        <v>288</v>
      </c>
    </row>
    <row r="164" spans="1:12" ht="15.75" thickBot="1" x14ac:dyDescent="0.3">
      <c r="A164" s="109" t="s">
        <v>13</v>
      </c>
      <c r="B164" s="141"/>
      <c r="C164" s="141"/>
      <c r="D164" s="141"/>
      <c r="E164" s="142">
        <f>SUM(E157:E163)</f>
        <v>7765</v>
      </c>
      <c r="F164" s="4"/>
      <c r="G164" s="143"/>
      <c r="H164" s="141"/>
      <c r="I164" s="141"/>
      <c r="J164" s="142">
        <f>SUM(J157:J163)</f>
        <v>145</v>
      </c>
      <c r="K164" s="4"/>
      <c r="L164" s="145">
        <f>SUM(L157:L163)</f>
        <v>7910</v>
      </c>
    </row>
    <row r="165" spans="1:12" x14ac:dyDescent="0.25">
      <c r="A165" s="92"/>
      <c r="L165" s="93"/>
    </row>
    <row r="166" spans="1:12" ht="15.75" thickBot="1" x14ac:dyDescent="0.3">
      <c r="A166" s="223" t="s">
        <v>229</v>
      </c>
      <c r="B166" s="224"/>
      <c r="C166" s="224"/>
      <c r="D166" s="224"/>
      <c r="E166" s="224"/>
      <c r="F166" s="224"/>
      <c r="G166" s="224"/>
      <c r="H166" s="224"/>
      <c r="I166" s="224"/>
      <c r="J166" s="224"/>
      <c r="K166" s="224"/>
      <c r="L166" s="225"/>
    </row>
    <row r="167" spans="1:12" x14ac:dyDescent="0.25">
      <c r="A167" s="110" t="s">
        <v>14</v>
      </c>
      <c r="B167" s="111" t="s">
        <v>118</v>
      </c>
      <c r="C167" s="111" t="s">
        <v>119</v>
      </c>
      <c r="D167" s="111" t="s">
        <v>120</v>
      </c>
      <c r="E167" s="112" t="s">
        <v>16</v>
      </c>
      <c r="F167" s="139"/>
      <c r="G167" s="110" t="s">
        <v>118</v>
      </c>
      <c r="H167" s="111" t="s">
        <v>119</v>
      </c>
      <c r="I167" s="111" t="s">
        <v>196</v>
      </c>
      <c r="J167" s="112" t="s">
        <v>17</v>
      </c>
      <c r="K167" s="139"/>
      <c r="L167" s="147" t="s">
        <v>13</v>
      </c>
    </row>
    <row r="168" spans="1:12" x14ac:dyDescent="0.25">
      <c r="A168" s="117" t="s">
        <v>109</v>
      </c>
      <c r="B168" s="61"/>
      <c r="C168" s="61"/>
      <c r="D168" s="119"/>
      <c r="E168" s="120"/>
      <c r="F168" s="4"/>
      <c r="G168" s="61">
        <v>0</v>
      </c>
      <c r="H168" s="119">
        <v>2900</v>
      </c>
      <c r="I168" s="119">
        <f t="shared" ref="I168" si="34">H168*$B$180</f>
        <v>1942.1299999999999</v>
      </c>
      <c r="J168" s="120">
        <f t="shared" ref="J168" si="35">(H168+I168)*G168</f>
        <v>0</v>
      </c>
      <c r="K168" s="4"/>
      <c r="L168" s="127">
        <f t="shared" ref="L168" si="36">J168+E168</f>
        <v>0</v>
      </c>
    </row>
    <row r="169" spans="1:12" x14ac:dyDescent="0.25">
      <c r="A169" s="117" t="s">
        <v>110</v>
      </c>
      <c r="B169" s="61"/>
      <c r="C169" s="61"/>
      <c r="D169" s="119"/>
      <c r="E169" s="120"/>
      <c r="F169" s="4"/>
      <c r="G169" s="61">
        <v>0.2</v>
      </c>
      <c r="H169" s="119">
        <v>6500</v>
      </c>
      <c r="I169" s="119">
        <f t="shared" ref="I169:I177" si="37">H169*$B$180</f>
        <v>4353.05</v>
      </c>
      <c r="J169" s="120">
        <f t="shared" ref="J169:J177" si="38">(H169+I169)*G169</f>
        <v>2170.61</v>
      </c>
      <c r="K169" s="4"/>
      <c r="L169" s="127">
        <f t="shared" ref="L169:L177" si="39">J169+E169</f>
        <v>2170.61</v>
      </c>
    </row>
    <row r="170" spans="1:12" x14ac:dyDescent="0.25">
      <c r="A170" s="117" t="s">
        <v>111</v>
      </c>
      <c r="B170" s="61"/>
      <c r="C170" s="61"/>
      <c r="D170" s="119"/>
      <c r="E170" s="120"/>
      <c r="F170" s="4"/>
      <c r="G170" s="61">
        <v>0</v>
      </c>
      <c r="H170" s="119">
        <v>1700</v>
      </c>
      <c r="I170" s="119">
        <f t="shared" si="37"/>
        <v>1138.49</v>
      </c>
      <c r="J170" s="120">
        <f t="shared" si="38"/>
        <v>0</v>
      </c>
      <c r="K170" s="4"/>
      <c r="L170" s="127">
        <f t="shared" si="39"/>
        <v>0</v>
      </c>
    </row>
    <row r="171" spans="1:12" x14ac:dyDescent="0.25">
      <c r="A171" s="117" t="s">
        <v>112</v>
      </c>
      <c r="B171" s="61"/>
      <c r="C171" s="61"/>
      <c r="D171" s="119"/>
      <c r="E171" s="120"/>
      <c r="F171" s="4"/>
      <c r="G171" s="61">
        <v>1</v>
      </c>
      <c r="H171" s="119">
        <v>1600</v>
      </c>
      <c r="I171" s="119">
        <f t="shared" si="37"/>
        <v>1071.52</v>
      </c>
      <c r="J171" s="120">
        <f t="shared" si="38"/>
        <v>2671.52</v>
      </c>
      <c r="K171" s="4"/>
      <c r="L171" s="127">
        <f t="shared" si="39"/>
        <v>2671.52</v>
      </c>
    </row>
    <row r="172" spans="1:12" x14ac:dyDescent="0.25">
      <c r="A172" s="117" t="s">
        <v>308</v>
      </c>
      <c r="B172" s="61"/>
      <c r="C172" s="61"/>
      <c r="D172" s="119"/>
      <c r="E172" s="120"/>
      <c r="F172" s="4"/>
      <c r="G172" s="117">
        <v>1</v>
      </c>
      <c r="H172" s="119">
        <v>1800</v>
      </c>
      <c r="I172" s="119">
        <f t="shared" si="37"/>
        <v>1205.46</v>
      </c>
      <c r="J172" s="120">
        <f t="shared" si="38"/>
        <v>3005.46</v>
      </c>
      <c r="K172" s="4"/>
      <c r="L172" s="127">
        <f t="shared" si="39"/>
        <v>3005.46</v>
      </c>
    </row>
    <row r="173" spans="1:12" x14ac:dyDescent="0.25">
      <c r="A173" s="117" t="s">
        <v>193</v>
      </c>
      <c r="B173" s="61"/>
      <c r="C173" s="61"/>
      <c r="D173" s="119"/>
      <c r="E173" s="120"/>
      <c r="F173" s="4"/>
      <c r="G173" s="117">
        <f>D9</f>
        <v>6</v>
      </c>
      <c r="H173" s="119">
        <v>1600</v>
      </c>
      <c r="I173" s="119">
        <f t="shared" si="37"/>
        <v>1071.52</v>
      </c>
      <c r="J173" s="120">
        <f t="shared" si="38"/>
        <v>16029.119999999999</v>
      </c>
      <c r="K173" s="4"/>
      <c r="L173" s="127">
        <f t="shared" si="39"/>
        <v>16029.119999999999</v>
      </c>
    </row>
    <row r="174" spans="1:12" x14ac:dyDescent="0.25">
      <c r="A174" s="117" t="s">
        <v>115</v>
      </c>
      <c r="B174" s="61"/>
      <c r="C174" s="61"/>
      <c r="D174" s="119"/>
      <c r="E174" s="120"/>
      <c r="F174" s="4"/>
      <c r="G174" s="117">
        <v>1</v>
      </c>
      <c r="H174" s="119">
        <v>1800</v>
      </c>
      <c r="I174" s="119">
        <f t="shared" si="37"/>
        <v>1205.46</v>
      </c>
      <c r="J174" s="120">
        <f t="shared" si="38"/>
        <v>3005.46</v>
      </c>
      <c r="K174" s="4"/>
      <c r="L174" s="127">
        <f t="shared" si="39"/>
        <v>3005.46</v>
      </c>
    </row>
    <row r="175" spans="1:12" x14ac:dyDescent="0.25">
      <c r="A175" s="117" t="s">
        <v>116</v>
      </c>
      <c r="B175" s="61"/>
      <c r="C175" s="61"/>
      <c r="D175" s="119"/>
      <c r="E175" s="120"/>
      <c r="F175" s="4"/>
      <c r="G175" s="117">
        <v>0</v>
      </c>
      <c r="H175" s="119">
        <v>1550</v>
      </c>
      <c r="I175" s="119">
        <f t="shared" si="37"/>
        <v>1038.0349999999999</v>
      </c>
      <c r="J175" s="120">
        <f t="shared" si="38"/>
        <v>0</v>
      </c>
      <c r="K175" s="4"/>
      <c r="L175" s="127">
        <f t="shared" si="39"/>
        <v>0</v>
      </c>
    </row>
    <row r="176" spans="1:12" x14ac:dyDescent="0.25">
      <c r="A176" s="117" t="s">
        <v>117</v>
      </c>
      <c r="B176" s="61"/>
      <c r="C176" s="61"/>
      <c r="D176" s="119"/>
      <c r="E176" s="120"/>
      <c r="F176" s="4"/>
      <c r="G176" s="117">
        <v>0</v>
      </c>
      <c r="H176" s="119">
        <v>1550</v>
      </c>
      <c r="I176" s="119">
        <f t="shared" si="37"/>
        <v>1038.0349999999999</v>
      </c>
      <c r="J176" s="120">
        <f t="shared" si="38"/>
        <v>0</v>
      </c>
      <c r="K176" s="4"/>
      <c r="L176" s="127">
        <f t="shared" si="39"/>
        <v>0</v>
      </c>
    </row>
    <row r="177" spans="1:12" x14ac:dyDescent="0.25">
      <c r="A177" s="117" t="s">
        <v>301</v>
      </c>
      <c r="B177" s="61"/>
      <c r="C177" s="61"/>
      <c r="D177" s="119"/>
      <c r="E177" s="120"/>
      <c r="F177" s="4"/>
      <c r="G177" s="117">
        <f>G173</f>
        <v>6</v>
      </c>
      <c r="H177" s="119">
        <f>H173*10%</f>
        <v>160</v>
      </c>
      <c r="I177" s="119">
        <f t="shared" si="37"/>
        <v>107.15199999999999</v>
      </c>
      <c r="J177" s="120">
        <f t="shared" si="38"/>
        <v>1602.9119999999998</v>
      </c>
      <c r="K177" s="4"/>
      <c r="L177" s="127">
        <f t="shared" si="39"/>
        <v>1602.9119999999998</v>
      </c>
    </row>
    <row r="178" spans="1:12" ht="15.75" thickBot="1" x14ac:dyDescent="0.3">
      <c r="A178" s="109" t="s">
        <v>13</v>
      </c>
      <c r="B178" s="141"/>
      <c r="C178" s="141"/>
      <c r="D178" s="141"/>
      <c r="E178" s="142"/>
      <c r="F178" s="4"/>
      <c r="G178" s="143"/>
      <c r="H178" s="141"/>
      <c r="I178" s="141"/>
      <c r="J178" s="142">
        <f>SUM(J168:J177)</f>
        <v>28485.081999999999</v>
      </c>
      <c r="K178" s="4"/>
      <c r="L178" s="145">
        <f>SUM(L168:L177)</f>
        <v>28485.081999999999</v>
      </c>
    </row>
    <row r="179" spans="1:12" ht="15.75" thickBot="1" x14ac:dyDescent="0.3">
      <c r="A179" s="92"/>
      <c r="L179" s="93"/>
    </row>
    <row r="180" spans="1:12" ht="15.75" thickBot="1" x14ac:dyDescent="0.3">
      <c r="A180" s="149" t="s">
        <v>197</v>
      </c>
      <c r="B180" s="150">
        <v>0.66969999999999996</v>
      </c>
      <c r="C180" s="151"/>
      <c r="D180" s="152"/>
      <c r="G180" s="153"/>
      <c r="L180" s="93"/>
    </row>
    <row r="181" spans="1:12" x14ac:dyDescent="0.25">
      <c r="A181" s="92"/>
      <c r="L181" s="93"/>
    </row>
    <row r="182" spans="1:12" ht="15.75" thickBot="1" x14ac:dyDescent="0.3">
      <c r="A182" s="223" t="s">
        <v>230</v>
      </c>
      <c r="B182" s="224"/>
      <c r="C182" s="224"/>
      <c r="D182" s="224"/>
      <c r="E182" s="224"/>
      <c r="F182" s="224"/>
      <c r="G182" s="224"/>
      <c r="H182" s="224"/>
      <c r="I182" s="224"/>
      <c r="J182" s="224"/>
      <c r="K182" s="224"/>
      <c r="L182" s="225"/>
    </row>
    <row r="183" spans="1:12" x14ac:dyDescent="0.25">
      <c r="A183" s="110" t="s">
        <v>14</v>
      </c>
      <c r="B183" s="111" t="s">
        <v>121</v>
      </c>
      <c r="C183" s="111" t="s">
        <v>122</v>
      </c>
      <c r="D183" s="111" t="s">
        <v>123</v>
      </c>
      <c r="E183" s="112" t="s">
        <v>16</v>
      </c>
      <c r="F183" s="139"/>
      <c r="G183" s="111" t="s">
        <v>121</v>
      </c>
      <c r="H183" s="111" t="s">
        <v>122</v>
      </c>
      <c r="I183" s="111" t="s">
        <v>123</v>
      </c>
      <c r="J183" s="112" t="s">
        <v>17</v>
      </c>
      <c r="K183" s="139"/>
      <c r="L183" s="147" t="s">
        <v>13</v>
      </c>
    </row>
    <row r="184" spans="1:12" x14ac:dyDescent="0.25">
      <c r="A184" s="117" t="s">
        <v>109</v>
      </c>
      <c r="B184" s="61"/>
      <c r="C184" s="61"/>
      <c r="D184" s="119"/>
      <c r="E184" s="120"/>
      <c r="F184" s="4"/>
      <c r="G184" s="154"/>
      <c r="H184" s="154"/>
      <c r="I184" s="155"/>
      <c r="J184" s="156"/>
      <c r="K184" s="157"/>
      <c r="L184" s="158">
        <f>J184+E184</f>
        <v>0</v>
      </c>
    </row>
    <row r="185" spans="1:12" x14ac:dyDescent="0.25">
      <c r="A185" s="117" t="s">
        <v>110</v>
      </c>
      <c r="B185" s="61"/>
      <c r="C185" s="61"/>
      <c r="D185" s="119"/>
      <c r="E185" s="120"/>
      <c r="F185" s="4"/>
      <c r="G185" s="154"/>
      <c r="H185" s="154"/>
      <c r="I185" s="155"/>
      <c r="J185" s="156"/>
      <c r="K185" s="157"/>
      <c r="L185" s="158">
        <f t="shared" ref="L185:L193" si="40">J185+E185</f>
        <v>0</v>
      </c>
    </row>
    <row r="186" spans="1:12" x14ac:dyDescent="0.25">
      <c r="A186" s="117" t="s">
        <v>111</v>
      </c>
      <c r="B186" s="61"/>
      <c r="C186" s="61"/>
      <c r="D186" s="119"/>
      <c r="E186" s="120"/>
      <c r="F186" s="4"/>
      <c r="G186" s="154">
        <v>48</v>
      </c>
      <c r="H186" s="154">
        <f t="shared" ref="H186:H191" si="41">G170</f>
        <v>0</v>
      </c>
      <c r="I186" s="155">
        <v>3.75</v>
      </c>
      <c r="J186" s="156">
        <f t="shared" ref="J186:J191" si="42">(G186*H186*I186)-(H170*6%)</f>
        <v>-102</v>
      </c>
      <c r="K186" s="157"/>
      <c r="L186" s="158">
        <f t="shared" si="40"/>
        <v>-102</v>
      </c>
    </row>
    <row r="187" spans="1:12" x14ac:dyDescent="0.25">
      <c r="A187" s="117" t="s">
        <v>112</v>
      </c>
      <c r="B187" s="61"/>
      <c r="C187" s="61"/>
      <c r="D187" s="119"/>
      <c r="E187" s="120"/>
      <c r="F187" s="4"/>
      <c r="G187" s="154">
        <v>48</v>
      </c>
      <c r="H187" s="154">
        <f t="shared" si="41"/>
        <v>1</v>
      </c>
      <c r="I187" s="155">
        <v>3.75</v>
      </c>
      <c r="J187" s="156">
        <f t="shared" si="42"/>
        <v>84</v>
      </c>
      <c r="K187" s="157"/>
      <c r="L187" s="158">
        <f t="shared" si="40"/>
        <v>84</v>
      </c>
    </row>
    <row r="188" spans="1:12" x14ac:dyDescent="0.25">
      <c r="A188" s="117" t="s">
        <v>113</v>
      </c>
      <c r="B188" s="61"/>
      <c r="C188" s="61"/>
      <c r="D188" s="119"/>
      <c r="E188" s="120"/>
      <c r="F188" s="4"/>
      <c r="G188" s="154">
        <v>48</v>
      </c>
      <c r="H188" s="154">
        <f t="shared" si="41"/>
        <v>1</v>
      </c>
      <c r="I188" s="155">
        <v>3.75</v>
      </c>
      <c r="J188" s="156">
        <f t="shared" si="42"/>
        <v>72</v>
      </c>
      <c r="K188" s="157"/>
      <c r="L188" s="158">
        <f t="shared" si="40"/>
        <v>72</v>
      </c>
    </row>
    <row r="189" spans="1:12" x14ac:dyDescent="0.25">
      <c r="A189" s="117" t="s">
        <v>114</v>
      </c>
      <c r="B189" s="61"/>
      <c r="C189" s="61"/>
      <c r="D189" s="119"/>
      <c r="E189" s="120"/>
      <c r="F189" s="4"/>
      <c r="G189" s="154">
        <v>48</v>
      </c>
      <c r="H189" s="154">
        <f t="shared" si="41"/>
        <v>6</v>
      </c>
      <c r="I189" s="155">
        <v>3.75</v>
      </c>
      <c r="J189" s="156">
        <f t="shared" si="42"/>
        <v>984</v>
      </c>
      <c r="K189" s="157"/>
      <c r="L189" s="158">
        <f t="shared" si="40"/>
        <v>984</v>
      </c>
    </row>
    <row r="190" spans="1:12" x14ac:dyDescent="0.25">
      <c r="A190" s="117" t="s">
        <v>115</v>
      </c>
      <c r="B190" s="61"/>
      <c r="C190" s="61"/>
      <c r="D190" s="119"/>
      <c r="E190" s="120"/>
      <c r="F190" s="4"/>
      <c r="G190" s="154">
        <v>48</v>
      </c>
      <c r="H190" s="154">
        <f t="shared" si="41"/>
        <v>1</v>
      </c>
      <c r="I190" s="155">
        <v>3.75</v>
      </c>
      <c r="J190" s="156">
        <f t="shared" si="42"/>
        <v>72</v>
      </c>
      <c r="K190" s="157"/>
      <c r="L190" s="158">
        <f t="shared" si="40"/>
        <v>72</v>
      </c>
    </row>
    <row r="191" spans="1:12" x14ac:dyDescent="0.25">
      <c r="A191" s="117" t="s">
        <v>116</v>
      </c>
      <c r="B191" s="61"/>
      <c r="C191" s="61"/>
      <c r="D191" s="119"/>
      <c r="E191" s="120"/>
      <c r="F191" s="4"/>
      <c r="G191" s="154">
        <v>48</v>
      </c>
      <c r="H191" s="154">
        <f t="shared" si="41"/>
        <v>0</v>
      </c>
      <c r="I191" s="155">
        <v>3.75</v>
      </c>
      <c r="J191" s="156">
        <f t="shared" si="42"/>
        <v>-93</v>
      </c>
      <c r="K191" s="157"/>
      <c r="L191" s="158">
        <f t="shared" si="40"/>
        <v>-93</v>
      </c>
    </row>
    <row r="192" spans="1:12" x14ac:dyDescent="0.25">
      <c r="A192" s="117" t="s">
        <v>117</v>
      </c>
      <c r="B192" s="61"/>
      <c r="C192" s="61"/>
      <c r="D192" s="119"/>
      <c r="E192" s="120"/>
      <c r="F192" s="4"/>
      <c r="G192" s="154"/>
      <c r="H192" s="154"/>
      <c r="I192" s="155"/>
      <c r="J192" s="156"/>
      <c r="K192" s="157"/>
      <c r="L192" s="158">
        <f t="shared" si="40"/>
        <v>0</v>
      </c>
    </row>
    <row r="193" spans="1:12" x14ac:dyDescent="0.25">
      <c r="A193" s="117" t="s">
        <v>208</v>
      </c>
      <c r="B193" s="61"/>
      <c r="C193" s="61"/>
      <c r="D193" s="119"/>
      <c r="E193" s="120"/>
      <c r="F193" s="4"/>
      <c r="G193" s="154">
        <v>22</v>
      </c>
      <c r="H193" s="154">
        <v>9</v>
      </c>
      <c r="I193" s="155">
        <v>10</v>
      </c>
      <c r="J193" s="156">
        <f>(G193*H193*I193)-((H177/2)*0.06)</f>
        <v>1975.2</v>
      </c>
      <c r="K193" s="157"/>
      <c r="L193" s="158">
        <f t="shared" si="40"/>
        <v>1975.2</v>
      </c>
    </row>
    <row r="194" spans="1:12" ht="15.75" thickBot="1" x14ac:dyDescent="0.3">
      <c r="A194" s="109" t="s">
        <v>13</v>
      </c>
      <c r="B194" s="141"/>
      <c r="C194" s="141"/>
      <c r="D194" s="141"/>
      <c r="E194" s="142"/>
      <c r="F194" s="4"/>
      <c r="G194" s="143"/>
      <c r="H194" s="141"/>
      <c r="I194" s="141"/>
      <c r="J194" s="142">
        <f>SUM(J184:J193)-SUM(J186:J192)*6%</f>
        <v>2931.18</v>
      </c>
      <c r="K194" s="157"/>
      <c r="L194" s="145">
        <f>J194</f>
        <v>2931.18</v>
      </c>
    </row>
    <row r="195" spans="1:12" x14ac:dyDescent="0.25">
      <c r="A195" s="92" t="s">
        <v>211</v>
      </c>
      <c r="L195" s="93"/>
    </row>
    <row r="196" spans="1:12" ht="15.75" thickBot="1" x14ac:dyDescent="0.3">
      <c r="A196" s="223" t="s">
        <v>231</v>
      </c>
      <c r="B196" s="224"/>
      <c r="C196" s="224"/>
      <c r="D196" s="224"/>
      <c r="E196" s="224"/>
      <c r="F196" s="224"/>
      <c r="G196" s="224"/>
      <c r="H196" s="224"/>
      <c r="I196" s="224"/>
      <c r="J196" s="224"/>
      <c r="K196" s="224"/>
      <c r="L196" s="225"/>
    </row>
    <row r="197" spans="1:12" x14ac:dyDescent="0.25">
      <c r="A197" s="110" t="s">
        <v>14</v>
      </c>
      <c r="B197" s="111" t="s">
        <v>133</v>
      </c>
      <c r="C197" s="111" t="s">
        <v>122</v>
      </c>
      <c r="D197" s="111" t="s">
        <v>123</v>
      </c>
      <c r="E197" s="112" t="s">
        <v>16</v>
      </c>
      <c r="F197" s="139"/>
      <c r="G197" s="111" t="s">
        <v>121</v>
      </c>
      <c r="H197" s="111" t="s">
        <v>122</v>
      </c>
      <c r="I197" s="111" t="s">
        <v>123</v>
      </c>
      <c r="J197" s="112" t="s">
        <v>17</v>
      </c>
      <c r="K197" s="139"/>
      <c r="L197" s="147" t="s">
        <v>13</v>
      </c>
    </row>
    <row r="198" spans="1:12" x14ac:dyDescent="0.25">
      <c r="A198" s="117" t="s">
        <v>124</v>
      </c>
      <c r="B198" s="61">
        <v>1</v>
      </c>
      <c r="C198" s="61">
        <v>9</v>
      </c>
      <c r="D198" s="119">
        <v>69</v>
      </c>
      <c r="E198" s="120">
        <f>C198*D198*B198</f>
        <v>621</v>
      </c>
      <c r="F198" s="4"/>
      <c r="G198" s="61">
        <f>B198</f>
        <v>1</v>
      </c>
      <c r="H198" s="61">
        <v>1</v>
      </c>
      <c r="I198" s="119">
        <f>D198</f>
        <v>69</v>
      </c>
      <c r="J198" s="120">
        <f>H198*I198*G198</f>
        <v>69</v>
      </c>
      <c r="K198" s="4"/>
      <c r="L198" s="127">
        <f>J198+E198</f>
        <v>690</v>
      </c>
    </row>
    <row r="199" spans="1:12" x14ac:dyDescent="0.25">
      <c r="A199" s="117" t="s">
        <v>125</v>
      </c>
      <c r="B199" s="61">
        <v>3</v>
      </c>
      <c r="C199" s="61">
        <f>C198</f>
        <v>9</v>
      </c>
      <c r="D199" s="119">
        <v>48</v>
      </c>
      <c r="E199" s="120">
        <f t="shared" ref="E199:E206" si="43">C199*D199*B199</f>
        <v>1296</v>
      </c>
      <c r="F199" s="4"/>
      <c r="G199" s="61">
        <f t="shared" ref="G199:G206" si="44">B199</f>
        <v>3</v>
      </c>
      <c r="H199" s="61">
        <v>1</v>
      </c>
      <c r="I199" s="119">
        <f t="shared" ref="I199:I206" si="45">D199</f>
        <v>48</v>
      </c>
      <c r="J199" s="120">
        <f t="shared" ref="J199:J206" si="46">H199*I199*G199</f>
        <v>144</v>
      </c>
      <c r="K199" s="4"/>
      <c r="L199" s="127">
        <f t="shared" ref="L199:L206" si="47">J199+E199</f>
        <v>1440</v>
      </c>
    </row>
    <row r="200" spans="1:12" x14ac:dyDescent="0.25">
      <c r="A200" s="117" t="s">
        <v>126</v>
      </c>
      <c r="B200" s="61">
        <v>2</v>
      </c>
      <c r="C200" s="61">
        <f t="shared" ref="C200:C206" si="48">C199</f>
        <v>9</v>
      </c>
      <c r="D200" s="119">
        <v>59</v>
      </c>
      <c r="E200" s="120">
        <f t="shared" si="43"/>
        <v>1062</v>
      </c>
      <c r="F200" s="4"/>
      <c r="G200" s="61">
        <f t="shared" si="44"/>
        <v>2</v>
      </c>
      <c r="H200" s="61">
        <v>1</v>
      </c>
      <c r="I200" s="119">
        <f t="shared" si="45"/>
        <v>59</v>
      </c>
      <c r="J200" s="120">
        <f t="shared" si="46"/>
        <v>118</v>
      </c>
      <c r="K200" s="4"/>
      <c r="L200" s="127">
        <f t="shared" si="47"/>
        <v>1180</v>
      </c>
    </row>
    <row r="201" spans="1:12" x14ac:dyDescent="0.25">
      <c r="A201" s="117" t="s">
        <v>127</v>
      </c>
      <c r="B201" s="61">
        <v>3</v>
      </c>
      <c r="C201" s="61">
        <f t="shared" si="48"/>
        <v>9</v>
      </c>
      <c r="D201" s="119">
        <v>27</v>
      </c>
      <c r="E201" s="120">
        <f t="shared" si="43"/>
        <v>729</v>
      </c>
      <c r="F201" s="4"/>
      <c r="G201" s="61">
        <f t="shared" si="44"/>
        <v>3</v>
      </c>
      <c r="H201" s="61">
        <v>1</v>
      </c>
      <c r="I201" s="119">
        <f t="shared" si="45"/>
        <v>27</v>
      </c>
      <c r="J201" s="120">
        <f t="shared" si="46"/>
        <v>81</v>
      </c>
      <c r="K201" s="4"/>
      <c r="L201" s="127">
        <f t="shared" si="47"/>
        <v>810</v>
      </c>
    </row>
    <row r="202" spans="1:12" x14ac:dyDescent="0.25">
      <c r="A202" s="117" t="s">
        <v>128</v>
      </c>
      <c r="B202" s="61">
        <v>2</v>
      </c>
      <c r="C202" s="61">
        <f t="shared" si="48"/>
        <v>9</v>
      </c>
      <c r="D202" s="119">
        <v>38</v>
      </c>
      <c r="E202" s="120">
        <f t="shared" si="43"/>
        <v>684</v>
      </c>
      <c r="F202" s="4"/>
      <c r="G202" s="61">
        <f t="shared" si="44"/>
        <v>2</v>
      </c>
      <c r="H202" s="61">
        <v>1</v>
      </c>
      <c r="I202" s="119">
        <f t="shared" si="45"/>
        <v>38</v>
      </c>
      <c r="J202" s="120">
        <f t="shared" si="46"/>
        <v>76</v>
      </c>
      <c r="K202" s="4"/>
      <c r="L202" s="127">
        <f t="shared" si="47"/>
        <v>760</v>
      </c>
    </row>
    <row r="203" spans="1:12" x14ac:dyDescent="0.25">
      <c r="A203" s="117" t="s">
        <v>129</v>
      </c>
      <c r="B203" s="61">
        <v>1</v>
      </c>
      <c r="C203" s="61">
        <f t="shared" si="48"/>
        <v>9</v>
      </c>
      <c r="D203" s="119">
        <v>49</v>
      </c>
      <c r="E203" s="120">
        <f t="shared" si="43"/>
        <v>441</v>
      </c>
      <c r="F203" s="4"/>
      <c r="G203" s="61">
        <f t="shared" si="44"/>
        <v>1</v>
      </c>
      <c r="H203" s="61">
        <v>1</v>
      </c>
      <c r="I203" s="119">
        <f t="shared" si="45"/>
        <v>49</v>
      </c>
      <c r="J203" s="120">
        <f t="shared" si="46"/>
        <v>49</v>
      </c>
      <c r="K203" s="4"/>
      <c r="L203" s="127">
        <f t="shared" si="47"/>
        <v>490</v>
      </c>
    </row>
    <row r="204" spans="1:12" x14ac:dyDescent="0.25">
      <c r="A204" s="117" t="s">
        <v>130</v>
      </c>
      <c r="B204" s="61">
        <v>1</v>
      </c>
      <c r="C204" s="61">
        <f t="shared" si="48"/>
        <v>9</v>
      </c>
      <c r="D204" s="119">
        <v>28</v>
      </c>
      <c r="E204" s="120">
        <f t="shared" si="43"/>
        <v>252</v>
      </c>
      <c r="F204" s="4"/>
      <c r="G204" s="61">
        <f t="shared" si="44"/>
        <v>1</v>
      </c>
      <c r="H204" s="61">
        <v>1</v>
      </c>
      <c r="I204" s="119">
        <f t="shared" si="45"/>
        <v>28</v>
      </c>
      <c r="J204" s="120">
        <f t="shared" si="46"/>
        <v>28</v>
      </c>
      <c r="K204" s="4"/>
      <c r="L204" s="127">
        <f t="shared" si="47"/>
        <v>280</v>
      </c>
    </row>
    <row r="205" spans="1:12" x14ac:dyDescent="0.25">
      <c r="A205" s="117" t="s">
        <v>131</v>
      </c>
      <c r="B205" s="61">
        <v>2</v>
      </c>
      <c r="C205" s="61">
        <f t="shared" si="48"/>
        <v>9</v>
      </c>
      <c r="D205" s="119">
        <v>16</v>
      </c>
      <c r="E205" s="120">
        <f t="shared" si="43"/>
        <v>288</v>
      </c>
      <c r="F205" s="4"/>
      <c r="G205" s="61">
        <f t="shared" si="44"/>
        <v>2</v>
      </c>
      <c r="H205" s="61">
        <v>1</v>
      </c>
      <c r="I205" s="119">
        <f t="shared" si="45"/>
        <v>16</v>
      </c>
      <c r="J205" s="120">
        <f t="shared" si="46"/>
        <v>32</v>
      </c>
      <c r="K205" s="4"/>
      <c r="L205" s="127">
        <f t="shared" si="47"/>
        <v>320</v>
      </c>
    </row>
    <row r="206" spans="1:12" x14ac:dyDescent="0.25">
      <c r="A206" s="117" t="s">
        <v>132</v>
      </c>
      <c r="B206" s="61">
        <v>1</v>
      </c>
      <c r="C206" s="61">
        <f t="shared" si="48"/>
        <v>9</v>
      </c>
      <c r="D206" s="119">
        <v>19</v>
      </c>
      <c r="E206" s="120">
        <f t="shared" si="43"/>
        <v>171</v>
      </c>
      <c r="F206" s="4"/>
      <c r="G206" s="61">
        <f t="shared" si="44"/>
        <v>1</v>
      </c>
      <c r="H206" s="61">
        <v>1</v>
      </c>
      <c r="I206" s="119">
        <f t="shared" si="45"/>
        <v>19</v>
      </c>
      <c r="J206" s="120">
        <f t="shared" si="46"/>
        <v>19</v>
      </c>
      <c r="K206" s="4"/>
      <c r="L206" s="127">
        <f t="shared" si="47"/>
        <v>190</v>
      </c>
    </row>
    <row r="207" spans="1:12" ht="15.75" thickBot="1" x14ac:dyDescent="0.3">
      <c r="A207" s="109" t="s">
        <v>13</v>
      </c>
      <c r="B207" s="141"/>
      <c r="C207" s="141"/>
      <c r="D207" s="141"/>
      <c r="E207" s="142">
        <f>SUM(E198:E206)</f>
        <v>5544</v>
      </c>
      <c r="F207" s="133"/>
      <c r="G207" s="143"/>
      <c r="H207" s="141"/>
      <c r="I207" s="141"/>
      <c r="J207" s="142">
        <f>SUM(J198:J206)</f>
        <v>616</v>
      </c>
      <c r="K207" s="133"/>
      <c r="L207" s="145">
        <f>SUM(L198:L206)</f>
        <v>6160</v>
      </c>
    </row>
    <row r="208" spans="1:12" ht="15.75" thickBot="1" x14ac:dyDescent="0.3">
      <c r="E208" s="26"/>
    </row>
    <row r="209" spans="1:12" ht="15.75" thickBot="1" x14ac:dyDescent="0.3">
      <c r="A209" s="217" t="s">
        <v>232</v>
      </c>
      <c r="B209" s="218"/>
      <c r="C209" s="218"/>
      <c r="D209" s="218"/>
      <c r="E209" s="218"/>
      <c r="F209" s="218"/>
      <c r="G209" s="218"/>
      <c r="H209" s="218"/>
      <c r="I209" s="218"/>
      <c r="J209" s="218"/>
      <c r="K209" s="218"/>
      <c r="L209" s="219"/>
    </row>
    <row r="210" spans="1:12" x14ac:dyDescent="0.25">
      <c r="A210" s="136" t="s">
        <v>14</v>
      </c>
      <c r="B210" s="137" t="s">
        <v>15</v>
      </c>
      <c r="C210" s="137" t="s">
        <v>20</v>
      </c>
      <c r="D210" s="137" t="s">
        <v>123</v>
      </c>
      <c r="E210" s="138" t="s">
        <v>16</v>
      </c>
      <c r="F210" s="139"/>
      <c r="G210" s="110" t="s">
        <v>15</v>
      </c>
      <c r="H210" s="111" t="s">
        <v>20</v>
      </c>
      <c r="I210" s="111" t="s">
        <v>123</v>
      </c>
      <c r="J210" s="112" t="s">
        <v>17</v>
      </c>
      <c r="K210" s="146"/>
      <c r="L210" s="147" t="s">
        <v>13</v>
      </c>
    </row>
    <row r="211" spans="1:12" x14ac:dyDescent="0.25">
      <c r="A211" s="117" t="s">
        <v>134</v>
      </c>
      <c r="B211" s="61" t="s">
        <v>30</v>
      </c>
      <c r="C211" s="61">
        <v>4</v>
      </c>
      <c r="D211" s="119">
        <v>1000</v>
      </c>
      <c r="E211" s="120">
        <f>C211*D211</f>
        <v>4000</v>
      </c>
      <c r="F211" s="4"/>
      <c r="G211" s="117" t="s">
        <v>30</v>
      </c>
      <c r="H211" s="61">
        <v>0</v>
      </c>
      <c r="I211" s="119"/>
      <c r="J211" s="120">
        <f>H211*I211</f>
        <v>0</v>
      </c>
      <c r="K211" s="4"/>
      <c r="L211" s="127">
        <f>J211+E211</f>
        <v>4000</v>
      </c>
    </row>
    <row r="212" spans="1:12" x14ac:dyDescent="0.25">
      <c r="A212" s="117" t="s">
        <v>135</v>
      </c>
      <c r="B212" s="61" t="s">
        <v>30</v>
      </c>
      <c r="C212" s="61">
        <v>4</v>
      </c>
      <c r="D212" s="119">
        <v>1000</v>
      </c>
      <c r="E212" s="120">
        <f t="shared" ref="E212:E213" si="49">C212*D212</f>
        <v>4000</v>
      </c>
      <c r="F212" s="4"/>
      <c r="G212" s="117" t="s">
        <v>30</v>
      </c>
      <c r="H212" s="61">
        <v>0</v>
      </c>
      <c r="I212" s="119"/>
      <c r="J212" s="120">
        <f t="shared" ref="J212:J213" si="50">H212*I212</f>
        <v>0</v>
      </c>
      <c r="K212" s="4"/>
      <c r="L212" s="127">
        <f>J212+E212</f>
        <v>4000</v>
      </c>
    </row>
    <row r="213" spans="1:12" x14ac:dyDescent="0.25">
      <c r="A213" s="117" t="s">
        <v>304</v>
      </c>
      <c r="B213" s="61" t="s">
        <v>30</v>
      </c>
      <c r="C213" s="61">
        <v>1</v>
      </c>
      <c r="D213" s="119">
        <v>3000</v>
      </c>
      <c r="E213" s="120">
        <f t="shared" si="49"/>
        <v>3000</v>
      </c>
      <c r="F213" s="4"/>
      <c r="G213" s="117" t="s">
        <v>30</v>
      </c>
      <c r="H213" s="61">
        <v>0</v>
      </c>
      <c r="I213" s="119"/>
      <c r="J213" s="120">
        <f t="shared" si="50"/>
        <v>0</v>
      </c>
      <c r="K213" s="4"/>
      <c r="L213" s="127">
        <f>J213+E213</f>
        <v>3000</v>
      </c>
    </row>
    <row r="214" spans="1:12" ht="15.75" thickBot="1" x14ac:dyDescent="0.3">
      <c r="A214" s="12" t="s">
        <v>13</v>
      </c>
      <c r="B214" s="10"/>
      <c r="C214" s="10"/>
      <c r="D214" s="10"/>
      <c r="E214" s="142">
        <f>SUM(E211:E213)</f>
        <v>11000</v>
      </c>
      <c r="F214" s="89"/>
      <c r="G214" s="9"/>
      <c r="H214" s="10"/>
      <c r="I214" s="10"/>
      <c r="J214" s="11">
        <f>SUM(J211:J213)</f>
        <v>0</v>
      </c>
      <c r="K214" s="89"/>
      <c r="L214" s="145">
        <f>SUM(L211:L213)</f>
        <v>11000</v>
      </c>
    </row>
    <row r="215" spans="1:12" ht="15.75" thickBot="1" x14ac:dyDescent="0.3"/>
    <row r="216" spans="1:12" ht="15.75" thickBot="1" x14ac:dyDescent="0.3">
      <c r="A216" s="217" t="s">
        <v>306</v>
      </c>
      <c r="B216" s="218"/>
      <c r="C216" s="218"/>
      <c r="D216" s="218"/>
      <c r="E216" s="218"/>
      <c r="F216" s="218"/>
      <c r="G216" s="218"/>
      <c r="H216" s="218"/>
      <c r="I216" s="218"/>
      <c r="J216" s="218"/>
      <c r="K216" s="218"/>
      <c r="L216" s="219"/>
    </row>
    <row r="217" spans="1:12" x14ac:dyDescent="0.25">
      <c r="A217" s="136" t="s">
        <v>14</v>
      </c>
      <c r="B217" s="137" t="s">
        <v>15</v>
      </c>
      <c r="C217" s="137" t="s">
        <v>20</v>
      </c>
      <c r="D217" s="137" t="s">
        <v>123</v>
      </c>
      <c r="E217" s="138" t="s">
        <v>16</v>
      </c>
      <c r="F217" s="139"/>
      <c r="G217" s="137" t="s">
        <v>15</v>
      </c>
      <c r="H217" s="137" t="s">
        <v>20</v>
      </c>
      <c r="I217" s="137" t="s">
        <v>123</v>
      </c>
      <c r="J217" s="138" t="s">
        <v>17</v>
      </c>
      <c r="K217" s="139"/>
      <c r="L217" s="144" t="s">
        <v>13</v>
      </c>
    </row>
    <row r="218" spans="1:12" x14ac:dyDescent="0.25">
      <c r="A218" s="117" t="s">
        <v>307</v>
      </c>
      <c r="B218" s="61" t="s">
        <v>30</v>
      </c>
      <c r="C218" s="61">
        <v>1</v>
      </c>
      <c r="D218" s="119">
        <v>50000</v>
      </c>
      <c r="E218" s="120">
        <f t="shared" ref="E218" si="51">C218*D218</f>
        <v>50000</v>
      </c>
      <c r="F218" s="4"/>
      <c r="G218" s="61"/>
      <c r="H218" s="61"/>
      <c r="I218" s="119"/>
      <c r="J218" s="120">
        <f t="shared" ref="J218" si="52">H218*I218</f>
        <v>0</v>
      </c>
      <c r="K218" s="4"/>
      <c r="L218" s="127">
        <f>J218+E218</f>
        <v>50000</v>
      </c>
    </row>
    <row r="219" spans="1:12" ht="15.75" thickBot="1" x14ac:dyDescent="0.3">
      <c r="A219" s="12" t="s">
        <v>13</v>
      </c>
      <c r="B219" s="10"/>
      <c r="C219" s="10"/>
      <c r="D219" s="10"/>
      <c r="E219" s="142">
        <f>SUM(E218:E218)</f>
        <v>50000</v>
      </c>
      <c r="F219" s="89"/>
      <c r="G219" s="9"/>
      <c r="H219" s="10"/>
      <c r="I219" s="10"/>
      <c r="J219" s="11">
        <f>SUM(J218:J218)</f>
        <v>0</v>
      </c>
      <c r="K219" s="89"/>
      <c r="L219" s="145">
        <f>SUM(L218:L218)</f>
        <v>50000</v>
      </c>
    </row>
    <row r="220" spans="1:12" ht="15.75" thickBot="1" x14ac:dyDescent="0.3"/>
    <row r="221" spans="1:12" ht="15" customHeight="1" thickBot="1" x14ac:dyDescent="0.3">
      <c r="A221" s="164"/>
      <c r="B221" s="237" t="s">
        <v>11</v>
      </c>
      <c r="C221" s="237"/>
      <c r="D221" s="238"/>
      <c r="E221" s="17" t="s">
        <v>16</v>
      </c>
      <c r="F221" s="236" t="s">
        <v>233</v>
      </c>
      <c r="G221" s="237"/>
      <c r="H221" s="237"/>
      <c r="I221" s="238"/>
      <c r="J221" s="17" t="s">
        <v>17</v>
      </c>
      <c r="K221" s="165"/>
      <c r="L221" s="17" t="s">
        <v>13</v>
      </c>
    </row>
    <row r="222" spans="1:12" ht="15" customHeight="1" thickBot="1" x14ac:dyDescent="0.3">
      <c r="A222" s="14" t="s">
        <v>136</v>
      </c>
      <c r="B222" s="15"/>
      <c r="C222" s="15"/>
      <c r="D222" s="15"/>
      <c r="E222" s="16">
        <f>E214+E207+E194+E178+E164+E153+E143+E132+E114+E106+E98+E84+E54+E40+E34+E219</f>
        <v>727071.5</v>
      </c>
      <c r="F222" s="15"/>
      <c r="G222" s="15"/>
      <c r="H222" s="15"/>
      <c r="I222" s="15"/>
      <c r="J222" s="16">
        <f>J214+J207+J194+J178+J164+J153+J143+J132+J114+J106+J98+J84+J54+J40+J34</f>
        <v>47348.712</v>
      </c>
      <c r="K222" s="15"/>
      <c r="L222" s="16">
        <f>L214+L207+L194+L178+L164+L153+L143+L132+L114+L106+L98+L84+L54+L40+L34+L219</f>
        <v>774420.21200000006</v>
      </c>
    </row>
    <row r="225" spans="1:12" x14ac:dyDescent="0.25">
      <c r="A225" s="235" t="s">
        <v>194</v>
      </c>
      <c r="B225" s="235"/>
      <c r="C225" s="235"/>
      <c r="D225" s="235"/>
      <c r="E225" s="235"/>
      <c r="F225" s="235"/>
      <c r="G225" s="235"/>
      <c r="H225" s="235"/>
      <c r="I225" s="235"/>
      <c r="J225" s="235"/>
      <c r="K225" s="235"/>
      <c r="L225" s="235"/>
    </row>
    <row r="226" spans="1:12" x14ac:dyDescent="0.25">
      <c r="A226" s="235" t="s">
        <v>195</v>
      </c>
      <c r="B226" s="235"/>
      <c r="C226" s="235"/>
      <c r="D226" s="235"/>
      <c r="E226" s="235"/>
      <c r="F226" s="235"/>
      <c r="G226" s="235"/>
      <c r="H226" s="235"/>
      <c r="I226" s="235"/>
      <c r="J226" s="235"/>
      <c r="K226" s="235"/>
      <c r="L226" s="235"/>
    </row>
  </sheetData>
  <mergeCells count="47">
    <mergeCell ref="K7:L7"/>
    <mergeCell ref="A8:A10"/>
    <mergeCell ref="F8:G8"/>
    <mergeCell ref="K8:L8"/>
    <mergeCell ref="F9:G9"/>
    <mergeCell ref="K9:L9"/>
    <mergeCell ref="F10:G10"/>
    <mergeCell ref="K10:L10"/>
    <mergeCell ref="F6:G6"/>
    <mergeCell ref="K6:L6"/>
    <mergeCell ref="A1:L2"/>
    <mergeCell ref="A3:L3"/>
    <mergeCell ref="A4:L4"/>
    <mergeCell ref="F5:G5"/>
    <mergeCell ref="K5:L5"/>
    <mergeCell ref="K11:L11"/>
    <mergeCell ref="K12:L12"/>
    <mergeCell ref="K13:L13"/>
    <mergeCell ref="C15:L16"/>
    <mergeCell ref="C17:E18"/>
    <mergeCell ref="G17:J18"/>
    <mergeCell ref="L17:L18"/>
    <mergeCell ref="A225:L225"/>
    <mergeCell ref="A226:L226"/>
    <mergeCell ref="A134:L134"/>
    <mergeCell ref="A145:L145"/>
    <mergeCell ref="A147:L147"/>
    <mergeCell ref="A155:L155"/>
    <mergeCell ref="A166:L166"/>
    <mergeCell ref="A182:L182"/>
    <mergeCell ref="F221:I221"/>
    <mergeCell ref="B221:D221"/>
    <mergeCell ref="A216:L216"/>
    <mergeCell ref="A117:L117"/>
    <mergeCell ref="C19:E19"/>
    <mergeCell ref="G19:J19"/>
    <mergeCell ref="A196:L196"/>
    <mergeCell ref="A209:L209"/>
    <mergeCell ref="A86:L86"/>
    <mergeCell ref="A100:L100"/>
    <mergeCell ref="A108:L108"/>
    <mergeCell ref="A116:L116"/>
    <mergeCell ref="A20:L20"/>
    <mergeCell ref="A21:L21"/>
    <mergeCell ref="A36:L36"/>
    <mergeCell ref="A42:L42"/>
    <mergeCell ref="A56:L56"/>
  </mergeCells>
  <pageMargins left="0.511811024" right="0.511811024" top="0.78740157499999996" bottom="0.78740157499999996" header="0.31496062000000002" footer="0.31496062000000002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EA907-A799-40D8-B360-39C7ED551F5B}">
  <dimension ref="A1:J88"/>
  <sheetViews>
    <sheetView topLeftCell="A53" workbookViewId="0">
      <selection activeCell="A54" sqref="A54:G74"/>
    </sheetView>
  </sheetViews>
  <sheetFormatPr defaultRowHeight="15" x14ac:dyDescent="0.25"/>
  <cols>
    <col min="1" max="1" width="10.140625" bestFit="1" customWidth="1"/>
    <col min="2" max="2" width="17.42578125" bestFit="1" customWidth="1"/>
    <col min="3" max="3" width="11.42578125" bestFit="1" customWidth="1"/>
    <col min="4" max="4" width="17.140625" customWidth="1"/>
    <col min="5" max="5" width="23" bestFit="1" customWidth="1"/>
    <col min="6" max="6" width="14.7109375" customWidth="1"/>
    <col min="7" max="7" width="19.140625" bestFit="1" customWidth="1"/>
    <col min="8" max="9" width="14.28515625" bestFit="1" customWidth="1"/>
  </cols>
  <sheetData>
    <row r="1" spans="1:9" ht="18" customHeight="1" x14ac:dyDescent="0.25">
      <c r="A1" s="318" t="s">
        <v>256</v>
      </c>
      <c r="B1" s="319"/>
      <c r="C1" s="319"/>
      <c r="D1" s="319"/>
      <c r="E1" s="319"/>
      <c r="F1" s="319"/>
      <c r="G1" s="320"/>
    </row>
    <row r="2" spans="1:9" ht="15.75" thickBot="1" x14ac:dyDescent="0.3">
      <c r="A2" s="321"/>
      <c r="B2" s="322"/>
      <c r="C2" s="322"/>
      <c r="D2" s="322"/>
      <c r="E2" s="322"/>
      <c r="F2" s="322"/>
      <c r="G2" s="323"/>
    </row>
    <row r="3" spans="1:9" ht="18" x14ac:dyDescent="0.25">
      <c r="A3" s="94"/>
      <c r="B3" s="95"/>
      <c r="C3" s="95"/>
      <c r="D3" s="95"/>
      <c r="E3" s="95"/>
      <c r="F3" s="95"/>
      <c r="G3" s="96"/>
    </row>
    <row r="4" spans="1:9" ht="15.75" customHeight="1" x14ac:dyDescent="0.25">
      <c r="A4" s="324" t="s">
        <v>274</v>
      </c>
      <c r="B4" s="325"/>
      <c r="C4" s="325"/>
      <c r="D4" s="325"/>
      <c r="E4" s="325"/>
      <c r="F4" s="325"/>
      <c r="G4" s="326"/>
      <c r="I4" s="18"/>
    </row>
    <row r="5" spans="1:9" x14ac:dyDescent="0.25">
      <c r="A5" s="97"/>
      <c r="B5" s="35" t="s">
        <v>137</v>
      </c>
      <c r="C5" s="36" t="s">
        <v>138</v>
      </c>
      <c r="D5" s="36" t="s">
        <v>139</v>
      </c>
      <c r="E5" s="36" t="s">
        <v>171</v>
      </c>
      <c r="F5" s="36" t="s">
        <v>248</v>
      </c>
      <c r="G5" s="37" t="s">
        <v>140</v>
      </c>
    </row>
    <row r="6" spans="1:9" x14ac:dyDescent="0.25">
      <c r="A6" s="327" t="s">
        <v>3</v>
      </c>
      <c r="B6" s="329">
        <f>'INVEST. E DESPESAS'!C6</f>
        <v>615</v>
      </c>
      <c r="C6" s="196">
        <v>4</v>
      </c>
      <c r="D6" s="196">
        <f>'HORÁRIOS '!D4</f>
        <v>4</v>
      </c>
      <c r="E6" s="331">
        <v>0.75</v>
      </c>
      <c r="F6" s="331">
        <v>0.45</v>
      </c>
      <c r="G6" s="80">
        <f>B6*C6*D6*E6*F6</f>
        <v>3321</v>
      </c>
    </row>
    <row r="7" spans="1:9" x14ac:dyDescent="0.25">
      <c r="A7" s="328"/>
      <c r="B7" s="330"/>
      <c r="C7" s="197">
        <v>22</v>
      </c>
      <c r="D7" s="197">
        <v>9</v>
      </c>
      <c r="E7" s="332"/>
      <c r="F7" s="331"/>
      <c r="G7" s="80">
        <f>B6*C7*D7*E6*F6</f>
        <v>41097.375</v>
      </c>
    </row>
    <row r="8" spans="1:9" x14ac:dyDescent="0.25">
      <c r="A8" s="79"/>
      <c r="B8" s="40"/>
      <c r="C8" s="40"/>
      <c r="D8" s="40"/>
      <c r="E8" s="41"/>
      <c r="F8" s="39" t="s">
        <v>13</v>
      </c>
      <c r="G8" s="98">
        <f>SUM(G6:G7)</f>
        <v>44418.375</v>
      </c>
    </row>
    <row r="9" spans="1:9" hidden="1" x14ac:dyDescent="0.25">
      <c r="A9" s="333" t="s">
        <v>1</v>
      </c>
      <c r="B9" s="335">
        <f>'INVEST. E DESPESAS'!C7</f>
        <v>0</v>
      </c>
      <c r="C9" s="196">
        <v>4</v>
      </c>
      <c r="D9" s="196">
        <f>'HORÁRIOS '!D4</f>
        <v>4</v>
      </c>
      <c r="E9" s="331">
        <v>0.6</v>
      </c>
      <c r="F9" s="331">
        <v>0.45</v>
      </c>
      <c r="G9" s="80">
        <f>F9*E9*D9*C9*B9</f>
        <v>0</v>
      </c>
    </row>
    <row r="10" spans="1:9" hidden="1" x14ac:dyDescent="0.25">
      <c r="A10" s="334"/>
      <c r="B10" s="336"/>
      <c r="C10" s="196">
        <v>22</v>
      </c>
      <c r="D10" s="196">
        <v>9</v>
      </c>
      <c r="E10" s="331"/>
      <c r="F10" s="331"/>
      <c r="G10" s="80">
        <f>B9*C10*D10*E9*F9</f>
        <v>0</v>
      </c>
    </row>
    <row r="11" spans="1:9" hidden="1" x14ac:dyDescent="0.25">
      <c r="A11" s="99"/>
      <c r="B11" s="38"/>
      <c r="C11" s="38"/>
      <c r="D11" s="38"/>
      <c r="E11" s="46"/>
      <c r="F11" s="175" t="s">
        <v>13</v>
      </c>
      <c r="G11" s="25">
        <f>SUM(G9:G10)</f>
        <v>0</v>
      </c>
    </row>
    <row r="12" spans="1:9" x14ac:dyDescent="0.25">
      <c r="A12" s="92"/>
      <c r="G12" s="93"/>
    </row>
    <row r="13" spans="1:9" x14ac:dyDescent="0.25">
      <c r="A13" s="100"/>
      <c r="B13" s="186" t="s">
        <v>140</v>
      </c>
      <c r="C13" s="186" t="s">
        <v>141</v>
      </c>
      <c r="D13" s="186" t="s">
        <v>142</v>
      </c>
      <c r="E13" s="186" t="s">
        <v>175</v>
      </c>
      <c r="F13" s="186" t="s">
        <v>143</v>
      </c>
      <c r="G13" s="187" t="s">
        <v>144</v>
      </c>
    </row>
    <row r="14" spans="1:9" x14ac:dyDescent="0.25">
      <c r="A14" s="317" t="s">
        <v>3</v>
      </c>
      <c r="B14" s="42">
        <f>$G$8</f>
        <v>44418.375</v>
      </c>
      <c r="C14" s="29">
        <v>0.37</v>
      </c>
      <c r="D14" s="27">
        <v>1</v>
      </c>
      <c r="E14" s="27">
        <f>D14*B14*C14</f>
        <v>16434.798749999998</v>
      </c>
      <c r="F14" s="42">
        <f>C14*B14</f>
        <v>16434.798749999998</v>
      </c>
      <c r="G14" s="101">
        <f>F14/$F$18</f>
        <v>0.36999999999999994</v>
      </c>
    </row>
    <row r="15" spans="1:9" x14ac:dyDescent="0.25">
      <c r="A15" s="317"/>
      <c r="B15" s="42">
        <f t="shared" ref="B15:B17" si="0">$G$8</f>
        <v>44418.375</v>
      </c>
      <c r="C15" s="29">
        <v>0.42</v>
      </c>
      <c r="D15" s="28">
        <v>2</v>
      </c>
      <c r="E15" s="27">
        <f t="shared" ref="E15:E17" si="1">D15*B15*C15</f>
        <v>37311.434999999998</v>
      </c>
      <c r="F15" s="42">
        <f t="shared" ref="F15:F17" si="2">C15*B15</f>
        <v>18655.717499999999</v>
      </c>
      <c r="G15" s="101">
        <f t="shared" ref="G15:G17" si="3">F15/$F$18</f>
        <v>0.42</v>
      </c>
    </row>
    <row r="16" spans="1:9" x14ac:dyDescent="0.25">
      <c r="A16" s="317"/>
      <c r="B16" s="42">
        <f t="shared" si="0"/>
        <v>44418.375</v>
      </c>
      <c r="C16" s="29">
        <v>0.13</v>
      </c>
      <c r="D16" s="27">
        <v>3</v>
      </c>
      <c r="E16" s="27">
        <f t="shared" si="1"/>
        <v>17323.166250000002</v>
      </c>
      <c r="F16" s="42">
        <f t="shared" si="2"/>
        <v>5774.3887500000001</v>
      </c>
      <c r="G16" s="101">
        <f t="shared" si="3"/>
        <v>0.13</v>
      </c>
    </row>
    <row r="17" spans="1:9" x14ac:dyDescent="0.25">
      <c r="A17" s="317"/>
      <c r="B17" s="42">
        <f t="shared" si="0"/>
        <v>44418.375</v>
      </c>
      <c r="C17" s="29">
        <v>0.08</v>
      </c>
      <c r="D17" s="28">
        <v>4</v>
      </c>
      <c r="E17" s="27">
        <f t="shared" si="1"/>
        <v>14213.880000000001</v>
      </c>
      <c r="F17" s="42">
        <f t="shared" si="2"/>
        <v>3553.4700000000003</v>
      </c>
      <c r="G17" s="101">
        <f t="shared" si="3"/>
        <v>0.08</v>
      </c>
    </row>
    <row r="18" spans="1:9" ht="15.75" thickBot="1" x14ac:dyDescent="0.3">
      <c r="A18" s="272" t="s">
        <v>263</v>
      </c>
      <c r="B18" s="273"/>
      <c r="C18" s="273"/>
      <c r="D18" s="273"/>
      <c r="E18" s="167">
        <f>SUM(E14:E17)</f>
        <v>85283.28</v>
      </c>
      <c r="F18" s="168">
        <f>SUM(F14:F17)</f>
        <v>44418.375</v>
      </c>
      <c r="G18" s="102"/>
      <c r="I18" s="26"/>
    </row>
    <row r="19" spans="1:9" hidden="1" x14ac:dyDescent="0.25">
      <c r="A19" s="317" t="s">
        <v>1</v>
      </c>
      <c r="B19" s="42">
        <f>$G$11</f>
        <v>0</v>
      </c>
      <c r="C19" s="29">
        <v>0.37</v>
      </c>
      <c r="D19" s="27">
        <v>0.5</v>
      </c>
      <c r="E19" s="27">
        <f>D19*B19*C19</f>
        <v>0</v>
      </c>
      <c r="F19" s="42">
        <f>C19*B19</f>
        <v>0</v>
      </c>
      <c r="G19" s="101" t="e">
        <f>F19/$F$23</f>
        <v>#DIV/0!</v>
      </c>
    </row>
    <row r="20" spans="1:9" hidden="1" x14ac:dyDescent="0.25">
      <c r="A20" s="317"/>
      <c r="B20" s="42">
        <f t="shared" ref="B20:B22" si="4">$G$11</f>
        <v>0</v>
      </c>
      <c r="C20" s="29">
        <v>0.42</v>
      </c>
      <c r="D20" s="28">
        <v>1</v>
      </c>
      <c r="E20" s="27">
        <f t="shared" ref="E20:E22" si="5">D20*B20*C20</f>
        <v>0</v>
      </c>
      <c r="F20" s="42">
        <f t="shared" ref="F20:F22" si="6">C20*B20</f>
        <v>0</v>
      </c>
      <c r="G20" s="101" t="e">
        <f>F20/$F$23</f>
        <v>#DIV/0!</v>
      </c>
    </row>
    <row r="21" spans="1:9" hidden="1" x14ac:dyDescent="0.25">
      <c r="A21" s="317"/>
      <c r="B21" s="42">
        <f t="shared" si="4"/>
        <v>0</v>
      </c>
      <c r="C21" s="29">
        <v>0.13</v>
      </c>
      <c r="D21" s="27">
        <v>1.5</v>
      </c>
      <c r="E21" s="27">
        <f t="shared" si="5"/>
        <v>0</v>
      </c>
      <c r="F21" s="42">
        <f t="shared" si="6"/>
        <v>0</v>
      </c>
      <c r="G21" s="101" t="e">
        <f>F21/$F$23</f>
        <v>#DIV/0!</v>
      </c>
    </row>
    <row r="22" spans="1:9" hidden="1" x14ac:dyDescent="0.25">
      <c r="A22" s="317"/>
      <c r="B22" s="42">
        <f t="shared" si="4"/>
        <v>0</v>
      </c>
      <c r="C22" s="29">
        <v>0.08</v>
      </c>
      <c r="D22" s="28">
        <v>2</v>
      </c>
      <c r="E22" s="27">
        <f t="shared" si="5"/>
        <v>0</v>
      </c>
      <c r="F22" s="42">
        <f t="shared" si="6"/>
        <v>0</v>
      </c>
      <c r="G22" s="101" t="e">
        <f>F22/$F$23</f>
        <v>#DIV/0!</v>
      </c>
    </row>
    <row r="23" spans="1:9" ht="15.75" hidden="1" thickBot="1" x14ac:dyDescent="0.3">
      <c r="A23" s="272" t="s">
        <v>264</v>
      </c>
      <c r="B23" s="273"/>
      <c r="C23" s="273"/>
      <c r="D23" s="273"/>
      <c r="E23" s="167">
        <f>SUM(E19:E22)</f>
        <v>0</v>
      </c>
      <c r="F23" s="168">
        <f>SUM(F19:F22)</f>
        <v>0</v>
      </c>
      <c r="G23" s="102"/>
    </row>
    <row r="24" spans="1:9" ht="15.75" thickBot="1" x14ac:dyDescent="0.3">
      <c r="A24" s="272" t="s">
        <v>265</v>
      </c>
      <c r="B24" s="273"/>
      <c r="C24" s="273"/>
      <c r="D24" s="273"/>
      <c r="E24" s="167">
        <f>SUM(E18+E23)</f>
        <v>85283.28</v>
      </c>
      <c r="F24" s="198"/>
      <c r="G24" s="102"/>
    </row>
    <row r="25" spans="1:9" ht="15.75" thickBot="1" x14ac:dyDescent="0.3">
      <c r="A25" s="92"/>
      <c r="G25" s="93"/>
    </row>
    <row r="26" spans="1:9" ht="15.75" thickBot="1" x14ac:dyDescent="0.3">
      <c r="A26" s="236" t="s">
        <v>234</v>
      </c>
      <c r="B26" s="237"/>
      <c r="C26" s="237"/>
      <c r="D26" s="237"/>
      <c r="E26" s="237"/>
      <c r="F26" s="237"/>
      <c r="G26" s="238"/>
    </row>
    <row r="27" spans="1:9" ht="15.75" thickBot="1" x14ac:dyDescent="0.3">
      <c r="A27" s="90"/>
      <c r="B27" s="8"/>
      <c r="C27" s="8"/>
      <c r="D27" s="8"/>
      <c r="E27" s="8"/>
      <c r="F27" s="107" t="s">
        <v>145</v>
      </c>
      <c r="G27" s="108" t="s">
        <v>146</v>
      </c>
    </row>
    <row r="28" spans="1:9" ht="15.75" thickBot="1" x14ac:dyDescent="0.3">
      <c r="A28" s="282" t="s">
        <v>235</v>
      </c>
      <c r="B28" s="283"/>
      <c r="C28" s="283"/>
      <c r="D28" s="283"/>
      <c r="E28" s="30">
        <v>0.1</v>
      </c>
      <c r="F28" s="45">
        <f>E24</f>
        <v>85283.28</v>
      </c>
      <c r="G28" s="44">
        <f>F28*E28</f>
        <v>8528.3279999999995</v>
      </c>
    </row>
    <row r="29" spans="1:9" ht="15.75" thickBot="1" x14ac:dyDescent="0.3">
      <c r="A29" s="103"/>
      <c r="B29" s="20"/>
      <c r="C29" s="20"/>
      <c r="D29" s="20"/>
      <c r="E29" s="21"/>
      <c r="F29" s="22"/>
      <c r="G29" s="104"/>
      <c r="H29" s="26"/>
    </row>
    <row r="30" spans="1:9" ht="15.75" thickBot="1" x14ac:dyDescent="0.3">
      <c r="A30" s="282" t="s">
        <v>236</v>
      </c>
      <c r="B30" s="283"/>
      <c r="C30" s="283"/>
      <c r="D30" s="283"/>
      <c r="E30" s="283"/>
      <c r="F30" s="284"/>
      <c r="G30" s="19">
        <f>'INVEST. E DESPESAS'!J222</f>
        <v>47348.712</v>
      </c>
    </row>
    <row r="31" spans="1:9" ht="15.75" thickBot="1" x14ac:dyDescent="0.3">
      <c r="A31" s="103"/>
      <c r="B31" s="20"/>
      <c r="C31" s="20"/>
      <c r="D31" s="20"/>
      <c r="E31" s="20"/>
      <c r="F31" s="20"/>
      <c r="G31" s="104"/>
    </row>
    <row r="32" spans="1:9" ht="15.75" thickBot="1" x14ac:dyDescent="0.3">
      <c r="A32" s="282" t="s">
        <v>237</v>
      </c>
      <c r="B32" s="283"/>
      <c r="C32" s="283"/>
      <c r="D32" s="283"/>
      <c r="E32" s="284"/>
      <c r="F32" s="30">
        <v>0.05</v>
      </c>
      <c r="G32" s="19">
        <f>(E24*40%)*F32</f>
        <v>1705.6656</v>
      </c>
    </row>
    <row r="33" spans="1:8" ht="15.75" thickBot="1" x14ac:dyDescent="0.3">
      <c r="A33" s="310" t="s">
        <v>209</v>
      </c>
      <c r="B33" s="311"/>
      <c r="C33" s="311"/>
      <c r="D33" s="311"/>
      <c r="E33" s="311"/>
      <c r="F33" s="311"/>
      <c r="G33" s="312"/>
    </row>
    <row r="34" spans="1:8" ht="15.75" thickBot="1" x14ac:dyDescent="0.3">
      <c r="A34" s="182"/>
      <c r="B34" s="183"/>
      <c r="C34" s="183"/>
      <c r="D34" s="183"/>
      <c r="E34" s="183"/>
      <c r="F34" s="183"/>
      <c r="G34" s="184"/>
    </row>
    <row r="35" spans="1:8" ht="15.75" thickBot="1" x14ac:dyDescent="0.3">
      <c r="A35" s="282" t="s">
        <v>272</v>
      </c>
      <c r="B35" s="283"/>
      <c r="C35" s="283"/>
      <c r="D35" s="283"/>
      <c r="E35" s="284"/>
      <c r="F35" s="185">
        <v>3.5000000000000003E-2</v>
      </c>
      <c r="G35" s="19">
        <f>(E24*0.6)*F35</f>
        <v>1790.9488800000001</v>
      </c>
    </row>
    <row r="36" spans="1:8" ht="15.75" thickBot="1" x14ac:dyDescent="0.3">
      <c r="A36" s="310" t="s">
        <v>273</v>
      </c>
      <c r="B36" s="311"/>
      <c r="C36" s="311"/>
      <c r="D36" s="311"/>
      <c r="E36" s="311"/>
      <c r="F36" s="311"/>
      <c r="G36" s="312"/>
    </row>
    <row r="37" spans="1:8" ht="15.75" thickBot="1" x14ac:dyDescent="0.3">
      <c r="A37" s="182"/>
      <c r="B37" s="183"/>
      <c r="C37" s="183"/>
      <c r="D37" s="183"/>
      <c r="E37" s="183"/>
      <c r="F37" s="183"/>
      <c r="G37" s="184"/>
    </row>
    <row r="38" spans="1:8" ht="15.75" thickBot="1" x14ac:dyDescent="0.3">
      <c r="A38" s="282" t="s">
        <v>238</v>
      </c>
      <c r="B38" s="283"/>
      <c r="C38" s="283"/>
      <c r="D38" s="283"/>
      <c r="E38" s="284"/>
      <c r="F38" s="81">
        <v>0.14000000000000001</v>
      </c>
      <c r="G38" s="19">
        <f>E24*F38</f>
        <v>11939.659200000002</v>
      </c>
      <c r="H38" s="26"/>
    </row>
    <row r="39" spans="1:8" ht="15.75" thickBot="1" x14ac:dyDescent="0.3">
      <c r="A39" s="90"/>
      <c r="B39" s="8"/>
      <c r="C39" s="8"/>
      <c r="D39" s="8"/>
      <c r="E39" s="8"/>
      <c r="F39" s="105"/>
      <c r="G39" s="106"/>
    </row>
    <row r="40" spans="1:8" ht="15.75" thickBot="1" x14ac:dyDescent="0.3">
      <c r="A40" s="282" t="s">
        <v>239</v>
      </c>
      <c r="B40" s="283"/>
      <c r="C40" s="283"/>
      <c r="D40" s="283"/>
      <c r="E40" s="283"/>
      <c r="F40" s="284"/>
      <c r="G40" s="19">
        <f>SUM(G38+G32+G30+G28+G35)</f>
        <v>71313.313679999992</v>
      </c>
    </row>
    <row r="41" spans="1:8" ht="15.75" thickBot="1" x14ac:dyDescent="0.3">
      <c r="A41" s="90"/>
      <c r="B41" s="8"/>
      <c r="C41" s="8"/>
      <c r="D41" s="8"/>
      <c r="E41" s="8"/>
      <c r="F41" s="8"/>
      <c r="G41" s="91"/>
    </row>
    <row r="42" spans="1:8" ht="15.75" thickBot="1" x14ac:dyDescent="0.3">
      <c r="A42" s="282" t="s">
        <v>240</v>
      </c>
      <c r="B42" s="283"/>
      <c r="C42" s="283"/>
      <c r="D42" s="283"/>
      <c r="E42" s="283"/>
      <c r="F42" s="283"/>
      <c r="G42" s="284"/>
    </row>
    <row r="43" spans="1:8" x14ac:dyDescent="0.25">
      <c r="A43" s="285" t="s">
        <v>14</v>
      </c>
      <c r="B43" s="286"/>
      <c r="C43" s="286"/>
      <c r="D43" s="286"/>
      <c r="E43" s="287"/>
      <c r="F43" s="23" t="s">
        <v>147</v>
      </c>
      <c r="G43" s="25" t="s">
        <v>148</v>
      </c>
    </row>
    <row r="44" spans="1:8" x14ac:dyDescent="0.25">
      <c r="A44" s="279" t="s">
        <v>149</v>
      </c>
      <c r="B44" s="280"/>
      <c r="C44" s="280"/>
      <c r="D44" s="280"/>
      <c r="E44" s="281"/>
      <c r="F44" s="24">
        <v>0.05</v>
      </c>
      <c r="G44" s="31">
        <f>$E$24*F44</f>
        <v>4264.1639999999998</v>
      </c>
    </row>
    <row r="45" spans="1:8" x14ac:dyDescent="0.25">
      <c r="A45" s="288" t="s">
        <v>150</v>
      </c>
      <c r="B45" s="289"/>
      <c r="C45" s="289"/>
      <c r="D45" s="289"/>
      <c r="E45" s="290"/>
      <c r="F45" s="24">
        <v>0.03</v>
      </c>
      <c r="G45" s="31">
        <f t="shared" ref="G45:G48" si="7">$E$24*F45</f>
        <v>2558.4983999999999</v>
      </c>
    </row>
    <row r="46" spans="1:8" x14ac:dyDescent="0.25">
      <c r="A46" s="288" t="s">
        <v>151</v>
      </c>
      <c r="B46" s="289"/>
      <c r="C46" s="289"/>
      <c r="D46" s="289"/>
      <c r="E46" s="290"/>
      <c r="F46" s="24">
        <v>2.8799999999999999E-2</v>
      </c>
      <c r="G46" s="31">
        <f t="shared" si="7"/>
        <v>2456.1584640000001</v>
      </c>
      <c r="H46" s="78"/>
    </row>
    <row r="47" spans="1:8" x14ac:dyDescent="0.25">
      <c r="A47" s="288" t="s">
        <v>152</v>
      </c>
      <c r="B47" s="289"/>
      <c r="C47" s="289"/>
      <c r="D47" s="289"/>
      <c r="E47" s="290"/>
      <c r="F47" s="24">
        <v>6.4999999999999997E-3</v>
      </c>
      <c r="G47" s="31">
        <f t="shared" si="7"/>
        <v>554.34132</v>
      </c>
    </row>
    <row r="48" spans="1:8" ht="15.75" thickBot="1" x14ac:dyDescent="0.3">
      <c r="A48" s="288" t="s">
        <v>153</v>
      </c>
      <c r="B48" s="289"/>
      <c r="C48" s="289"/>
      <c r="D48" s="289"/>
      <c r="E48" s="290"/>
      <c r="F48" s="24">
        <v>4.8000000000000001E-2</v>
      </c>
      <c r="G48" s="31">
        <f t="shared" si="7"/>
        <v>4093.59744</v>
      </c>
    </row>
    <row r="49" spans="1:7" ht="15.75" thickBot="1" x14ac:dyDescent="0.3">
      <c r="A49" s="313" t="s">
        <v>13</v>
      </c>
      <c r="B49" s="314"/>
      <c r="C49" s="314"/>
      <c r="D49" s="314"/>
      <c r="E49" s="314"/>
      <c r="F49" s="33">
        <f>SUM(F44:F48)</f>
        <v>0.1633</v>
      </c>
      <c r="G49" s="32">
        <f>SUM(G44:G48)</f>
        <v>13926.759623999998</v>
      </c>
    </row>
    <row r="50" spans="1:7" ht="15.75" thickBot="1" x14ac:dyDescent="0.3">
      <c r="A50" s="92"/>
      <c r="G50" s="93"/>
    </row>
    <row r="51" spans="1:7" ht="15.75" thickBot="1" x14ac:dyDescent="0.3">
      <c r="A51" s="306" t="s">
        <v>241</v>
      </c>
      <c r="B51" s="307"/>
      <c r="C51" s="307"/>
      <c r="D51" s="307"/>
      <c r="E51" s="307"/>
      <c r="F51" s="299">
        <f>G49+G40</f>
        <v>85240.07330399999</v>
      </c>
      <c r="G51" s="300"/>
    </row>
    <row r="52" spans="1:7" ht="15.75" thickBot="1" x14ac:dyDescent="0.3">
      <c r="A52" s="315" t="s">
        <v>268</v>
      </c>
      <c r="B52" s="316"/>
      <c r="C52" s="316"/>
      <c r="D52" s="316"/>
      <c r="E52" s="316"/>
      <c r="F52" s="308" t="str">
        <f>IF((E24-F51)&gt;0, "VIÁVEL", "INVIÁVEL")</f>
        <v>VIÁVEL</v>
      </c>
      <c r="G52" s="309"/>
    </row>
    <row r="53" spans="1:7" ht="15.75" thickBot="1" x14ac:dyDescent="0.3">
      <c r="A53" s="92"/>
      <c r="G53" s="93"/>
    </row>
    <row r="54" spans="1:7" ht="15.75" thickBot="1" x14ac:dyDescent="0.3">
      <c r="A54" s="301" t="s">
        <v>242</v>
      </c>
      <c r="B54" s="302"/>
      <c r="C54" s="302"/>
      <c r="D54" s="302"/>
      <c r="E54" s="302"/>
      <c r="F54" s="302"/>
      <c r="G54" s="303"/>
    </row>
    <row r="55" spans="1:7" x14ac:dyDescent="0.25">
      <c r="A55" s="304" t="s">
        <v>14</v>
      </c>
      <c r="B55" s="305"/>
      <c r="C55" s="305"/>
      <c r="D55" s="305"/>
      <c r="E55" s="305"/>
      <c r="F55" s="159" t="s">
        <v>176</v>
      </c>
      <c r="G55" s="160" t="s">
        <v>148</v>
      </c>
    </row>
    <row r="56" spans="1:7" x14ac:dyDescent="0.25">
      <c r="A56" s="277" t="s">
        <v>158</v>
      </c>
      <c r="B56" s="278"/>
      <c r="C56" s="278"/>
      <c r="D56" s="278"/>
      <c r="E56" s="278"/>
      <c r="F56" s="161">
        <f>G56/$G$74</f>
        <v>2.6109150637055191E-2</v>
      </c>
      <c r="G56" s="120">
        <f>'INVEST. E DESPESAS'!J34</f>
        <v>2840</v>
      </c>
    </row>
    <row r="57" spans="1:7" x14ac:dyDescent="0.25">
      <c r="A57" s="277" t="s">
        <v>154</v>
      </c>
      <c r="B57" s="278"/>
      <c r="C57" s="278"/>
      <c r="D57" s="278"/>
      <c r="E57" s="278"/>
      <c r="F57" s="161">
        <f t="shared" ref="F57:F73" si="8">G57/$G$74</f>
        <v>9.9288319324012692E-2</v>
      </c>
      <c r="G57" s="120">
        <f>'INVEST. E DESPESAS'!L40</f>
        <v>10800</v>
      </c>
    </row>
    <row r="58" spans="1:7" x14ac:dyDescent="0.25">
      <c r="A58" s="277" t="s">
        <v>155</v>
      </c>
      <c r="B58" s="278"/>
      <c r="C58" s="278"/>
      <c r="D58" s="278"/>
      <c r="E58" s="278"/>
      <c r="F58" s="161">
        <f t="shared" si="8"/>
        <v>2.2912158688450986E-2</v>
      </c>
      <c r="G58" s="120">
        <f>'INVEST. E DESPESAS'!J54</f>
        <v>2492.25</v>
      </c>
    </row>
    <row r="59" spans="1:7" x14ac:dyDescent="0.25">
      <c r="A59" s="277" t="s">
        <v>156</v>
      </c>
      <c r="B59" s="278"/>
      <c r="C59" s="278"/>
      <c r="D59" s="278"/>
      <c r="E59" s="278"/>
      <c r="F59" s="161">
        <f t="shared" si="8"/>
        <v>2.7580088701114639E-3</v>
      </c>
      <c r="G59" s="120">
        <f>'INVEST. E DESPESAS'!J84</f>
        <v>300</v>
      </c>
    </row>
    <row r="60" spans="1:7" x14ac:dyDescent="0.25">
      <c r="A60" s="277" t="s">
        <v>157</v>
      </c>
      <c r="B60" s="278"/>
      <c r="C60" s="278"/>
      <c r="D60" s="278"/>
      <c r="E60" s="278"/>
      <c r="F60" s="161">
        <f t="shared" si="8"/>
        <v>3.4787685215005928E-2</v>
      </c>
      <c r="G60" s="120">
        <f>'INVEST. E DESPESAS'!J98</f>
        <v>3784</v>
      </c>
    </row>
    <row r="61" spans="1:7" x14ac:dyDescent="0.25">
      <c r="A61" s="277" t="s">
        <v>81</v>
      </c>
      <c r="B61" s="278"/>
      <c r="C61" s="278"/>
      <c r="D61" s="278"/>
      <c r="E61" s="278"/>
      <c r="F61" s="161">
        <f t="shared" si="8"/>
        <v>1.1429188757741906E-2</v>
      </c>
      <c r="G61" s="120">
        <f>'INVEST. E DESPESAS'!J106</f>
        <v>1243.2</v>
      </c>
    </row>
    <row r="62" spans="1:7" x14ac:dyDescent="0.25">
      <c r="A62" s="277" t="s">
        <v>159</v>
      </c>
      <c r="B62" s="278"/>
      <c r="C62" s="278"/>
      <c r="D62" s="278"/>
      <c r="E62" s="278"/>
      <c r="F62" s="161">
        <f t="shared" si="8"/>
        <v>3.0843732530746536E-2</v>
      </c>
      <c r="G62" s="120">
        <f>'INVEST. E DESPESAS'!J132</f>
        <v>3355</v>
      </c>
    </row>
    <row r="63" spans="1:7" x14ac:dyDescent="0.25">
      <c r="A63" s="277" t="s">
        <v>160</v>
      </c>
      <c r="B63" s="278"/>
      <c r="C63" s="278"/>
      <c r="D63" s="278"/>
      <c r="E63" s="278"/>
      <c r="F63" s="161">
        <f t="shared" si="8"/>
        <v>1.0636720875729878E-2</v>
      </c>
      <c r="G63" s="120">
        <f>'INVEST. E DESPESAS'!J143</f>
        <v>1157</v>
      </c>
    </row>
    <row r="64" spans="1:7" x14ac:dyDescent="0.25">
      <c r="A64" s="277" t="s">
        <v>161</v>
      </c>
      <c r="B64" s="278"/>
      <c r="C64" s="278"/>
      <c r="D64" s="278"/>
      <c r="E64" s="278"/>
      <c r="F64" s="161">
        <f t="shared" si="8"/>
        <v>3.2406604223809699E-2</v>
      </c>
      <c r="G64" s="120">
        <f>'INVEST. E DESPESAS'!L153</f>
        <v>3525</v>
      </c>
    </row>
    <row r="65" spans="1:10" x14ac:dyDescent="0.25">
      <c r="A65" s="277" t="s">
        <v>162</v>
      </c>
      <c r="B65" s="278"/>
      <c r="C65" s="278"/>
      <c r="D65" s="278"/>
      <c r="E65" s="278"/>
      <c r="F65" s="161">
        <f t="shared" si="8"/>
        <v>1.3330376205538742E-3</v>
      </c>
      <c r="G65" s="120">
        <f>'INVEST. E DESPESAS'!J164</f>
        <v>145</v>
      </c>
    </row>
    <row r="66" spans="1:10" x14ac:dyDescent="0.25">
      <c r="A66" s="277" t="s">
        <v>163</v>
      </c>
      <c r="B66" s="278"/>
      <c r="C66" s="278"/>
      <c r="D66" s="278"/>
      <c r="E66" s="278"/>
      <c r="F66" s="161">
        <f t="shared" si="8"/>
        <v>0.26187369607284128</v>
      </c>
      <c r="G66" s="120">
        <f>'INVEST. E DESPESAS'!J178</f>
        <v>28485.081999999999</v>
      </c>
      <c r="J66" s="298"/>
    </row>
    <row r="67" spans="1:10" x14ac:dyDescent="0.25">
      <c r="A67" s="277" t="s">
        <v>164</v>
      </c>
      <c r="B67" s="278"/>
      <c r="C67" s="278"/>
      <c r="D67" s="278"/>
      <c r="E67" s="278"/>
      <c r="F67" s="161">
        <f t="shared" si="8"/>
        <v>2.6947401466311065E-2</v>
      </c>
      <c r="G67" s="120">
        <f>'INVEST. E DESPESAS'!J194</f>
        <v>2931.18</v>
      </c>
      <c r="J67" s="298"/>
    </row>
    <row r="68" spans="1:10" x14ac:dyDescent="0.25">
      <c r="A68" s="277" t="s">
        <v>165</v>
      </c>
      <c r="B68" s="278"/>
      <c r="C68" s="278"/>
      <c r="D68" s="278"/>
      <c r="E68" s="278"/>
      <c r="F68" s="161">
        <f t="shared" si="8"/>
        <v>5.6631115466288726E-3</v>
      </c>
      <c r="G68" s="120">
        <f>'INVEST. E DESPESAS'!J207</f>
        <v>616</v>
      </c>
    </row>
    <row r="69" spans="1:10" x14ac:dyDescent="0.25">
      <c r="A69" s="277" t="s">
        <v>166</v>
      </c>
      <c r="B69" s="278"/>
      <c r="C69" s="278"/>
      <c r="D69" s="278"/>
      <c r="E69" s="278"/>
      <c r="F69" s="161">
        <f t="shared" si="8"/>
        <v>0.101126991904087</v>
      </c>
      <c r="G69" s="120">
        <f>'INVEST. E DESPESAS'!L214</f>
        <v>11000</v>
      </c>
    </row>
    <row r="70" spans="1:10" x14ac:dyDescent="0.25">
      <c r="A70" s="277" t="s">
        <v>167</v>
      </c>
      <c r="B70" s="278"/>
      <c r="C70" s="278"/>
      <c r="D70" s="278"/>
      <c r="E70" s="278"/>
      <c r="F70" s="161">
        <f t="shared" si="8"/>
        <v>1.5680802847479972E-2</v>
      </c>
      <c r="G70" s="120">
        <f>G32</f>
        <v>1705.6656</v>
      </c>
    </row>
    <row r="71" spans="1:10" x14ac:dyDescent="0.25">
      <c r="A71" s="277" t="s">
        <v>168</v>
      </c>
      <c r="B71" s="278"/>
      <c r="C71" s="278"/>
      <c r="D71" s="278"/>
      <c r="E71" s="278"/>
      <c r="F71" s="161">
        <f t="shared" si="8"/>
        <v>0.10976561993235982</v>
      </c>
      <c r="G71" s="120">
        <f>G38</f>
        <v>11939.659200000002</v>
      </c>
    </row>
    <row r="72" spans="1:10" x14ac:dyDescent="0.25">
      <c r="A72" s="277" t="s">
        <v>169</v>
      </c>
      <c r="B72" s="278"/>
      <c r="C72" s="278"/>
      <c r="D72" s="278"/>
      <c r="E72" s="278"/>
      <c r="F72" s="161">
        <f t="shared" si="8"/>
        <v>7.8404014237399858E-2</v>
      </c>
      <c r="G72" s="120">
        <f>G28</f>
        <v>8528.3279999999995</v>
      </c>
    </row>
    <row r="73" spans="1:10" ht="15.75" thickBot="1" x14ac:dyDescent="0.3">
      <c r="A73" s="270" t="s">
        <v>170</v>
      </c>
      <c r="B73" s="271"/>
      <c r="C73" s="271"/>
      <c r="D73" s="271"/>
      <c r="E73" s="271"/>
      <c r="F73" s="161">
        <f t="shared" si="8"/>
        <v>0.12803375524967398</v>
      </c>
      <c r="G73" s="162">
        <f>G49</f>
        <v>13926.759623999998</v>
      </c>
    </row>
    <row r="74" spans="1:10" ht="15.75" thickBot="1" x14ac:dyDescent="0.3">
      <c r="A74" s="274" t="s">
        <v>13</v>
      </c>
      <c r="B74" s="275"/>
      <c r="C74" s="275"/>
      <c r="D74" s="275"/>
      <c r="E74" s="275"/>
      <c r="F74" s="276"/>
      <c r="G74" s="163">
        <f>SUM(G56:G73)</f>
        <v>108774.12442399999</v>
      </c>
    </row>
    <row r="75" spans="1:10" ht="15.75" thickBot="1" x14ac:dyDescent="0.3">
      <c r="A75" s="92"/>
      <c r="G75" s="93"/>
    </row>
    <row r="76" spans="1:10" ht="16.5" thickBot="1" x14ac:dyDescent="0.3">
      <c r="A76" s="337" t="s">
        <v>262</v>
      </c>
      <c r="B76" s="338"/>
      <c r="C76" s="338"/>
      <c r="D76" s="338"/>
      <c r="E76" s="338"/>
      <c r="F76" s="338"/>
      <c r="G76" s="339"/>
    </row>
    <row r="77" spans="1:10" ht="15.75" thickBot="1" x14ac:dyDescent="0.3">
      <c r="A77" s="169"/>
      <c r="B77" s="340" t="s">
        <v>257</v>
      </c>
      <c r="C77" s="341"/>
      <c r="D77" s="341"/>
      <c r="E77" s="341"/>
      <c r="F77" s="342"/>
      <c r="G77" s="170" t="s">
        <v>142</v>
      </c>
    </row>
    <row r="78" spans="1:10" x14ac:dyDescent="0.25">
      <c r="A78" s="291" t="s">
        <v>3</v>
      </c>
      <c r="B78" s="294" t="s">
        <v>258</v>
      </c>
      <c r="C78" s="294"/>
      <c r="D78" s="294"/>
      <c r="E78" s="294"/>
      <c r="F78" s="294"/>
      <c r="G78" s="171">
        <v>1</v>
      </c>
    </row>
    <row r="79" spans="1:10" x14ac:dyDescent="0.25">
      <c r="A79" s="292"/>
      <c r="B79" s="295" t="s">
        <v>259</v>
      </c>
      <c r="C79" s="295"/>
      <c r="D79" s="295"/>
      <c r="E79" s="295"/>
      <c r="F79" s="295"/>
      <c r="G79" s="172">
        <v>2</v>
      </c>
    </row>
    <row r="80" spans="1:10" x14ac:dyDescent="0.25">
      <c r="A80" s="292"/>
      <c r="B80" s="296" t="s">
        <v>260</v>
      </c>
      <c r="C80" s="296"/>
      <c r="D80" s="296"/>
      <c r="E80" s="296"/>
      <c r="F80" s="296"/>
      <c r="G80" s="173">
        <v>3</v>
      </c>
    </row>
    <row r="81" spans="1:7" ht="15.75" thickBot="1" x14ac:dyDescent="0.3">
      <c r="A81" s="293"/>
      <c r="B81" s="297" t="s">
        <v>261</v>
      </c>
      <c r="C81" s="297"/>
      <c r="D81" s="297"/>
      <c r="E81" s="297"/>
      <c r="F81" s="297"/>
      <c r="G81" s="174">
        <v>4</v>
      </c>
    </row>
    <row r="82" spans="1:7" hidden="1" x14ac:dyDescent="0.25">
      <c r="A82" s="92"/>
      <c r="G82" s="93"/>
    </row>
    <row r="83" spans="1:7" hidden="1" x14ac:dyDescent="0.25">
      <c r="A83" s="291" t="s">
        <v>1</v>
      </c>
      <c r="B83" s="294" t="s">
        <v>258</v>
      </c>
      <c r="C83" s="294"/>
      <c r="D83" s="294"/>
      <c r="E83" s="294"/>
      <c r="F83" s="294"/>
      <c r="G83" s="171">
        <v>0.5</v>
      </c>
    </row>
    <row r="84" spans="1:7" hidden="1" x14ac:dyDescent="0.25">
      <c r="A84" s="292"/>
      <c r="B84" s="295" t="s">
        <v>259</v>
      </c>
      <c r="C84" s="295"/>
      <c r="D84" s="295"/>
      <c r="E84" s="295"/>
      <c r="F84" s="295"/>
      <c r="G84" s="172">
        <v>1</v>
      </c>
    </row>
    <row r="85" spans="1:7" ht="15" hidden="1" customHeight="1" x14ac:dyDescent="0.25">
      <c r="A85" s="292"/>
      <c r="B85" s="296" t="s">
        <v>260</v>
      </c>
      <c r="C85" s="296"/>
      <c r="D85" s="296"/>
      <c r="E85" s="296"/>
      <c r="F85" s="296"/>
      <c r="G85" s="173">
        <v>1.5</v>
      </c>
    </row>
    <row r="86" spans="1:7" ht="15" hidden="1" customHeight="1" thickBot="1" x14ac:dyDescent="0.3">
      <c r="A86" s="293"/>
      <c r="B86" s="297" t="s">
        <v>261</v>
      </c>
      <c r="C86" s="297"/>
      <c r="D86" s="297"/>
      <c r="E86" s="297"/>
      <c r="F86" s="297"/>
      <c r="G86" s="174">
        <v>2</v>
      </c>
    </row>
    <row r="87" spans="1:7" ht="15" customHeight="1" x14ac:dyDescent="0.25"/>
    <row r="88" spans="1:7" ht="15.75" customHeight="1" x14ac:dyDescent="0.25"/>
  </sheetData>
  <mergeCells count="70">
    <mergeCell ref="A76:G76"/>
    <mergeCell ref="B77:F77"/>
    <mergeCell ref="A78:A81"/>
    <mergeCell ref="B78:F78"/>
    <mergeCell ref="B79:F79"/>
    <mergeCell ref="B80:F80"/>
    <mergeCell ref="B81:F81"/>
    <mergeCell ref="A19:A22"/>
    <mergeCell ref="A1:G2"/>
    <mergeCell ref="A4:G4"/>
    <mergeCell ref="A6:A7"/>
    <mergeCell ref="B6:B7"/>
    <mergeCell ref="E6:E7"/>
    <mergeCell ref="F6:F7"/>
    <mergeCell ref="A9:A10"/>
    <mergeCell ref="B9:B10"/>
    <mergeCell ref="E9:E10"/>
    <mergeCell ref="F9:F10"/>
    <mergeCell ref="A14:A17"/>
    <mergeCell ref="A18:D18"/>
    <mergeCell ref="F52:G52"/>
    <mergeCell ref="A26:G26"/>
    <mergeCell ref="A28:D28"/>
    <mergeCell ref="A30:F30"/>
    <mergeCell ref="A32:E32"/>
    <mergeCell ref="A33:G33"/>
    <mergeCell ref="A46:E46"/>
    <mergeCell ref="A47:E47"/>
    <mergeCell ref="A48:E48"/>
    <mergeCell ref="A49:E49"/>
    <mergeCell ref="A52:E52"/>
    <mergeCell ref="A35:E35"/>
    <mergeCell ref="A36:G36"/>
    <mergeCell ref="J66:J67"/>
    <mergeCell ref="A72:E72"/>
    <mergeCell ref="A70:E70"/>
    <mergeCell ref="A71:E71"/>
    <mergeCell ref="F51:G51"/>
    <mergeCell ref="A54:G54"/>
    <mergeCell ref="A55:E55"/>
    <mergeCell ref="A56:E56"/>
    <mergeCell ref="A57:E57"/>
    <mergeCell ref="A51:E51"/>
    <mergeCell ref="A65:E65"/>
    <mergeCell ref="A64:E64"/>
    <mergeCell ref="A58:E58"/>
    <mergeCell ref="A59:E59"/>
    <mergeCell ref="A60:E60"/>
    <mergeCell ref="A61:E61"/>
    <mergeCell ref="A83:A86"/>
    <mergeCell ref="B83:F83"/>
    <mergeCell ref="B84:F84"/>
    <mergeCell ref="B85:F85"/>
    <mergeCell ref="B86:F86"/>
    <mergeCell ref="A73:E73"/>
    <mergeCell ref="A23:D23"/>
    <mergeCell ref="A24:D24"/>
    <mergeCell ref="A74:F74"/>
    <mergeCell ref="A66:E66"/>
    <mergeCell ref="A67:E67"/>
    <mergeCell ref="A68:E68"/>
    <mergeCell ref="A69:E69"/>
    <mergeCell ref="A62:E62"/>
    <mergeCell ref="A63:E63"/>
    <mergeCell ref="A44:E44"/>
    <mergeCell ref="A38:E38"/>
    <mergeCell ref="A40:F40"/>
    <mergeCell ref="A42:G42"/>
    <mergeCell ref="A43:E43"/>
    <mergeCell ref="A45:E4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EFC6A-6870-48B5-9CD9-047EF476500A}">
  <dimension ref="A1:J58"/>
  <sheetViews>
    <sheetView zoomScaleNormal="100" workbookViewId="0">
      <selection activeCell="G13" sqref="G13"/>
    </sheetView>
  </sheetViews>
  <sheetFormatPr defaultColWidth="9.140625" defaultRowHeight="14.25" x14ac:dyDescent="0.2"/>
  <cols>
    <col min="1" max="1" width="35" style="4" customWidth="1"/>
    <col min="2" max="2" width="16.140625" style="4" bestFit="1" customWidth="1"/>
    <col min="3" max="3" width="8.140625" style="4" customWidth="1"/>
    <col min="4" max="4" width="3.7109375" style="4" customWidth="1"/>
    <col min="5" max="5" width="12.7109375" style="4" hidden="1" customWidth="1"/>
    <col min="6" max="6" width="28" style="4" customWidth="1"/>
    <col min="7" max="7" width="35" style="4" customWidth="1"/>
    <col min="8" max="8" width="9.140625" style="4"/>
    <col min="9" max="9" width="24.85546875" style="4" customWidth="1"/>
    <col min="10" max="10" width="18.42578125" style="4" customWidth="1"/>
    <col min="11" max="11" width="16.5703125" style="4" customWidth="1"/>
    <col min="12" max="16384" width="9.140625" style="4"/>
  </cols>
  <sheetData>
    <row r="1" spans="1:10" ht="33.75" customHeight="1" thickBot="1" x14ac:dyDescent="0.3">
      <c r="A1" s="343" t="s">
        <v>213</v>
      </c>
      <c r="B1" s="344"/>
      <c r="C1" s="344"/>
      <c r="D1" s="344"/>
      <c r="E1" s="344"/>
      <c r="F1" s="344"/>
      <c r="G1" s="345"/>
    </row>
    <row r="2" spans="1:10" x14ac:dyDescent="0.2">
      <c r="A2" s="193" t="s">
        <v>184</v>
      </c>
      <c r="B2" s="347" t="s">
        <v>245</v>
      </c>
      <c r="C2" s="348"/>
      <c r="D2" s="348"/>
      <c r="E2" s="348"/>
      <c r="F2" s="349"/>
      <c r="G2" s="195" t="s">
        <v>212</v>
      </c>
    </row>
    <row r="3" spans="1:10" x14ac:dyDescent="0.2">
      <c r="A3" s="61">
        <v>1</v>
      </c>
      <c r="B3" s="350">
        <v>12</v>
      </c>
      <c r="C3" s="351"/>
      <c r="D3" s="351"/>
      <c r="E3" s="351"/>
      <c r="F3" s="352"/>
      <c r="G3" s="84">
        <f>'CÁLCULO TARIFÁRIO '!$E$24*B3</f>
        <v>1023399.36</v>
      </c>
      <c r="I3" s="166"/>
      <c r="J3" s="52"/>
    </row>
    <row r="4" spans="1:10" x14ac:dyDescent="0.2">
      <c r="A4" s="61">
        <v>2</v>
      </c>
      <c r="B4" s="350">
        <v>12</v>
      </c>
      <c r="C4" s="351"/>
      <c r="D4" s="351"/>
      <c r="E4" s="351"/>
      <c r="F4" s="352"/>
      <c r="G4" s="84">
        <f>'CÁLCULO TARIFÁRIO '!$E$24*B4</f>
        <v>1023399.36</v>
      </c>
      <c r="J4" s="52"/>
    </row>
    <row r="5" spans="1:10" x14ac:dyDescent="0.2">
      <c r="A5" s="61">
        <v>3</v>
      </c>
      <c r="B5" s="350">
        <v>12</v>
      </c>
      <c r="C5" s="351"/>
      <c r="D5" s="351"/>
      <c r="E5" s="351"/>
      <c r="F5" s="352"/>
      <c r="G5" s="84">
        <f>'CÁLCULO TARIFÁRIO '!$E$24*B5</f>
        <v>1023399.36</v>
      </c>
      <c r="J5" s="52"/>
    </row>
    <row r="6" spans="1:10" x14ac:dyDescent="0.2">
      <c r="A6" s="61">
        <v>4</v>
      </c>
      <c r="B6" s="350">
        <v>12</v>
      </c>
      <c r="C6" s="351"/>
      <c r="D6" s="351"/>
      <c r="E6" s="351"/>
      <c r="F6" s="352"/>
      <c r="G6" s="84">
        <f>'CÁLCULO TARIFÁRIO '!$E$24*B6</f>
        <v>1023399.36</v>
      </c>
      <c r="J6" s="52"/>
    </row>
    <row r="7" spans="1:10" x14ac:dyDescent="0.2">
      <c r="A7" s="61">
        <v>5</v>
      </c>
      <c r="B7" s="350">
        <v>12</v>
      </c>
      <c r="C7" s="351"/>
      <c r="D7" s="351"/>
      <c r="E7" s="351"/>
      <c r="F7" s="352"/>
      <c r="G7" s="84">
        <f>'CÁLCULO TARIFÁRIO '!$E$24*B7</f>
        <v>1023399.36</v>
      </c>
      <c r="J7" s="52"/>
    </row>
    <row r="8" spans="1:10" x14ac:dyDescent="0.2">
      <c r="A8" s="61">
        <v>6</v>
      </c>
      <c r="B8" s="350">
        <v>12</v>
      </c>
      <c r="C8" s="351"/>
      <c r="D8" s="351"/>
      <c r="E8" s="351"/>
      <c r="F8" s="352"/>
      <c r="G8" s="84">
        <f>'CÁLCULO TARIFÁRIO '!$E$24*B8</f>
        <v>1023399.36</v>
      </c>
      <c r="J8" s="52"/>
    </row>
    <row r="9" spans="1:10" x14ac:dyDescent="0.2">
      <c r="A9" s="61">
        <v>7</v>
      </c>
      <c r="B9" s="350">
        <v>12</v>
      </c>
      <c r="C9" s="351"/>
      <c r="D9" s="351"/>
      <c r="E9" s="351"/>
      <c r="F9" s="352"/>
      <c r="G9" s="84">
        <f>'CÁLCULO TARIFÁRIO '!$E$24*B9</f>
        <v>1023399.36</v>
      </c>
      <c r="J9" s="52"/>
    </row>
    <row r="10" spans="1:10" x14ac:dyDescent="0.2">
      <c r="A10" s="61">
        <v>8</v>
      </c>
      <c r="B10" s="350">
        <v>12</v>
      </c>
      <c r="C10" s="351"/>
      <c r="D10" s="351"/>
      <c r="E10" s="351"/>
      <c r="F10" s="352"/>
      <c r="G10" s="84">
        <f>'CÁLCULO TARIFÁRIO '!$E$24*B10</f>
        <v>1023399.36</v>
      </c>
      <c r="J10" s="52"/>
    </row>
    <row r="11" spans="1:10" x14ac:dyDescent="0.2">
      <c r="A11" s="61">
        <v>9</v>
      </c>
      <c r="B11" s="350">
        <v>12</v>
      </c>
      <c r="C11" s="351"/>
      <c r="D11" s="351"/>
      <c r="E11" s="351"/>
      <c r="F11" s="352"/>
      <c r="G11" s="84">
        <f>'CÁLCULO TARIFÁRIO '!$E$24*B11</f>
        <v>1023399.36</v>
      </c>
      <c r="J11" s="52"/>
    </row>
    <row r="12" spans="1:10" x14ac:dyDescent="0.2">
      <c r="A12" s="61">
        <v>10</v>
      </c>
      <c r="B12" s="350">
        <v>12</v>
      </c>
      <c r="C12" s="351"/>
      <c r="D12" s="351"/>
      <c r="E12" s="351"/>
      <c r="F12" s="352"/>
      <c r="G12" s="84">
        <f>'CÁLCULO TARIFÁRIO '!$E$24*B12</f>
        <v>1023399.36</v>
      </c>
      <c r="J12" s="52"/>
    </row>
    <row r="13" spans="1:10" x14ac:dyDescent="0.2">
      <c r="A13" s="350" t="s">
        <v>214</v>
      </c>
      <c r="B13" s="351"/>
      <c r="C13" s="351"/>
      <c r="D13" s="351"/>
      <c r="E13" s="351"/>
      <c r="F13" s="352"/>
      <c r="G13" s="84">
        <f>SUM(G3:G12)</f>
        <v>10233993.6</v>
      </c>
      <c r="J13" s="52"/>
    </row>
    <row r="14" spans="1:10" x14ac:dyDescent="0.2">
      <c r="B14" s="73"/>
      <c r="C14" s="73"/>
      <c r="D14" s="73"/>
      <c r="E14" s="73"/>
      <c r="F14" s="74"/>
      <c r="G14" s="74"/>
      <c r="J14" s="52"/>
    </row>
    <row r="15" spans="1:10" x14ac:dyDescent="0.2">
      <c r="A15" s="346"/>
      <c r="B15" s="346"/>
      <c r="C15" s="346"/>
      <c r="D15" s="346"/>
      <c r="E15" s="346"/>
      <c r="F15" s="346"/>
      <c r="G15" s="346"/>
      <c r="J15" s="82"/>
    </row>
    <row r="17" spans="10:10" x14ac:dyDescent="0.2">
      <c r="J17" s="83"/>
    </row>
    <row r="18" spans="10:10" x14ac:dyDescent="0.2">
      <c r="J18" s="57"/>
    </row>
    <row r="19" spans="10:10" x14ac:dyDescent="0.2">
      <c r="J19" s="82"/>
    </row>
    <row r="33" s="4" customFormat="1" x14ac:dyDescent="0.2"/>
    <row r="34" s="4" customFormat="1" x14ac:dyDescent="0.2"/>
    <row r="35" s="4" customFormat="1" x14ac:dyDescent="0.2"/>
    <row r="36" s="4" customFormat="1" x14ac:dyDescent="0.2"/>
    <row r="37" s="4" customFormat="1" x14ac:dyDescent="0.2"/>
    <row r="38" s="4" customFormat="1" x14ac:dyDescent="0.2"/>
    <row r="39" s="4" customFormat="1" x14ac:dyDescent="0.2"/>
    <row r="40" s="4" customFormat="1" x14ac:dyDescent="0.2"/>
    <row r="41" s="4" customFormat="1" x14ac:dyDescent="0.2"/>
    <row r="42" s="4" customFormat="1" x14ac:dyDescent="0.2"/>
    <row r="43" s="4" customFormat="1" x14ac:dyDescent="0.2"/>
    <row r="44" s="4" customFormat="1" x14ac:dyDescent="0.2"/>
    <row r="45" s="4" customFormat="1" x14ac:dyDescent="0.2"/>
    <row r="46" s="4" customFormat="1" x14ac:dyDescent="0.2"/>
    <row r="47" s="4" customFormat="1" x14ac:dyDescent="0.2"/>
    <row r="48" s="4" customFormat="1" x14ac:dyDescent="0.2"/>
    <row r="49" s="4" customFormat="1" x14ac:dyDescent="0.2"/>
    <row r="50" s="4" customFormat="1" x14ac:dyDescent="0.2"/>
    <row r="51" s="4" customFormat="1" x14ac:dyDescent="0.2"/>
    <row r="52" s="4" customFormat="1" x14ac:dyDescent="0.2"/>
    <row r="53" s="4" customFormat="1" x14ac:dyDescent="0.2"/>
    <row r="54" s="4" customFormat="1" x14ac:dyDescent="0.2"/>
    <row r="55" s="4" customFormat="1" x14ac:dyDescent="0.2"/>
    <row r="56" s="4" customFormat="1" x14ac:dyDescent="0.2"/>
    <row r="57" s="4" customFormat="1" x14ac:dyDescent="0.2"/>
    <row r="58" s="4" customFormat="1" x14ac:dyDescent="0.2"/>
  </sheetData>
  <mergeCells count="14">
    <mergeCell ref="A1:G1"/>
    <mergeCell ref="A15:G15"/>
    <mergeCell ref="B2:F2"/>
    <mergeCell ref="B3:F3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A13:F1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E6443-D04B-4ED9-A4F9-206D95ECE9E2}">
  <dimension ref="A1:K15"/>
  <sheetViews>
    <sheetView workbookViewId="0">
      <selection sqref="A1:K14"/>
    </sheetView>
  </sheetViews>
  <sheetFormatPr defaultRowHeight="15" x14ac:dyDescent="0.25"/>
  <cols>
    <col min="1" max="1" width="40.28515625" customWidth="1"/>
    <col min="2" max="11" width="15.140625" customWidth="1"/>
  </cols>
  <sheetData>
    <row r="1" spans="1:11" ht="33" customHeight="1" thickBot="1" x14ac:dyDescent="0.3">
      <c r="A1" s="343" t="s">
        <v>292</v>
      </c>
      <c r="B1" s="344"/>
      <c r="C1" s="344"/>
      <c r="D1" s="344"/>
      <c r="E1" s="344"/>
      <c r="F1" s="344"/>
      <c r="G1" s="344"/>
      <c r="H1" s="344"/>
      <c r="I1" s="344"/>
      <c r="J1" s="344"/>
      <c r="K1" s="345"/>
    </row>
    <row r="2" spans="1:11" x14ac:dyDescent="0.25">
      <c r="A2" s="188" t="s">
        <v>275</v>
      </c>
      <c r="B2" s="188" t="s">
        <v>276</v>
      </c>
      <c r="C2" s="188" t="s">
        <v>277</v>
      </c>
      <c r="D2" s="188" t="s">
        <v>278</v>
      </c>
      <c r="E2" s="188" t="s">
        <v>279</v>
      </c>
      <c r="F2" s="188" t="s">
        <v>280</v>
      </c>
      <c r="G2" s="188" t="s">
        <v>281</v>
      </c>
      <c r="H2" s="188" t="s">
        <v>282</v>
      </c>
      <c r="I2" s="188" t="s">
        <v>283</v>
      </c>
      <c r="J2" s="188" t="s">
        <v>284</v>
      </c>
      <c r="K2" s="188" t="s">
        <v>285</v>
      </c>
    </row>
    <row r="3" spans="1:11" x14ac:dyDescent="0.25">
      <c r="A3" s="190" t="s">
        <v>286</v>
      </c>
      <c r="B3" s="191">
        <f>'INVEST. E DESPESAS'!E34</f>
        <v>349700</v>
      </c>
      <c r="C3" s="192"/>
      <c r="D3" s="192"/>
      <c r="E3" s="192"/>
      <c r="F3" s="192"/>
      <c r="G3" s="192"/>
      <c r="H3" s="192"/>
      <c r="I3" s="192"/>
      <c r="J3" s="192"/>
      <c r="K3" s="192"/>
    </row>
    <row r="4" spans="1:11" x14ac:dyDescent="0.25">
      <c r="A4" s="353" t="s">
        <v>294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</row>
    <row r="5" spans="1:11" x14ac:dyDescent="0.25">
      <c r="A5" s="190" t="s">
        <v>287</v>
      </c>
      <c r="B5" s="191">
        <f>'INVEST. E DESPESAS'!E40</f>
        <v>10800</v>
      </c>
      <c r="C5" s="192"/>
      <c r="D5" s="192"/>
      <c r="E5" s="192"/>
      <c r="F5" s="192"/>
      <c r="G5" s="191">
        <f>B5</f>
        <v>10800</v>
      </c>
      <c r="H5" s="192"/>
      <c r="I5" s="192"/>
      <c r="J5" s="192"/>
      <c r="K5" s="192"/>
    </row>
    <row r="6" spans="1:11" x14ac:dyDescent="0.25">
      <c r="A6" s="353" t="s">
        <v>295</v>
      </c>
      <c r="B6" s="353"/>
      <c r="C6" s="353"/>
      <c r="D6" s="353"/>
      <c r="E6" s="353"/>
      <c r="F6" s="353"/>
      <c r="G6" s="353"/>
      <c r="H6" s="353"/>
      <c r="I6" s="353"/>
      <c r="J6" s="353"/>
      <c r="K6" s="353"/>
    </row>
    <row r="7" spans="1:11" x14ac:dyDescent="0.25">
      <c r="A7" s="190" t="s">
        <v>289</v>
      </c>
      <c r="B7" s="191">
        <f>'INVEST. E DESPESAS'!E54</f>
        <v>113247.5</v>
      </c>
      <c r="C7" s="192"/>
      <c r="D7" s="192"/>
      <c r="E7" s="192"/>
      <c r="F7" s="192"/>
      <c r="G7" s="192"/>
      <c r="H7" s="192"/>
      <c r="I7" s="192"/>
      <c r="J7" s="192"/>
      <c r="K7" s="192"/>
    </row>
    <row r="8" spans="1:11" x14ac:dyDescent="0.25">
      <c r="A8" s="353" t="s">
        <v>296</v>
      </c>
      <c r="B8" s="353"/>
      <c r="C8" s="353"/>
      <c r="D8" s="353"/>
      <c r="E8" s="353"/>
      <c r="F8" s="353"/>
      <c r="G8" s="353"/>
      <c r="H8" s="353"/>
      <c r="I8" s="353"/>
      <c r="J8" s="353"/>
      <c r="K8" s="353"/>
    </row>
    <row r="9" spans="1:11" x14ac:dyDescent="0.25">
      <c r="A9" s="190" t="s">
        <v>288</v>
      </c>
      <c r="B9" s="191">
        <f>'INVEST. E DESPESAS'!E84</f>
        <v>106372</v>
      </c>
      <c r="C9" s="192"/>
      <c r="D9" s="192"/>
      <c r="E9" s="192"/>
      <c r="F9" s="192"/>
      <c r="G9" s="191">
        <f>'INVEST. E DESPESAS'!E80</f>
        <v>80000</v>
      </c>
      <c r="H9" s="192"/>
      <c r="I9" s="192"/>
      <c r="J9" s="192"/>
      <c r="K9" s="192"/>
    </row>
    <row r="10" spans="1:11" x14ac:dyDescent="0.25">
      <c r="A10" s="353" t="s">
        <v>297</v>
      </c>
      <c r="B10" s="353"/>
      <c r="C10" s="353"/>
      <c r="D10" s="353"/>
      <c r="E10" s="353"/>
      <c r="F10" s="353"/>
      <c r="G10" s="353"/>
      <c r="H10" s="353"/>
      <c r="I10" s="353"/>
      <c r="J10" s="353"/>
      <c r="K10" s="353"/>
    </row>
    <row r="11" spans="1:11" x14ac:dyDescent="0.25">
      <c r="A11" s="190" t="s">
        <v>290</v>
      </c>
      <c r="B11" s="191">
        <f>'INVEST. E DESPESAS'!E98</f>
        <v>36984</v>
      </c>
      <c r="C11" s="192"/>
      <c r="D11" s="192"/>
      <c r="E11" s="191">
        <f>SUM('INVEST. E DESPESAS'!E89)</f>
        <v>9100</v>
      </c>
      <c r="F11" s="192"/>
      <c r="G11" s="191">
        <f>SUM('INVEST. E DESPESAS'!E90)</f>
        <v>7700</v>
      </c>
      <c r="H11" s="191">
        <f>E11</f>
        <v>9100</v>
      </c>
      <c r="I11" s="192"/>
      <c r="J11" s="192"/>
      <c r="K11" s="192"/>
    </row>
    <row r="12" spans="1:11" x14ac:dyDescent="0.25">
      <c r="A12" s="289" t="s">
        <v>298</v>
      </c>
      <c r="B12" s="289"/>
      <c r="C12" s="289"/>
      <c r="D12" s="289"/>
      <c r="E12" s="289"/>
      <c r="F12" s="289"/>
      <c r="G12" s="289"/>
      <c r="H12" s="289"/>
      <c r="I12" s="289"/>
      <c r="J12" s="289"/>
      <c r="K12" s="289"/>
    </row>
    <row r="13" spans="1:11" x14ac:dyDescent="0.25">
      <c r="A13" s="190" t="s">
        <v>291</v>
      </c>
      <c r="B13" s="191">
        <f>'INVEST. E DESPESAS'!E106</f>
        <v>13200</v>
      </c>
      <c r="C13" s="192"/>
      <c r="D13" s="192"/>
      <c r="E13" s="192"/>
      <c r="F13" s="191"/>
      <c r="G13" s="191">
        <f>B13</f>
        <v>13200</v>
      </c>
      <c r="H13" s="192"/>
      <c r="I13" s="192"/>
      <c r="J13" s="192"/>
      <c r="K13" s="192"/>
    </row>
    <row r="14" spans="1:11" x14ac:dyDescent="0.25">
      <c r="A14" s="289" t="s">
        <v>299</v>
      </c>
      <c r="B14" s="289"/>
      <c r="C14" s="289"/>
      <c r="D14" s="289"/>
      <c r="E14" s="289"/>
      <c r="F14" s="289"/>
      <c r="G14" s="289"/>
      <c r="H14" s="289"/>
      <c r="I14" s="289"/>
      <c r="J14" s="289"/>
      <c r="K14" s="289"/>
    </row>
    <row r="15" spans="1:11" x14ac:dyDescent="0.25">
      <c r="A15" s="189" t="s">
        <v>293</v>
      </c>
    </row>
  </sheetData>
  <mergeCells count="7">
    <mergeCell ref="A14:K14"/>
    <mergeCell ref="A1:K1"/>
    <mergeCell ref="A8:K8"/>
    <mergeCell ref="A6:K6"/>
    <mergeCell ref="A4:K4"/>
    <mergeCell ref="A10:K10"/>
    <mergeCell ref="A12:K12"/>
  </mergeCells>
  <phoneticPr fontId="22" type="noConversion"/>
  <pageMargins left="0.511811024" right="0.511811024" top="0.78740157499999996" bottom="0.78740157499999996" header="0.31496062000000002" footer="0.31496062000000002"/>
  <pageSetup paperSize="9" orientation="portrait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2"/>
  <sheetViews>
    <sheetView tabSelected="1" topLeftCell="A11" zoomScaleNormal="100" workbookViewId="0">
      <selection activeCell="A15" sqref="A15"/>
    </sheetView>
  </sheetViews>
  <sheetFormatPr defaultColWidth="9.140625" defaultRowHeight="14.25" x14ac:dyDescent="0.2"/>
  <cols>
    <col min="1" max="1" width="36.85546875" style="4" customWidth="1"/>
    <col min="2" max="2" width="18" style="4" bestFit="1" customWidth="1"/>
    <col min="3" max="3" width="8.140625" style="4" customWidth="1"/>
    <col min="4" max="4" width="3.7109375" style="4" customWidth="1"/>
    <col min="5" max="5" width="12.7109375" style="4" hidden="1" customWidth="1"/>
    <col min="6" max="6" width="23.85546875" style="4" bestFit="1" customWidth="1"/>
    <col min="7" max="7" width="35" style="4" customWidth="1"/>
    <col min="8" max="8" width="9.140625" style="4"/>
    <col min="9" max="9" width="24.85546875" style="4" customWidth="1"/>
    <col min="10" max="10" width="18.42578125" style="4" customWidth="1"/>
    <col min="11" max="11" width="16.5703125" style="4" customWidth="1"/>
    <col min="12" max="16384" width="9.140625" style="4"/>
  </cols>
  <sheetData>
    <row r="1" spans="1:10" ht="32.25" customHeight="1" thickBot="1" x14ac:dyDescent="0.3">
      <c r="A1" s="343" t="s">
        <v>179</v>
      </c>
      <c r="B1" s="344"/>
      <c r="C1" s="344"/>
      <c r="D1" s="344"/>
      <c r="E1" s="344"/>
      <c r="F1" s="344"/>
      <c r="G1" s="345"/>
    </row>
    <row r="2" spans="1:10" x14ac:dyDescent="0.2">
      <c r="A2" s="193" t="s">
        <v>184</v>
      </c>
      <c r="B2" s="356" t="s">
        <v>182</v>
      </c>
      <c r="C2" s="356"/>
      <c r="D2" s="356"/>
      <c r="E2" s="194"/>
      <c r="F2" s="194" t="s">
        <v>183</v>
      </c>
      <c r="G2" s="195" t="s">
        <v>188</v>
      </c>
    </row>
    <row r="3" spans="1:10" x14ac:dyDescent="0.2">
      <c r="A3" s="61">
        <v>0</v>
      </c>
      <c r="B3" s="355">
        <f>-'INVEST. E DESPESAS'!E222</f>
        <v>-727071.5</v>
      </c>
      <c r="C3" s="355"/>
      <c r="D3" s="355"/>
      <c r="E3" s="355"/>
      <c r="F3" s="51">
        <f t="shared" ref="F3:F8" si="0">-PV($B$15,A3,,B3)</f>
        <v>-727071.5</v>
      </c>
      <c r="G3" s="51">
        <f>F3</f>
        <v>-727071.5</v>
      </c>
      <c r="J3" s="52"/>
    </row>
    <row r="4" spans="1:10" x14ac:dyDescent="0.2">
      <c r="A4" s="61">
        <v>1</v>
      </c>
      <c r="B4" s="355">
        <f>('CÁLCULO TARIFÁRIO '!$G$38)*12</f>
        <v>143275.91040000002</v>
      </c>
      <c r="C4" s="355"/>
      <c r="D4" s="355"/>
      <c r="E4" s="355"/>
      <c r="F4" s="51">
        <f t="shared" si="0"/>
        <v>129661.45737556563</v>
      </c>
      <c r="G4" s="51">
        <f>G3+F4</f>
        <v>-597410.04262443434</v>
      </c>
      <c r="J4" s="52"/>
    </row>
    <row r="5" spans="1:10" x14ac:dyDescent="0.2">
      <c r="A5" s="61">
        <v>2</v>
      </c>
      <c r="B5" s="355">
        <f>('CÁLCULO TARIFÁRIO '!$G$38)*12</f>
        <v>143275.91040000002</v>
      </c>
      <c r="C5" s="355"/>
      <c r="D5" s="355"/>
      <c r="E5" s="355"/>
      <c r="F5" s="51">
        <f t="shared" si="0"/>
        <v>117340.68540775171</v>
      </c>
      <c r="G5" s="51">
        <f>G4+F5</f>
        <v>-480069.35721668263</v>
      </c>
      <c r="J5" s="52"/>
    </row>
    <row r="6" spans="1:10" x14ac:dyDescent="0.2">
      <c r="A6" s="61">
        <v>3</v>
      </c>
      <c r="B6" s="355">
        <f>('CÁLCULO TARIFÁRIO '!$G$38)*12</f>
        <v>143275.91040000002</v>
      </c>
      <c r="C6" s="355"/>
      <c r="D6" s="355"/>
      <c r="E6" s="355"/>
      <c r="F6" s="51">
        <f t="shared" si="0"/>
        <v>106190.6655273771</v>
      </c>
      <c r="G6" s="51">
        <f t="shared" ref="G6:G8" si="1">G5+F6</f>
        <v>-373878.69168930553</v>
      </c>
      <c r="J6" s="52"/>
    </row>
    <row r="7" spans="1:10" x14ac:dyDescent="0.2">
      <c r="A7" s="61">
        <v>4</v>
      </c>
      <c r="B7" s="355">
        <f>('CÁLCULO TARIFÁRIO '!$G$38)*12</f>
        <v>143275.91040000002</v>
      </c>
      <c r="C7" s="355"/>
      <c r="D7" s="355"/>
      <c r="E7" s="355"/>
      <c r="F7" s="51">
        <f t="shared" si="0"/>
        <v>96100.149798531304</v>
      </c>
      <c r="G7" s="51">
        <f>G6+F7-(SUM(DEPRECIAÇÃO!E11))</f>
        <v>-286878.54189077421</v>
      </c>
      <c r="J7" s="52"/>
    </row>
    <row r="8" spans="1:10" x14ac:dyDescent="0.2">
      <c r="A8" s="61">
        <v>5</v>
      </c>
      <c r="B8" s="355">
        <f>('CÁLCULO TARIFÁRIO '!$G$38)*12</f>
        <v>143275.91040000002</v>
      </c>
      <c r="C8" s="355"/>
      <c r="D8" s="355"/>
      <c r="E8" s="355"/>
      <c r="F8" s="51">
        <f t="shared" si="0"/>
        <v>86968.461356136933</v>
      </c>
      <c r="G8" s="51">
        <f t="shared" si="1"/>
        <v>-199910.08053463727</v>
      </c>
      <c r="J8" s="52"/>
    </row>
    <row r="9" spans="1:10" x14ac:dyDescent="0.2">
      <c r="A9" s="61">
        <v>6</v>
      </c>
      <c r="B9" s="355">
        <f>('CÁLCULO TARIFÁRIO '!$G$38)*12</f>
        <v>143275.91040000002</v>
      </c>
      <c r="C9" s="355"/>
      <c r="D9" s="355"/>
      <c r="E9" s="355"/>
      <c r="F9" s="51">
        <f t="shared" ref="F9" si="2">-PV($B$15,A9,,B9)</f>
        <v>78704.489915056038</v>
      </c>
      <c r="G9" s="51">
        <f>G8+F9-(SUM(DEPRECIAÇÃO!G5+DEPRECIAÇÃO!G9+DEPRECIAÇÃO!G11+DEPRECIAÇÃO!G13))</f>
        <v>-232905.59061958123</v>
      </c>
      <c r="J9" s="52"/>
    </row>
    <row r="10" spans="1:10" x14ac:dyDescent="0.2">
      <c r="A10" s="61">
        <v>7</v>
      </c>
      <c r="B10" s="355">
        <f>('CÁLCULO TARIFÁRIO '!$G$38)*12</f>
        <v>143275.91040000002</v>
      </c>
      <c r="C10" s="355"/>
      <c r="D10" s="355"/>
      <c r="E10" s="355"/>
      <c r="F10" s="51">
        <f t="shared" ref="F10:F13" si="3">-PV($B$15,A10,,B10)</f>
        <v>71225.782728557504</v>
      </c>
      <c r="G10" s="51">
        <f>G9+F10-(SUM(DEPRECIAÇÃO!H11))</f>
        <v>-170779.80789102372</v>
      </c>
      <c r="J10" s="52"/>
    </row>
    <row r="11" spans="1:10" x14ac:dyDescent="0.2">
      <c r="A11" s="61">
        <v>8</v>
      </c>
      <c r="B11" s="355">
        <f>('CÁLCULO TARIFÁRIO '!$G$38)*12</f>
        <v>143275.91040000002</v>
      </c>
      <c r="C11" s="355"/>
      <c r="D11" s="355"/>
      <c r="E11" s="355"/>
      <c r="F11" s="51">
        <f t="shared" si="3"/>
        <v>64457.721926296384</v>
      </c>
      <c r="G11" s="51">
        <f t="shared" ref="G11:G13" si="4">G10+F11</f>
        <v>-106322.08596472733</v>
      </c>
      <c r="J11" s="52"/>
    </row>
    <row r="12" spans="1:10" x14ac:dyDescent="0.2">
      <c r="A12" s="61">
        <v>9</v>
      </c>
      <c r="B12" s="355">
        <f>('CÁLCULO TARIFÁRIO '!$G$38)*12</f>
        <v>143275.91040000002</v>
      </c>
      <c r="C12" s="355"/>
      <c r="D12" s="355"/>
      <c r="E12" s="355"/>
      <c r="F12" s="51">
        <f t="shared" si="3"/>
        <v>58332.780023797641</v>
      </c>
      <c r="G12" s="51">
        <f t="shared" si="4"/>
        <v>-47989.305940929691</v>
      </c>
      <c r="J12" s="52"/>
    </row>
    <row r="13" spans="1:10" x14ac:dyDescent="0.2">
      <c r="A13" s="61">
        <v>10</v>
      </c>
      <c r="B13" s="355">
        <f>('CÁLCULO TARIFÁRIO '!$G$38)*12</f>
        <v>143275.91040000002</v>
      </c>
      <c r="C13" s="355"/>
      <c r="D13" s="355"/>
      <c r="E13" s="355"/>
      <c r="F13" s="51">
        <f t="shared" si="3"/>
        <v>52789.846175382474</v>
      </c>
      <c r="G13" s="51">
        <f t="shared" si="4"/>
        <v>4800.5402344527829</v>
      </c>
      <c r="J13" s="52"/>
    </row>
    <row r="14" spans="1:10" x14ac:dyDescent="0.2">
      <c r="B14" s="73"/>
      <c r="C14" s="73"/>
      <c r="D14" s="73"/>
      <c r="E14" s="73"/>
      <c r="F14" s="74"/>
      <c r="G14" s="74"/>
      <c r="J14" s="52"/>
    </row>
    <row r="15" spans="1:10" x14ac:dyDescent="0.2">
      <c r="A15" s="54" t="s">
        <v>309</v>
      </c>
      <c r="B15" s="55">
        <v>0.105</v>
      </c>
      <c r="C15" s="56"/>
      <c r="J15" s="53"/>
    </row>
    <row r="16" spans="1:10" x14ac:dyDescent="0.2">
      <c r="A16" s="54" t="s">
        <v>180</v>
      </c>
      <c r="B16" s="55">
        <f>IRR(B3:B13)</f>
        <v>0.14710603445291337</v>
      </c>
      <c r="C16" s="56" t="s">
        <v>187</v>
      </c>
      <c r="J16" s="57"/>
    </row>
    <row r="17" spans="1:10" x14ac:dyDescent="0.2">
      <c r="A17" s="54" t="s">
        <v>181</v>
      </c>
      <c r="B17" s="58">
        <f>NPV(B15,B4:B13)+B3</f>
        <v>134700.5402344527</v>
      </c>
      <c r="C17" s="56" t="s">
        <v>187</v>
      </c>
      <c r="J17" s="52"/>
    </row>
    <row r="18" spans="1:10" ht="15" thickBot="1" x14ac:dyDescent="0.25">
      <c r="A18" s="75" t="s">
        <v>186</v>
      </c>
      <c r="B18" s="76">
        <f>A9-G9/F10</f>
        <v>9.2699618269859911</v>
      </c>
      <c r="C18" s="77" t="s">
        <v>185</v>
      </c>
    </row>
    <row r="20" spans="1:10" x14ac:dyDescent="0.2">
      <c r="A20" s="354" t="s">
        <v>246</v>
      </c>
      <c r="B20" s="354"/>
      <c r="C20" s="354"/>
      <c r="D20" s="354"/>
      <c r="E20" s="354"/>
      <c r="F20" s="354"/>
      <c r="G20" s="354"/>
    </row>
    <row r="21" spans="1:10" x14ac:dyDescent="0.2">
      <c r="A21" s="354" t="s">
        <v>247</v>
      </c>
      <c r="B21" s="354"/>
      <c r="C21" s="354"/>
      <c r="D21" s="354"/>
      <c r="E21" s="354"/>
      <c r="F21" s="354"/>
      <c r="G21" s="354"/>
    </row>
    <row r="22" spans="1:10" x14ac:dyDescent="0.2">
      <c r="A22" s="4" t="s">
        <v>300</v>
      </c>
    </row>
  </sheetData>
  <mergeCells count="15">
    <mergeCell ref="A1:G1"/>
    <mergeCell ref="B6:E6"/>
    <mergeCell ref="B7:E7"/>
    <mergeCell ref="B8:E8"/>
    <mergeCell ref="B2:D2"/>
    <mergeCell ref="A21:G21"/>
    <mergeCell ref="A20:G20"/>
    <mergeCell ref="B3:E3"/>
    <mergeCell ref="B4:E4"/>
    <mergeCell ref="B5:E5"/>
    <mergeCell ref="B9:E9"/>
    <mergeCell ref="B10:E10"/>
    <mergeCell ref="B11:E11"/>
    <mergeCell ref="B12:E12"/>
    <mergeCell ref="B13:E13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HORÁRIOS </vt:lpstr>
      <vt:lpstr>INVEST. E DESPESAS</vt:lpstr>
      <vt:lpstr>CÁLCULO TARIFÁRIO </vt:lpstr>
      <vt:lpstr>RECEITA ESTIMADA</vt:lpstr>
      <vt:lpstr>DEPRECIAÇÃO</vt:lpstr>
      <vt:lpstr>TIR VPL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 Zero Projetos</dc:creator>
  <cp:lastModifiedBy>Marelice</cp:lastModifiedBy>
  <cp:lastPrinted>2018-11-07T16:10:12Z</cp:lastPrinted>
  <dcterms:created xsi:type="dcterms:W3CDTF">2018-09-24T12:41:23Z</dcterms:created>
  <dcterms:modified xsi:type="dcterms:W3CDTF">2024-10-23T18:27:13Z</dcterms:modified>
</cp:coreProperties>
</file>